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persons/person.xml" ContentType="application/vnd.ms-excel.person+xml"/>
  <Override PartName="/xl/threadedComments/threadedComment1.xml" ContentType="application/vnd.ms-excel.threadedcomments+xml"/>
  <Override PartName="/xl/threadedComments/threadedComment2.xml" ContentType="application/vnd.ms-excel.threadedcomment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4"/>
  <workbookPr codeName="ThisWorkbook" hidePivotFieldList="1"/>
  <mc:AlternateContent xmlns:mc="http://schemas.openxmlformats.org/markup-compatibility/2006">
    <mc:Choice Requires="x15">
      <x15ac:absPath xmlns:x15ac="http://schemas.microsoft.com/office/spreadsheetml/2010/11/ac" url="C:\Users\User\Desktop\Compta agent nov 2025\"/>
    </mc:Choice>
  </mc:AlternateContent>
  <xr:revisionPtr revIDLastSave="0" documentId="13_ncr:1_{106EA6BC-8297-4660-9286-62048F81C1C5}" xr6:coauthVersionLast="47" xr6:coauthVersionMax="47" xr10:uidLastSave="{00000000-0000-0000-0000-000000000000}"/>
  <bookViews>
    <workbookView xWindow="-108" yWindow="-108" windowWidth="23256" windowHeight="13176" tabRatio="617" activeTab="1" xr2:uid="{00000000-000D-0000-FFFF-FFFF00000000}"/>
  </bookViews>
  <sheets>
    <sheet name="Balance   " sheetId="2" r:id="rId1"/>
    <sheet name="DATA " sheetId="1" r:id="rId2"/>
    <sheet name="Personals balance  " sheetId="6" r:id="rId3"/>
    <sheet name="Individual costs  " sheetId="10" r:id="rId4"/>
    <sheet name="Individual received  " sheetId="19" r:id="rId5"/>
    <sheet name="data ANALYSIS   " sheetId="12" r:id="rId6"/>
    <sheet name="Bank journal  " sheetId="4" r:id="rId7"/>
    <sheet name="Bank reconciliation  " sheetId="5" r:id="rId8"/>
    <sheet name="Cash journal   " sheetId="3" r:id="rId9"/>
    <sheet name="Cash desk closing " sheetId="7" r:id="rId10"/>
    <sheet name="Global data " sheetId="26" r:id="rId11"/>
    <sheet name="Donors table " sheetId="27" r:id="rId12"/>
    <sheet name="phone credit " sheetId="23" r:id="rId13"/>
  </sheets>
  <definedNames>
    <definedName name="_xlnm._FilterDatabase" localSheetId="6" hidden="1">'Bank journal  '!$A$1:$I$13</definedName>
    <definedName name="_xlnm._FilterDatabase" localSheetId="7" hidden="1">'Bank reconciliation  '!$A$9:$E$23</definedName>
    <definedName name="_xlnm._FilterDatabase" localSheetId="8" hidden="1">'Cash journal   '!$A$1:$J$160</definedName>
    <definedName name="_xlnm._FilterDatabase" localSheetId="1" hidden="1">'DATA '!$A$1:$O$761</definedName>
    <definedName name="_xlnm._FilterDatabase" localSheetId="10" hidden="1">'Global data '!$A$1:$O$4601</definedName>
    <definedName name="_xlnm._FilterDatabase" localSheetId="2" hidden="1">'Personals balance  '!$A$103:$F$211</definedName>
    <definedName name="_xlnm.Print_Area" localSheetId="7">'Bank reconciliation  '!$A$1:$E$60</definedName>
  </definedNames>
  <calcPr calcId="181029"/>
  <pivotCaches>
    <pivotCache cacheId="0" r:id="rId14"/>
    <pivotCache cacheId="1" r:id="rId15"/>
    <pivotCache cacheId="2" r:id="rId16"/>
    <pivotCache cacheId="3" r:id="rId17"/>
  </pivotCaches>
  <extLst>
    <ext xmlns:x15="http://schemas.microsoft.com/office/spreadsheetml/2010/11/main" uri="{140A7094-0E35-4892-8432-C4D2E57EDEB5}">
      <x15:workbookPr chartTrackingRefBase="1"/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F4601" i="26" l="1"/>
  <c r="F4600" i="26"/>
  <c r="F4599" i="26"/>
  <c r="F4598" i="26"/>
  <c r="F4597" i="26"/>
  <c r="F4596" i="26"/>
  <c r="F4595" i="26"/>
  <c r="F4594" i="26"/>
  <c r="F4593" i="26"/>
  <c r="F4592" i="26"/>
  <c r="F4591" i="26"/>
  <c r="F4590" i="26"/>
  <c r="F4589" i="26"/>
  <c r="F4588" i="26"/>
  <c r="F4587" i="26"/>
  <c r="F4586" i="26"/>
  <c r="F4585" i="26"/>
  <c r="F4584" i="26"/>
  <c r="F4583" i="26"/>
  <c r="F4582" i="26"/>
  <c r="F4581" i="26"/>
  <c r="F4580" i="26"/>
  <c r="F4579" i="26"/>
  <c r="F4578" i="26"/>
  <c r="F4577" i="26"/>
  <c r="F4576" i="26"/>
  <c r="F4575" i="26"/>
  <c r="F4574" i="26"/>
  <c r="F4573" i="26"/>
  <c r="F4572" i="26"/>
  <c r="F4571" i="26"/>
  <c r="F4570" i="26"/>
  <c r="F4569" i="26"/>
  <c r="F4568" i="26"/>
  <c r="F4567" i="26"/>
  <c r="F4566" i="26"/>
  <c r="F4565" i="26"/>
  <c r="F4564" i="26"/>
  <c r="F4563" i="26"/>
  <c r="F4562" i="26"/>
  <c r="F4561" i="26"/>
  <c r="F4560" i="26"/>
  <c r="F4559" i="26"/>
  <c r="F4558" i="26"/>
  <c r="F4557" i="26"/>
  <c r="F4556" i="26"/>
  <c r="F4555" i="26"/>
  <c r="F4554" i="26"/>
  <c r="F4553" i="26"/>
  <c r="F4552" i="26"/>
  <c r="F4551" i="26"/>
  <c r="F4550" i="26"/>
  <c r="F4549" i="26"/>
  <c r="F4548" i="26"/>
  <c r="F4547" i="26"/>
  <c r="F4546" i="26"/>
  <c r="F4545" i="26"/>
  <c r="F4544" i="26"/>
  <c r="F4543" i="26"/>
  <c r="F4542" i="26"/>
  <c r="F4541" i="26"/>
  <c r="F4540" i="26"/>
  <c r="F4539" i="26"/>
  <c r="F4538" i="26"/>
  <c r="F4537" i="26"/>
  <c r="F4536" i="26"/>
  <c r="F4535" i="26"/>
  <c r="F4534" i="26"/>
  <c r="F4533" i="26"/>
  <c r="F4532" i="26"/>
  <c r="F4531" i="26"/>
  <c r="F4530" i="26"/>
  <c r="F4529" i="26"/>
  <c r="F4528" i="26"/>
  <c r="F4527" i="26"/>
  <c r="F4526" i="26"/>
  <c r="F4525" i="26"/>
  <c r="F4524" i="26"/>
  <c r="F4523" i="26"/>
  <c r="F4522" i="26"/>
  <c r="F4521" i="26"/>
  <c r="F4520" i="26"/>
  <c r="F4519" i="26"/>
  <c r="F4518" i="26"/>
  <c r="F4517" i="26"/>
  <c r="F4516" i="26"/>
  <c r="F4515" i="26"/>
  <c r="F4514" i="26"/>
  <c r="F4513" i="26"/>
  <c r="F4512" i="26"/>
  <c r="F4511" i="26"/>
  <c r="F4510" i="26"/>
  <c r="F4509" i="26"/>
  <c r="F4508" i="26"/>
  <c r="F4507" i="26"/>
  <c r="F4506" i="26"/>
  <c r="F4505" i="26"/>
  <c r="F4504" i="26"/>
  <c r="F4503" i="26"/>
  <c r="F4502" i="26"/>
  <c r="F4501" i="26"/>
  <c r="F4500" i="26"/>
  <c r="F4499" i="26"/>
  <c r="F4498" i="26"/>
  <c r="F4497" i="26"/>
  <c r="F4496" i="26"/>
  <c r="F4495" i="26"/>
  <c r="F4494" i="26"/>
  <c r="F4493" i="26"/>
  <c r="F4492" i="26"/>
  <c r="F4491" i="26"/>
  <c r="F4490" i="26"/>
  <c r="F4489" i="26"/>
  <c r="F4488" i="26"/>
  <c r="F4487" i="26"/>
  <c r="F4486" i="26"/>
  <c r="F4485" i="26"/>
  <c r="F4484" i="26"/>
  <c r="F4483" i="26"/>
  <c r="F4482" i="26"/>
  <c r="F4481" i="26"/>
  <c r="F4480" i="26"/>
  <c r="F4479" i="26"/>
  <c r="F4478" i="26"/>
  <c r="F4477" i="26"/>
  <c r="F4476" i="26"/>
  <c r="F4475" i="26"/>
  <c r="F4474" i="26"/>
  <c r="F4473" i="26"/>
  <c r="F4472" i="26"/>
  <c r="F4471" i="26"/>
  <c r="F4470" i="26"/>
  <c r="F4469" i="26"/>
  <c r="F4468" i="26"/>
  <c r="F4467" i="26"/>
  <c r="F4466" i="26"/>
  <c r="F4465" i="26"/>
  <c r="F4464" i="26"/>
  <c r="F4463" i="26"/>
  <c r="F4462" i="26"/>
  <c r="F4461" i="26"/>
  <c r="F4460" i="26"/>
  <c r="F4459" i="26"/>
  <c r="F4458" i="26"/>
  <c r="F4457" i="26"/>
  <c r="F4456" i="26"/>
  <c r="F4455" i="26"/>
  <c r="F4454" i="26"/>
  <c r="F4453" i="26"/>
  <c r="F4452" i="26"/>
  <c r="F4451" i="26"/>
  <c r="F4450" i="26"/>
  <c r="F4449" i="26"/>
  <c r="F4448" i="26"/>
  <c r="F4447" i="26"/>
  <c r="F4446" i="26"/>
  <c r="F4445" i="26"/>
  <c r="F4444" i="26"/>
  <c r="F4443" i="26"/>
  <c r="F4442" i="26"/>
  <c r="F4441" i="26"/>
  <c r="F4440" i="26"/>
  <c r="F4439" i="26"/>
  <c r="F4438" i="26"/>
  <c r="F4437" i="26"/>
  <c r="F4436" i="26"/>
  <c r="F4434" i="26"/>
  <c r="F4433" i="26"/>
  <c r="F4432" i="26"/>
  <c r="F4431" i="26"/>
  <c r="F4430" i="26"/>
  <c r="F4429" i="26"/>
  <c r="F4428" i="26"/>
  <c r="F4427" i="26"/>
  <c r="F4426" i="26"/>
  <c r="F4425" i="26"/>
  <c r="F4424" i="26"/>
  <c r="F4423" i="26"/>
  <c r="F4422" i="26"/>
  <c r="F4421" i="26"/>
  <c r="F4420" i="26"/>
  <c r="F4419" i="26"/>
  <c r="F4418" i="26"/>
  <c r="F4417" i="26"/>
  <c r="F4416" i="26"/>
  <c r="F4415" i="26"/>
  <c r="F4414" i="26"/>
  <c r="F4413" i="26"/>
  <c r="F4412" i="26"/>
  <c r="F4411" i="26"/>
  <c r="F4410" i="26"/>
  <c r="F4409" i="26"/>
  <c r="F4408" i="26"/>
  <c r="F4435" i="26"/>
  <c r="F4407" i="26"/>
  <c r="F4406" i="26"/>
  <c r="F4405" i="26"/>
  <c r="F4404" i="26"/>
  <c r="F4403" i="26"/>
  <c r="F4402" i="26"/>
  <c r="F4401" i="26"/>
  <c r="F4400" i="26"/>
  <c r="F4399" i="26"/>
  <c r="F4398" i="26"/>
  <c r="F4397" i="26"/>
  <c r="F4396" i="26"/>
  <c r="F4395" i="26"/>
  <c r="F4393" i="26"/>
  <c r="F4392" i="26"/>
  <c r="F4391" i="26"/>
  <c r="F4390" i="26"/>
  <c r="F4389" i="26"/>
  <c r="F4388" i="26"/>
  <c r="F4387" i="26"/>
  <c r="F4386" i="26"/>
  <c r="F4385" i="26"/>
  <c r="F4384" i="26"/>
  <c r="F4383" i="26"/>
  <c r="F4382" i="26"/>
  <c r="F4381" i="26"/>
  <c r="F4380" i="26"/>
  <c r="F4379" i="26"/>
  <c r="F4378" i="26"/>
  <c r="F4377" i="26"/>
  <c r="F4376" i="26"/>
  <c r="F4375" i="26"/>
  <c r="F4374" i="26"/>
  <c r="F4373" i="26"/>
  <c r="F4372" i="26"/>
  <c r="F4371" i="26"/>
  <c r="F4370" i="26"/>
  <c r="F4369" i="26"/>
  <c r="F4368" i="26"/>
  <c r="F4367" i="26"/>
  <c r="F4366" i="26"/>
  <c r="F4365" i="26"/>
  <c r="F4364" i="26"/>
  <c r="F4363" i="26"/>
  <c r="F4362" i="26"/>
  <c r="F4361" i="26"/>
  <c r="F4360" i="26"/>
  <c r="F4359" i="26"/>
  <c r="F4358" i="26"/>
  <c r="F4357" i="26"/>
  <c r="F4356" i="26"/>
  <c r="F4355" i="26"/>
  <c r="F4354" i="26"/>
  <c r="F4353" i="26"/>
  <c r="F4352" i="26"/>
  <c r="F4351" i="26"/>
  <c r="F4350" i="26"/>
  <c r="F4349" i="26"/>
  <c r="F4348" i="26"/>
  <c r="F4347" i="26"/>
  <c r="F4346" i="26"/>
  <c r="F4345" i="26"/>
  <c r="F4344" i="26"/>
  <c r="F4343" i="26"/>
  <c r="F4342" i="26"/>
  <c r="F4341" i="26"/>
  <c r="F4340" i="26"/>
  <c r="F4339" i="26"/>
  <c r="F4338" i="26"/>
  <c r="F4337" i="26"/>
  <c r="F4336" i="26"/>
  <c r="F4335" i="26"/>
  <c r="F4334" i="26"/>
  <c r="F4333" i="26"/>
  <c r="F4332" i="26"/>
  <c r="F4331" i="26"/>
  <c r="F4330" i="26"/>
  <c r="F4329" i="26"/>
  <c r="F4328" i="26"/>
  <c r="F4327" i="26"/>
  <c r="F4326" i="26"/>
  <c r="F4325" i="26"/>
  <c r="F4324" i="26"/>
  <c r="F4323" i="26"/>
  <c r="F4322" i="26"/>
  <c r="F4321" i="26"/>
  <c r="F4320" i="26"/>
  <c r="F4319" i="26"/>
  <c r="F4318" i="26"/>
  <c r="F4317" i="26"/>
  <c r="F4316" i="26"/>
  <c r="F4315" i="26"/>
  <c r="F4314" i="26"/>
  <c r="F4313" i="26"/>
  <c r="F4312" i="26"/>
  <c r="F4311" i="26"/>
  <c r="F4310" i="26"/>
  <c r="F4309" i="26"/>
  <c r="F4308" i="26"/>
  <c r="F4307" i="26"/>
  <c r="F4306" i="26"/>
  <c r="F4305" i="26"/>
  <c r="F4304" i="26"/>
  <c r="F4303" i="26"/>
  <c r="F4302" i="26"/>
  <c r="F4301" i="26"/>
  <c r="F4300" i="26"/>
  <c r="F4299" i="26"/>
  <c r="F4298" i="26"/>
  <c r="F4297" i="26"/>
  <c r="F4296" i="26"/>
  <c r="F4295" i="26"/>
  <c r="F4294" i="26"/>
  <c r="F4293" i="26"/>
  <c r="F4292" i="26"/>
  <c r="F4291" i="26"/>
  <c r="F4290" i="26"/>
  <c r="F4289" i="26"/>
  <c r="F4288" i="26"/>
  <c r="F4287" i="26"/>
  <c r="F4286" i="26"/>
  <c r="F4285" i="26"/>
  <c r="F4284" i="26"/>
  <c r="F4283" i="26"/>
  <c r="F4282" i="26"/>
  <c r="F4281" i="26"/>
  <c r="F4280" i="26"/>
  <c r="F4279" i="26"/>
  <c r="F4278" i="26"/>
  <c r="F4277" i="26"/>
  <c r="F4276" i="26"/>
  <c r="F4275" i="26"/>
  <c r="F4274" i="26"/>
  <c r="F4273" i="26"/>
  <c r="F4272" i="26"/>
  <c r="F4271" i="26"/>
  <c r="F4270" i="26"/>
  <c r="F4269" i="26"/>
  <c r="F4268" i="26"/>
  <c r="F4267" i="26"/>
  <c r="F4266" i="26"/>
  <c r="F4265" i="26"/>
  <c r="F4264" i="26"/>
  <c r="F4263" i="26"/>
  <c r="F4262" i="26"/>
  <c r="F4261" i="26"/>
  <c r="F4260" i="26"/>
  <c r="F4259" i="26"/>
  <c r="F4258" i="26"/>
  <c r="F4257" i="26"/>
  <c r="F4256" i="26"/>
  <c r="F4255" i="26"/>
  <c r="F4254" i="26"/>
  <c r="F4253" i="26"/>
  <c r="F4252" i="26"/>
  <c r="F4251" i="26"/>
  <c r="F4250" i="26"/>
  <c r="F4249" i="26"/>
  <c r="F4248" i="26"/>
  <c r="F4247" i="26"/>
  <c r="F4246" i="26"/>
  <c r="F4245" i="26"/>
  <c r="F4244" i="26"/>
  <c r="F4243" i="26"/>
  <c r="F4242" i="26"/>
  <c r="F4241" i="26"/>
  <c r="F4240" i="26"/>
  <c r="F4239" i="26"/>
  <c r="F4238" i="26"/>
  <c r="F4237" i="26"/>
  <c r="F4236" i="26"/>
  <c r="F4235" i="26"/>
  <c r="F4234" i="26"/>
  <c r="F4233" i="26"/>
  <c r="F4232" i="26"/>
  <c r="F4231" i="26"/>
  <c r="F4230" i="26"/>
  <c r="F4229" i="26"/>
  <c r="F4228" i="26"/>
  <c r="F4227" i="26"/>
  <c r="F4226" i="26"/>
  <c r="F4225" i="26"/>
  <c r="F4224" i="26"/>
  <c r="F4223" i="26"/>
  <c r="F4222" i="26"/>
  <c r="F4221" i="26"/>
  <c r="F4220" i="26"/>
  <c r="F4219" i="26"/>
  <c r="F4218" i="26"/>
  <c r="F4217" i="26"/>
  <c r="F4216" i="26"/>
  <c r="F4215" i="26"/>
  <c r="F4214" i="26"/>
  <c r="F4213" i="26"/>
  <c r="F4212" i="26"/>
  <c r="F4211" i="26"/>
  <c r="F4210" i="26"/>
  <c r="F4209" i="26"/>
  <c r="F4208" i="26"/>
  <c r="F4207" i="26"/>
  <c r="F4206" i="26"/>
  <c r="F4205" i="26"/>
  <c r="F4204" i="26"/>
  <c r="F4203" i="26"/>
  <c r="F4202" i="26"/>
  <c r="F4201" i="26"/>
  <c r="F4200" i="26"/>
  <c r="F4199" i="26"/>
  <c r="F4198" i="26"/>
  <c r="F4197" i="26"/>
  <c r="F4196" i="26"/>
  <c r="F4195" i="26"/>
  <c r="F4194" i="26"/>
  <c r="F4193" i="26"/>
  <c r="F4192" i="26"/>
  <c r="F4191" i="26"/>
  <c r="F4190" i="26"/>
  <c r="F4189" i="26"/>
  <c r="F4188" i="26"/>
  <c r="F4187" i="26"/>
  <c r="F4185" i="26"/>
  <c r="F4184" i="26"/>
  <c r="F4183" i="26"/>
  <c r="F4182" i="26"/>
  <c r="F4181" i="26"/>
  <c r="F4180" i="26"/>
  <c r="F4179" i="26"/>
  <c r="F4178" i="26"/>
  <c r="F4177" i="26"/>
  <c r="F4176" i="26"/>
  <c r="F4175" i="26"/>
  <c r="F4174" i="26"/>
  <c r="F4173" i="26"/>
  <c r="F4172" i="26"/>
  <c r="F4171" i="26"/>
  <c r="F4170" i="26"/>
  <c r="F4169" i="26"/>
  <c r="F4168" i="26"/>
  <c r="F4167" i="26"/>
  <c r="F4166" i="26"/>
  <c r="F4186" i="26"/>
  <c r="F4165" i="26"/>
  <c r="F4164" i="26"/>
  <c r="F4163" i="26"/>
  <c r="F4162" i="26"/>
  <c r="F4161" i="26"/>
  <c r="F4160" i="26"/>
  <c r="F4159" i="26"/>
  <c r="F4158" i="26"/>
  <c r="F4157" i="26"/>
  <c r="F4156" i="26"/>
  <c r="F4155" i="26"/>
  <c r="F4154" i="26"/>
  <c r="F4153" i="26"/>
  <c r="F4152" i="26"/>
  <c r="F4151" i="26"/>
  <c r="F4150" i="26"/>
  <c r="F4149" i="26"/>
  <c r="F4148" i="26"/>
  <c r="F4147" i="26"/>
  <c r="F4146" i="26"/>
  <c r="F4145" i="26"/>
  <c r="F4144" i="26"/>
  <c r="F4143" i="26"/>
  <c r="F4142" i="26"/>
  <c r="F4141" i="26"/>
  <c r="F4138" i="26"/>
  <c r="F4137" i="26"/>
  <c r="F4136" i="26"/>
  <c r="F4135" i="26"/>
  <c r="F4134" i="26"/>
  <c r="F4133" i="26"/>
  <c r="F4132" i="26"/>
  <c r="F4131" i="26"/>
  <c r="F4130" i="26"/>
  <c r="F4129" i="26"/>
  <c r="F4128" i="26"/>
  <c r="F4127" i="26"/>
  <c r="F4126" i="26"/>
  <c r="F4125" i="26"/>
  <c r="F4124" i="26"/>
  <c r="F4123" i="26"/>
  <c r="F4122" i="26"/>
  <c r="F4121" i="26"/>
  <c r="F4120" i="26"/>
  <c r="F4119" i="26"/>
  <c r="F4118" i="26"/>
  <c r="F4117" i="26"/>
  <c r="F4116" i="26"/>
  <c r="F4115" i="26"/>
  <c r="F4114" i="26"/>
  <c r="F4113" i="26"/>
  <c r="F4112" i="26"/>
  <c r="F4111" i="26"/>
  <c r="F4110" i="26"/>
  <c r="F4109" i="26"/>
  <c r="F4108" i="26"/>
  <c r="F4107" i="26"/>
  <c r="F4106" i="26"/>
  <c r="F4105" i="26"/>
  <c r="F4104" i="26"/>
  <c r="F4103" i="26"/>
  <c r="F4102" i="26"/>
  <c r="F4101" i="26"/>
  <c r="F4100" i="26"/>
  <c r="F4099" i="26"/>
  <c r="F4098" i="26"/>
  <c r="F4097" i="26"/>
  <c r="F4096" i="26"/>
  <c r="F4095" i="26"/>
  <c r="F4094" i="26"/>
  <c r="F4093" i="26"/>
  <c r="F4092" i="26"/>
  <c r="F4091" i="26"/>
  <c r="F4090" i="26"/>
  <c r="F4089" i="26"/>
  <c r="F4088" i="26"/>
  <c r="F4087" i="26"/>
  <c r="F4086" i="26"/>
  <c r="F4085" i="26"/>
  <c r="F4084" i="26"/>
  <c r="F4083" i="26"/>
  <c r="F4082" i="26"/>
  <c r="F4081" i="26"/>
  <c r="F4080" i="26"/>
  <c r="F4079" i="26"/>
  <c r="F4078" i="26"/>
  <c r="F4077" i="26"/>
  <c r="F4076" i="26"/>
  <c r="F4075" i="26"/>
  <c r="F4074" i="26"/>
  <c r="F4073" i="26"/>
  <c r="F4072" i="26"/>
  <c r="F4071" i="26"/>
  <c r="F4070" i="26"/>
  <c r="F4069" i="26"/>
  <c r="F4068" i="26"/>
  <c r="F4067" i="26"/>
  <c r="F4066" i="26"/>
  <c r="F4065" i="26"/>
  <c r="F4064" i="26"/>
  <c r="F4063" i="26"/>
  <c r="F4062" i="26"/>
  <c r="F4061" i="26"/>
  <c r="F4060" i="26"/>
  <c r="F4059" i="26"/>
  <c r="F4058" i="26"/>
  <c r="F4057" i="26"/>
  <c r="F4056" i="26"/>
  <c r="F4055" i="26"/>
  <c r="F4054" i="26"/>
  <c r="F4053" i="26"/>
  <c r="F4052" i="26"/>
  <c r="F4051" i="26"/>
  <c r="F4050" i="26"/>
  <c r="F4049" i="26"/>
  <c r="F4048" i="26"/>
  <c r="F4047" i="26"/>
  <c r="F4046" i="26"/>
  <c r="F4045" i="26"/>
  <c r="F4044" i="26"/>
  <c r="F4043" i="26"/>
  <c r="F4042" i="26"/>
  <c r="F4041" i="26"/>
  <c r="F4040" i="26"/>
  <c r="F4039" i="26"/>
  <c r="F4038" i="26"/>
  <c r="F4037" i="26"/>
  <c r="F4036" i="26"/>
  <c r="F4035" i="26"/>
  <c r="F4034" i="26"/>
  <c r="F4033" i="26"/>
  <c r="F4032" i="26"/>
  <c r="F4031" i="26"/>
  <c r="F4030" i="26"/>
  <c r="F4029" i="26"/>
  <c r="F4028" i="26"/>
  <c r="F4026" i="26"/>
  <c r="F4025" i="26"/>
  <c r="F4024" i="26"/>
  <c r="F4023" i="26"/>
  <c r="F4022" i="26"/>
  <c r="F4021" i="26"/>
  <c r="F4020" i="26"/>
  <c r="F4027" i="26"/>
  <c r="F4019" i="26"/>
  <c r="F4018" i="26"/>
  <c r="F4017" i="26"/>
  <c r="F4016" i="26"/>
  <c r="F4015" i="26"/>
  <c r="F4014" i="26"/>
  <c r="F4013" i="26"/>
  <c r="F4012" i="26"/>
  <c r="F4011" i="26"/>
  <c r="F4010" i="26"/>
  <c r="F4009" i="26"/>
  <c r="F4008" i="26"/>
  <c r="F4007" i="26"/>
  <c r="F4006" i="26"/>
  <c r="F4005" i="26"/>
  <c r="F4004" i="26"/>
  <c r="F4003" i="26"/>
  <c r="F4002" i="26"/>
  <c r="F4001" i="26"/>
  <c r="F4000" i="26"/>
  <c r="F3999" i="26"/>
  <c r="F3998" i="26"/>
  <c r="F3997" i="26"/>
  <c r="F3996" i="26"/>
  <c r="F3995" i="26"/>
  <c r="F3994" i="26"/>
  <c r="F3993" i="26"/>
  <c r="F3992" i="26"/>
  <c r="F3991" i="26"/>
  <c r="F3990" i="26"/>
  <c r="F3989" i="26"/>
  <c r="F3988" i="26"/>
  <c r="F3987" i="26"/>
  <c r="F3986" i="26"/>
  <c r="F3985" i="26"/>
  <c r="F3984" i="26"/>
  <c r="F3983" i="26"/>
  <c r="F3982" i="26"/>
  <c r="F3981" i="26"/>
  <c r="F3980" i="26"/>
  <c r="F3979" i="26"/>
  <c r="F3978" i="26"/>
  <c r="F3977" i="26"/>
  <c r="F3976" i="26"/>
  <c r="F3975" i="26"/>
  <c r="F3974" i="26"/>
  <c r="F3973" i="26"/>
  <c r="F3972" i="26"/>
  <c r="F3971" i="26"/>
  <c r="F3970" i="26"/>
  <c r="F3969" i="26"/>
  <c r="F3968" i="26"/>
  <c r="F3967" i="26"/>
  <c r="F3966" i="26"/>
  <c r="F3965" i="26"/>
  <c r="F3964" i="26"/>
  <c r="F3963" i="26"/>
  <c r="F3962" i="26"/>
  <c r="F3961" i="26"/>
  <c r="F3960" i="26"/>
  <c r="F3959" i="26"/>
  <c r="F3958" i="26"/>
  <c r="F3957" i="26"/>
  <c r="F3956" i="26"/>
  <c r="F3955" i="26"/>
  <c r="F3954" i="26"/>
  <c r="F3953" i="26"/>
  <c r="F3952" i="26"/>
  <c r="F3951" i="26"/>
  <c r="F3950" i="26"/>
  <c r="F3949" i="26"/>
  <c r="F3948" i="26"/>
  <c r="F3947" i="26"/>
  <c r="F3946" i="26"/>
  <c r="F3945" i="26"/>
  <c r="F3944" i="26"/>
  <c r="F3943" i="26"/>
  <c r="F3942" i="26"/>
  <c r="F3941" i="26"/>
  <c r="F3940" i="26"/>
  <c r="F3939" i="26"/>
  <c r="F3938" i="26"/>
  <c r="F3937" i="26"/>
  <c r="F3936" i="26"/>
  <c r="F3935" i="26"/>
  <c r="F3934" i="26"/>
  <c r="F3933" i="26"/>
  <c r="F3932" i="26"/>
  <c r="F3931" i="26"/>
  <c r="F3930" i="26"/>
  <c r="F3929" i="26"/>
  <c r="F3928" i="26"/>
  <c r="F3927" i="26"/>
  <c r="F3926" i="26"/>
  <c r="F3925" i="26"/>
  <c r="F3924" i="26"/>
  <c r="F3923" i="26"/>
  <c r="F3922" i="26"/>
  <c r="F3921" i="26"/>
  <c r="F3920" i="26"/>
  <c r="F3919" i="26"/>
  <c r="F3918" i="26"/>
  <c r="F3917" i="26"/>
  <c r="F3916" i="26"/>
  <c r="F3915" i="26"/>
  <c r="F3914" i="26"/>
  <c r="F3913" i="26"/>
  <c r="F3912" i="26"/>
  <c r="F3911" i="26"/>
  <c r="F3910" i="26"/>
  <c r="F3909" i="26"/>
  <c r="F3908" i="26"/>
  <c r="F3907" i="26"/>
  <c r="F3906" i="26"/>
  <c r="F3905" i="26"/>
  <c r="F3904" i="26"/>
  <c r="F3903" i="26"/>
  <c r="F3902" i="26"/>
  <c r="F3901" i="26"/>
  <c r="F3900" i="26"/>
  <c r="F3899" i="26"/>
  <c r="F3898" i="26"/>
  <c r="F3897" i="26"/>
  <c r="F3896" i="26"/>
  <c r="F3895" i="26"/>
  <c r="F3894" i="26"/>
  <c r="F3893" i="26"/>
  <c r="F3892" i="26"/>
  <c r="F3891" i="26"/>
  <c r="F3890" i="26"/>
  <c r="F3889" i="26"/>
  <c r="F3888" i="26"/>
  <c r="F3887" i="26"/>
  <c r="F3886" i="26"/>
  <c r="F3885" i="26"/>
  <c r="F3884" i="26"/>
  <c r="F3883" i="26"/>
  <c r="F3882" i="26"/>
  <c r="F3881" i="26"/>
  <c r="F3880" i="26"/>
  <c r="F3879" i="26"/>
  <c r="F3878" i="26"/>
  <c r="F3877" i="26"/>
  <c r="F3876" i="26"/>
  <c r="F3875" i="26"/>
  <c r="F3874" i="26"/>
  <c r="F3873" i="26"/>
  <c r="F3872" i="26"/>
  <c r="F3871" i="26"/>
  <c r="F3870" i="26"/>
  <c r="F3869" i="26"/>
  <c r="F3868" i="26"/>
  <c r="F3867" i="26"/>
  <c r="F3866" i="26"/>
  <c r="F3865" i="26"/>
  <c r="F3864" i="26"/>
  <c r="F3863" i="26"/>
  <c r="F3862" i="26"/>
  <c r="F3861" i="26"/>
  <c r="F3860" i="26"/>
  <c r="F3859" i="26"/>
  <c r="F3858" i="26"/>
  <c r="F3857" i="26"/>
  <c r="F3856" i="26"/>
  <c r="F3855" i="26"/>
  <c r="F3854" i="26"/>
  <c r="F3853" i="26"/>
  <c r="F3852" i="26"/>
  <c r="F3851" i="26"/>
  <c r="F3850" i="26"/>
  <c r="F3849" i="26"/>
  <c r="F3848" i="26"/>
  <c r="F3847" i="26"/>
  <c r="F3846" i="26"/>
  <c r="F3845" i="26"/>
  <c r="F3844" i="26"/>
  <c r="F3843" i="26"/>
  <c r="F3842" i="26"/>
  <c r="D3" i="27"/>
  <c r="G21" i="27"/>
  <c r="G24" i="27"/>
  <c r="G22" i="27"/>
  <c r="G14" i="27"/>
  <c r="F26" i="27"/>
  <c r="E11" i="27"/>
  <c r="F20" i="27"/>
  <c r="F25" i="27"/>
  <c r="D59" i="27"/>
  <c r="D12" i="27"/>
  <c r="D56" i="27"/>
  <c r="G33" i="27"/>
  <c r="G20" i="27"/>
  <c r="E59" i="27"/>
  <c r="D36" i="27"/>
  <c r="F33" i="27"/>
  <c r="F23" i="27"/>
  <c r="E25" i="27"/>
  <c r="D24" i="27"/>
  <c r="E56" i="27"/>
  <c r="D52" i="27"/>
  <c r="G3" i="27"/>
  <c r="F36" i="27"/>
  <c r="F12" i="27"/>
  <c r="G38" i="27"/>
  <c r="D20" i="27"/>
  <c r="D26" i="27"/>
  <c r="G36" i="27"/>
  <c r="F58" i="27"/>
  <c r="F21" i="27"/>
  <c r="F14" i="27"/>
  <c r="G23" i="27"/>
  <c r="F3" i="27"/>
  <c r="E21" i="27"/>
  <c r="E32" i="27"/>
  <c r="F32" i="27"/>
  <c r="D38" i="27"/>
  <c r="F57" i="27"/>
  <c r="D25" i="27"/>
  <c r="E20" i="27"/>
  <c r="F56" i="27"/>
  <c r="G56" i="27"/>
  <c r="E12" i="27"/>
  <c r="F38" i="27"/>
  <c r="D32" i="27"/>
  <c r="F53" i="27"/>
  <c r="E3" i="27"/>
  <c r="E38" i="27"/>
  <c r="G53" i="27"/>
  <c r="F24" i="27"/>
  <c r="G59" i="27"/>
  <c r="D11" i="27"/>
  <c r="E36" i="27"/>
  <c r="G58" i="27"/>
  <c r="G25" i="27"/>
  <c r="E26" i="27"/>
  <c r="G26" i="27"/>
  <c r="D21" i="27"/>
  <c r="F59" i="27"/>
  <c r="G32" i="27"/>
  <c r="F22" i="27"/>
  <c r="E24" i="27"/>
  <c r="G12" i="27"/>
  <c r="E52" i="27"/>
  <c r="D2" i="23" l="1"/>
  <c r="D3" i="23" s="1"/>
  <c r="D4" i="23" s="1"/>
  <c r="D5" i="23" s="1"/>
  <c r="D6" i="23" s="1"/>
  <c r="D7" i="23" s="1"/>
  <c r="D8" i="23" s="1"/>
  <c r="D9" i="23" s="1"/>
  <c r="D10" i="23" s="1"/>
  <c r="D11" i="23" s="1"/>
  <c r="D12" i="23" s="1"/>
  <c r="D13" i="23" s="1"/>
  <c r="D14" i="23" s="1"/>
  <c r="D15" i="23" s="1"/>
  <c r="D16" i="23" s="1"/>
  <c r="D17" i="23" s="1"/>
  <c r="D18" i="23" s="1"/>
  <c r="D19" i="23" s="1"/>
  <c r="D20" i="23" s="1"/>
  <c r="D21" i="23" s="1"/>
  <c r="D22" i="23" s="1"/>
  <c r="D23" i="23" s="1"/>
  <c r="D24" i="23" s="1"/>
  <c r="D25" i="23" s="1"/>
  <c r="D26" i="23" s="1"/>
  <c r="D27" i="23" s="1"/>
  <c r="D28" i="23" s="1"/>
  <c r="D29" i="23" s="1"/>
  <c r="D30" i="23" s="1"/>
  <c r="D31" i="23" s="1"/>
  <c r="D32" i="23" s="1"/>
  <c r="D33" i="23" s="1"/>
  <c r="D34" i="23" s="1"/>
  <c r="D35" i="23" s="1"/>
  <c r="D36" i="23" s="1"/>
  <c r="D37" i="23" s="1"/>
  <c r="D38" i="23" s="1"/>
  <c r="D39" i="23" s="1"/>
  <c r="D40" i="23" s="1"/>
  <c r="F8" i="1"/>
  <c r="F94" i="1"/>
  <c r="F134" i="1"/>
  <c r="F346" i="1"/>
  <c r="F620" i="1"/>
  <c r="F621" i="1"/>
  <c r="E2" i="2"/>
  <c r="E13" i="2"/>
  <c r="E567" i="6" l="1"/>
  <c r="F567" i="6"/>
  <c r="H567" i="6" l="1"/>
  <c r="E211" i="6"/>
  <c r="F211" i="6"/>
  <c r="F3841" i="26" l="1"/>
  <c r="F3840" i="26"/>
  <c r="F3839" i="26"/>
  <c r="F3838" i="26"/>
  <c r="F3837" i="26"/>
  <c r="F3836" i="26"/>
  <c r="F3835" i="26"/>
  <c r="F3834" i="26"/>
  <c r="F3833" i="26"/>
  <c r="F3832" i="26"/>
  <c r="F3831" i="26"/>
  <c r="F3830" i="26"/>
  <c r="F3829" i="26"/>
  <c r="F3828" i="26"/>
  <c r="F3827" i="26"/>
  <c r="F3826" i="26"/>
  <c r="F3825" i="26"/>
  <c r="F3824" i="26"/>
  <c r="F3823" i="26"/>
  <c r="F3822" i="26"/>
  <c r="F3821" i="26"/>
  <c r="F3820" i="26"/>
  <c r="F3819" i="26"/>
  <c r="F3818" i="26"/>
  <c r="F3817" i="26"/>
  <c r="F3816" i="26"/>
  <c r="F3815" i="26"/>
  <c r="F3814" i="26"/>
  <c r="F3813" i="26"/>
  <c r="F3812" i="26"/>
  <c r="F3811" i="26"/>
  <c r="F3810" i="26"/>
  <c r="F3809" i="26"/>
  <c r="F3808" i="26"/>
  <c r="F3807" i="26"/>
  <c r="F3806" i="26"/>
  <c r="F3805" i="26"/>
  <c r="F3804" i="26"/>
  <c r="F3803" i="26"/>
  <c r="F3802" i="26"/>
  <c r="F3801" i="26"/>
  <c r="F3800" i="26"/>
  <c r="F3799" i="26"/>
  <c r="F3798" i="26"/>
  <c r="F3797" i="26"/>
  <c r="F3796" i="26"/>
  <c r="F3795" i="26"/>
  <c r="F3794" i="26"/>
  <c r="F3793" i="26"/>
  <c r="F3792" i="26"/>
  <c r="F3791" i="26"/>
  <c r="F3790" i="26"/>
  <c r="F3789" i="26"/>
  <c r="F3788" i="26"/>
  <c r="F3787" i="26"/>
  <c r="F3786" i="26"/>
  <c r="F3785" i="26"/>
  <c r="F3784" i="26"/>
  <c r="F3783" i="26"/>
  <c r="F3782" i="26"/>
  <c r="F3781" i="26"/>
  <c r="F3780" i="26"/>
  <c r="F3779" i="26"/>
  <c r="F3778" i="26"/>
  <c r="F3777" i="26"/>
  <c r="F3776" i="26"/>
  <c r="F3775" i="26"/>
  <c r="F3774" i="26"/>
  <c r="F3773" i="26"/>
  <c r="F3772" i="26"/>
  <c r="F3771" i="26"/>
  <c r="F3770" i="26"/>
  <c r="F3769" i="26"/>
  <c r="F3768" i="26"/>
  <c r="F3767" i="26"/>
  <c r="F3766" i="26"/>
  <c r="F3765" i="26"/>
  <c r="F3764" i="26"/>
  <c r="F3763" i="26"/>
  <c r="F3762" i="26"/>
  <c r="F3761" i="26"/>
  <c r="F3760" i="26"/>
  <c r="F3759" i="26"/>
  <c r="F3758" i="26"/>
  <c r="F3757" i="26"/>
  <c r="F3756" i="26"/>
  <c r="F3755" i="26"/>
  <c r="F3754" i="26"/>
  <c r="F3753" i="26"/>
  <c r="F3752" i="26"/>
  <c r="F3751" i="26"/>
  <c r="F3750" i="26"/>
  <c r="F3749" i="26"/>
  <c r="F3748" i="26"/>
  <c r="F3747" i="26"/>
  <c r="F3746" i="26"/>
  <c r="F3745" i="26"/>
  <c r="F3744" i="26"/>
  <c r="F3743" i="26"/>
  <c r="F3742" i="26"/>
  <c r="F3741" i="26"/>
  <c r="F3740" i="26"/>
  <c r="F3739" i="26"/>
  <c r="F3738" i="26"/>
  <c r="F3737" i="26"/>
  <c r="F3736" i="26"/>
  <c r="F3735" i="26"/>
  <c r="F3734" i="26"/>
  <c r="F3733" i="26"/>
  <c r="F3732" i="26"/>
  <c r="F3731" i="26"/>
  <c r="F3730" i="26"/>
  <c r="F3729" i="26"/>
  <c r="F3728" i="26"/>
  <c r="F3727" i="26"/>
  <c r="F3726" i="26"/>
  <c r="F3725" i="26"/>
  <c r="F3724" i="26"/>
  <c r="F3723" i="26"/>
  <c r="F3722" i="26"/>
  <c r="F3721" i="26"/>
  <c r="F3720" i="26"/>
  <c r="F3719" i="26"/>
  <c r="F3718" i="26"/>
  <c r="F3717" i="26"/>
  <c r="F3716" i="26"/>
  <c r="F3715" i="26"/>
  <c r="F3714" i="26"/>
  <c r="F3713" i="26"/>
  <c r="F3712" i="26"/>
  <c r="F3711" i="26"/>
  <c r="F3710" i="26"/>
  <c r="F3709" i="26"/>
  <c r="F3708" i="26"/>
  <c r="F3707" i="26"/>
  <c r="F3706" i="26"/>
  <c r="F3705" i="26"/>
  <c r="F3704" i="26"/>
  <c r="F3703" i="26"/>
  <c r="F3702" i="26"/>
  <c r="F3701" i="26"/>
  <c r="F3700" i="26"/>
  <c r="F3699" i="26"/>
  <c r="F3698" i="26"/>
  <c r="F3697" i="26"/>
  <c r="F3696" i="26"/>
  <c r="F3695" i="26"/>
  <c r="F3694" i="26"/>
  <c r="F3693" i="26"/>
  <c r="F3692" i="26"/>
  <c r="F3691" i="26"/>
  <c r="F3690" i="26"/>
  <c r="F3689" i="26"/>
  <c r="F3688" i="26"/>
  <c r="F3687" i="26"/>
  <c r="F3686" i="26"/>
  <c r="F3685" i="26"/>
  <c r="F3684" i="26"/>
  <c r="F3683" i="26"/>
  <c r="F3682" i="26"/>
  <c r="F3681" i="26"/>
  <c r="F3680" i="26"/>
  <c r="F3679" i="26"/>
  <c r="F3678" i="26"/>
  <c r="F3677" i="26"/>
  <c r="F3676" i="26"/>
  <c r="F3675" i="26"/>
  <c r="F3674" i="26"/>
  <c r="F3673" i="26"/>
  <c r="F3672" i="26"/>
  <c r="F3671" i="26"/>
  <c r="F3670" i="26"/>
  <c r="F3669" i="26"/>
  <c r="F3668" i="26"/>
  <c r="F3667" i="26"/>
  <c r="F3666" i="26"/>
  <c r="F3665" i="26"/>
  <c r="F3664" i="26"/>
  <c r="F3663" i="26"/>
  <c r="F3662" i="26"/>
  <c r="F3661" i="26"/>
  <c r="F3660" i="26"/>
  <c r="F3659" i="26"/>
  <c r="F3658" i="26"/>
  <c r="F3657" i="26"/>
  <c r="F3656" i="26"/>
  <c r="F3655" i="26"/>
  <c r="F3654" i="26"/>
  <c r="F3653" i="26"/>
  <c r="F3652" i="26"/>
  <c r="F3651" i="26"/>
  <c r="F3650" i="26"/>
  <c r="F3649" i="26"/>
  <c r="F3648" i="26"/>
  <c r="F3647" i="26"/>
  <c r="F3646" i="26"/>
  <c r="F3645" i="26"/>
  <c r="F3644" i="26"/>
  <c r="F3643" i="26"/>
  <c r="F3642" i="26"/>
  <c r="F3641" i="26"/>
  <c r="F3640" i="26"/>
  <c r="F3639" i="26"/>
  <c r="F3638" i="26"/>
  <c r="F3637" i="26"/>
  <c r="F3636" i="26"/>
  <c r="F3635" i="26"/>
  <c r="F3634" i="26"/>
  <c r="F3633" i="26"/>
  <c r="F3632" i="26"/>
  <c r="F3631" i="26"/>
  <c r="F3630" i="26"/>
  <c r="F3629" i="26"/>
  <c r="F3628" i="26"/>
  <c r="F3627" i="26"/>
  <c r="F3626" i="26"/>
  <c r="F3625" i="26"/>
  <c r="F3624" i="26"/>
  <c r="F3622" i="26"/>
  <c r="F3621" i="26"/>
  <c r="F3620" i="26"/>
  <c r="F3619" i="26"/>
  <c r="F3618" i="26"/>
  <c r="F3617" i="26"/>
  <c r="F3616" i="26"/>
  <c r="F3615" i="26"/>
  <c r="F3614" i="26"/>
  <c r="F3613" i="26"/>
  <c r="F3612" i="26"/>
  <c r="F3611" i="26"/>
  <c r="F3610" i="26"/>
  <c r="F3609" i="26"/>
  <c r="F3608" i="26"/>
  <c r="F3607" i="26"/>
  <c r="F3606" i="26"/>
  <c r="F3605" i="26"/>
  <c r="F3604" i="26"/>
  <c r="F3603" i="26"/>
  <c r="F3602" i="26"/>
  <c r="F3601" i="26"/>
  <c r="F3600" i="26"/>
  <c r="F3599" i="26"/>
  <c r="F3598" i="26"/>
  <c r="F3597" i="26"/>
  <c r="F3596" i="26"/>
  <c r="F3595" i="26"/>
  <c r="F3594" i="26"/>
  <c r="F3593" i="26"/>
  <c r="F3592" i="26"/>
  <c r="F3591" i="26"/>
  <c r="F3590" i="26"/>
  <c r="F3589" i="26"/>
  <c r="F3588" i="26"/>
  <c r="F3587" i="26"/>
  <c r="F3586" i="26"/>
  <c r="F3585" i="26"/>
  <c r="F3584" i="26"/>
  <c r="F3583" i="26"/>
  <c r="F3582" i="26"/>
  <c r="F3581" i="26"/>
  <c r="F3580" i="26"/>
  <c r="F3579" i="26"/>
  <c r="F3578" i="26"/>
  <c r="F3577" i="26"/>
  <c r="F3576" i="26"/>
  <c r="F3575" i="26"/>
  <c r="F3574" i="26"/>
  <c r="F3573" i="26"/>
  <c r="F3572" i="26"/>
  <c r="F3571" i="26"/>
  <c r="F3570" i="26"/>
  <c r="F3569" i="26"/>
  <c r="F3568" i="26"/>
  <c r="F3567" i="26"/>
  <c r="F3566" i="26"/>
  <c r="F3565" i="26"/>
  <c r="F3564" i="26"/>
  <c r="F3563" i="26"/>
  <c r="F3562" i="26"/>
  <c r="F3561" i="26"/>
  <c r="F3560" i="26"/>
  <c r="F3559" i="26"/>
  <c r="F3558" i="26"/>
  <c r="F3557" i="26"/>
  <c r="F3556" i="26"/>
  <c r="F3555" i="26"/>
  <c r="F3554" i="26"/>
  <c r="F3553" i="26"/>
  <c r="F3552" i="26"/>
  <c r="F3551" i="26"/>
  <c r="F3550" i="26"/>
  <c r="F3549" i="26"/>
  <c r="F3548" i="26"/>
  <c r="F3547" i="26"/>
  <c r="F3546" i="26"/>
  <c r="F3545" i="26"/>
  <c r="F3544" i="26"/>
  <c r="F3543" i="26"/>
  <c r="F3542" i="26"/>
  <c r="F3541" i="26"/>
  <c r="F3540" i="26"/>
  <c r="F3539" i="26"/>
  <c r="F3538" i="26"/>
  <c r="F3537" i="26"/>
  <c r="F3536" i="26"/>
  <c r="F3535" i="26"/>
  <c r="F3534" i="26"/>
  <c r="F3533" i="26"/>
  <c r="F3532" i="26"/>
  <c r="F3531" i="26"/>
  <c r="F3530" i="26"/>
  <c r="F3529" i="26"/>
  <c r="F3528" i="26"/>
  <c r="F3527" i="26"/>
  <c r="F3526" i="26"/>
  <c r="F3525" i="26"/>
  <c r="F3524" i="26"/>
  <c r="F3523" i="26"/>
  <c r="F3522" i="26"/>
  <c r="F3521" i="26"/>
  <c r="F3520" i="26"/>
  <c r="F3519" i="26"/>
  <c r="F3518" i="26"/>
  <c r="F3516" i="26"/>
  <c r="F3515" i="26"/>
  <c r="F3514" i="26"/>
  <c r="F3513" i="26"/>
  <c r="F3512" i="26"/>
  <c r="F3511" i="26"/>
  <c r="F3510" i="26"/>
  <c r="F3509" i="26"/>
  <c r="F3508" i="26"/>
  <c r="F3507" i="26"/>
  <c r="F3506" i="26"/>
  <c r="F3505" i="26"/>
  <c r="F3504" i="26"/>
  <c r="F3503" i="26"/>
  <c r="F3502" i="26"/>
  <c r="F3501" i="26"/>
  <c r="F3500" i="26"/>
  <c r="F3499" i="26"/>
  <c r="F3498" i="26"/>
  <c r="F3497" i="26"/>
  <c r="F3496" i="26"/>
  <c r="F3495" i="26"/>
  <c r="F3494" i="26"/>
  <c r="F3493" i="26"/>
  <c r="F3492" i="26"/>
  <c r="F3491" i="26"/>
  <c r="F3490" i="26"/>
  <c r="F3489" i="26"/>
  <c r="F3488" i="26"/>
  <c r="F3487" i="26"/>
  <c r="F3486" i="26"/>
  <c r="F3485" i="26"/>
  <c r="F3484" i="26"/>
  <c r="F3483" i="26"/>
  <c r="F3482" i="26"/>
  <c r="F3481" i="26"/>
  <c r="F3480" i="26"/>
  <c r="F3479" i="26"/>
  <c r="F3478" i="26"/>
  <c r="F3477" i="26"/>
  <c r="F3476" i="26"/>
  <c r="F3475" i="26"/>
  <c r="F3474" i="26"/>
  <c r="F3473" i="26"/>
  <c r="F3472" i="26"/>
  <c r="F3471" i="26"/>
  <c r="F3470" i="26"/>
  <c r="F3469" i="26"/>
  <c r="F3468" i="26"/>
  <c r="F3467" i="26"/>
  <c r="F3466" i="26"/>
  <c r="F3465" i="26"/>
  <c r="F3464" i="26"/>
  <c r="F3463" i="26"/>
  <c r="F3462" i="26"/>
  <c r="F3461" i="26"/>
  <c r="F3460" i="26"/>
  <c r="F3459" i="26"/>
  <c r="F3458" i="26"/>
  <c r="F3457" i="26"/>
  <c r="F3456" i="26"/>
  <c r="F3455" i="26"/>
  <c r="F3454" i="26"/>
  <c r="F3453" i="26"/>
  <c r="F3452" i="26"/>
  <c r="F3451" i="26"/>
  <c r="F3450" i="26"/>
  <c r="F3449" i="26"/>
  <c r="F3448" i="26"/>
  <c r="F3447" i="26"/>
  <c r="F3446" i="26"/>
  <c r="F3445" i="26"/>
  <c r="F3444" i="26"/>
  <c r="F3443" i="26"/>
  <c r="F3442" i="26"/>
  <c r="F3441" i="26"/>
  <c r="F3440" i="26"/>
  <c r="F3439" i="26"/>
  <c r="F3438" i="26"/>
  <c r="F3437" i="26"/>
  <c r="F3436" i="26"/>
  <c r="F3435" i="26"/>
  <c r="F3434" i="26"/>
  <c r="F3433" i="26"/>
  <c r="F3432" i="26"/>
  <c r="F3431" i="26"/>
  <c r="F3430" i="26"/>
  <c r="F3429" i="26"/>
  <c r="F3428" i="26"/>
  <c r="F3427" i="26"/>
  <c r="F3426" i="26"/>
  <c r="F3425" i="26"/>
  <c r="F3424" i="26"/>
  <c r="F3423" i="26"/>
  <c r="F3422" i="26"/>
  <c r="F3421" i="26"/>
  <c r="F3420" i="26"/>
  <c r="F3419" i="26"/>
  <c r="F3418" i="26"/>
  <c r="F3417" i="26"/>
  <c r="F3416" i="26"/>
  <c r="F3415" i="26"/>
  <c r="F3414" i="26"/>
  <c r="F3413" i="26"/>
  <c r="F3412" i="26"/>
  <c r="F3411" i="26"/>
  <c r="F3410" i="26"/>
  <c r="F3409" i="26"/>
  <c r="F3408" i="26"/>
  <c r="F3407" i="26"/>
  <c r="F3406" i="26"/>
  <c r="F3405" i="26"/>
  <c r="F3404" i="26"/>
  <c r="F3403" i="26"/>
  <c r="F3402" i="26"/>
  <c r="F3401" i="26"/>
  <c r="F3400" i="26"/>
  <c r="F3399" i="26"/>
  <c r="F3398" i="26"/>
  <c r="F3397" i="26"/>
  <c r="F3396" i="26"/>
  <c r="F3395" i="26"/>
  <c r="F3394" i="26"/>
  <c r="F3393" i="26"/>
  <c r="F3392" i="26"/>
  <c r="F3391" i="26"/>
  <c r="F3390" i="26"/>
  <c r="F3389" i="26"/>
  <c r="F3388" i="26"/>
  <c r="F3387" i="26"/>
  <c r="F3386" i="26"/>
  <c r="F3385" i="26"/>
  <c r="F3384" i="26"/>
  <c r="F3383" i="26"/>
  <c r="F3382" i="26"/>
  <c r="F3381" i="26"/>
  <c r="F3380" i="26"/>
  <c r="F3379" i="26"/>
  <c r="F3378" i="26"/>
  <c r="F3377" i="26"/>
  <c r="F3376" i="26"/>
  <c r="F3375" i="26"/>
  <c r="F3374" i="26"/>
  <c r="F3373" i="26"/>
  <c r="F3372" i="26"/>
  <c r="F3371" i="26"/>
  <c r="F3370" i="26"/>
  <c r="F3369" i="26"/>
  <c r="F3368" i="26"/>
  <c r="F3367" i="26"/>
  <c r="F3366" i="26"/>
  <c r="F3365" i="26"/>
  <c r="F3364" i="26"/>
  <c r="F3363" i="26"/>
  <c r="F3362" i="26"/>
  <c r="F3361" i="26"/>
  <c r="F3360" i="26"/>
  <c r="F3359" i="26"/>
  <c r="F3358" i="26"/>
  <c r="F3357" i="26"/>
  <c r="F3356" i="26"/>
  <c r="F3355" i="26"/>
  <c r="F3354" i="26"/>
  <c r="F3353" i="26"/>
  <c r="F3352" i="26"/>
  <c r="F3351" i="26"/>
  <c r="F3350" i="26"/>
  <c r="F3349" i="26"/>
  <c r="F3348" i="26"/>
  <c r="F3347" i="26"/>
  <c r="F3346" i="26"/>
  <c r="F3345" i="26"/>
  <c r="F3344" i="26"/>
  <c r="F3343" i="26"/>
  <c r="F3342" i="26"/>
  <c r="F3341" i="26"/>
  <c r="F3340" i="26"/>
  <c r="F3339" i="26"/>
  <c r="F3338" i="26"/>
  <c r="F3337" i="26"/>
  <c r="F3336" i="26"/>
  <c r="F3335" i="26"/>
  <c r="F3334" i="26"/>
  <c r="F3333" i="26"/>
  <c r="F3332" i="26"/>
  <c r="F3331" i="26"/>
  <c r="F3330" i="26"/>
  <c r="F3329" i="26"/>
  <c r="F3328" i="26"/>
  <c r="F3327" i="26"/>
  <c r="F3326" i="26"/>
  <c r="F3325" i="26"/>
  <c r="F3324" i="26"/>
  <c r="F3323" i="26"/>
  <c r="F3322" i="26"/>
  <c r="F3321" i="26"/>
  <c r="F3320" i="26"/>
  <c r="F3319" i="26"/>
  <c r="F3318" i="26"/>
  <c r="F3317" i="26"/>
  <c r="F3316" i="26"/>
  <c r="F3315" i="26"/>
  <c r="F3314" i="26"/>
  <c r="F3313" i="26"/>
  <c r="F3312" i="26"/>
  <c r="F3311" i="26"/>
  <c r="F3310" i="26"/>
  <c r="F3309" i="26"/>
  <c r="F3308" i="26"/>
  <c r="F3307" i="26"/>
  <c r="F3306" i="26"/>
  <c r="F3305" i="26"/>
  <c r="F3304" i="26"/>
  <c r="F3303" i="26"/>
  <c r="F3302" i="26"/>
  <c r="F3301" i="26"/>
  <c r="F3300" i="26"/>
  <c r="F3299" i="26"/>
  <c r="F3298" i="26"/>
  <c r="F3297" i="26"/>
  <c r="F3296" i="26"/>
  <c r="F3295" i="26"/>
  <c r="F3294" i="26"/>
  <c r="F3293" i="26"/>
  <c r="F3292" i="26"/>
  <c r="F3291" i="26"/>
  <c r="F3290" i="26"/>
  <c r="F3289" i="26"/>
  <c r="F3288" i="26"/>
  <c r="F3287" i="26"/>
  <c r="F3286" i="26"/>
  <c r="F3285" i="26"/>
  <c r="F3284" i="26"/>
  <c r="F3283" i="26"/>
  <c r="F3282" i="26"/>
  <c r="F3281" i="26"/>
  <c r="F3280" i="26"/>
  <c r="F3279" i="26"/>
  <c r="F3278" i="26"/>
  <c r="F3277" i="26"/>
  <c r="F3276" i="26"/>
  <c r="F3275" i="26"/>
  <c r="F3274" i="26"/>
  <c r="F3273" i="26"/>
  <c r="F3272" i="26"/>
  <c r="F3271" i="26"/>
  <c r="F3270" i="26"/>
  <c r="F3269" i="26"/>
  <c r="F3268" i="26"/>
  <c r="F3267" i="26"/>
  <c r="F3266" i="26"/>
  <c r="F3265" i="26"/>
  <c r="F3264" i="26"/>
  <c r="F3263" i="26"/>
  <c r="F3262" i="26"/>
  <c r="F3261" i="26"/>
  <c r="F3260" i="26"/>
  <c r="F3259" i="26"/>
  <c r="F3258" i="26"/>
  <c r="F3257" i="26"/>
  <c r="F3256" i="26"/>
  <c r="F3255" i="26"/>
  <c r="F3254" i="26"/>
  <c r="F3253" i="26"/>
  <c r="F3252" i="26"/>
  <c r="F3251" i="26"/>
  <c r="F3250" i="26"/>
  <c r="F3249" i="26"/>
  <c r="F3248" i="26"/>
  <c r="F3247" i="26"/>
  <c r="F3246" i="26"/>
  <c r="F3245" i="26"/>
  <c r="F3244" i="26"/>
  <c r="F3243" i="26"/>
  <c r="F3242" i="26"/>
  <c r="F3241" i="26"/>
  <c r="F3240" i="26"/>
  <c r="F3239" i="26"/>
  <c r="F3238" i="26"/>
  <c r="F3237" i="26"/>
  <c r="F3236" i="26"/>
  <c r="F3235" i="26"/>
  <c r="F3234" i="26"/>
  <c r="F3233" i="26"/>
  <c r="F3232" i="26"/>
  <c r="F3231" i="26"/>
  <c r="F3230" i="26"/>
  <c r="F3229" i="26"/>
  <c r="F3228" i="26"/>
  <c r="F3227" i="26"/>
  <c r="F3226" i="26"/>
  <c r="F3225" i="26"/>
  <c r="F3224" i="26"/>
  <c r="F3223" i="26"/>
  <c r="F3222" i="26"/>
  <c r="F3221" i="26"/>
  <c r="F3220" i="26"/>
  <c r="F3219" i="26"/>
  <c r="F3218" i="26"/>
  <c r="F3217" i="26"/>
  <c r="F3216" i="26"/>
  <c r="F3215" i="26"/>
  <c r="F3214" i="26"/>
  <c r="F3213" i="26"/>
  <c r="F3212" i="26"/>
  <c r="F3211" i="26"/>
  <c r="F3210" i="26"/>
  <c r="F3209" i="26"/>
  <c r="F3208" i="26"/>
  <c r="F3207" i="26"/>
  <c r="F3206" i="26"/>
  <c r="F3205" i="26"/>
  <c r="F3204" i="26"/>
  <c r="F3203" i="26"/>
  <c r="F3202" i="26"/>
  <c r="F3201" i="26"/>
  <c r="F3200" i="26"/>
  <c r="F3199" i="26"/>
  <c r="F3198" i="26"/>
  <c r="F3197" i="26"/>
  <c r="F3196" i="26"/>
  <c r="F3195" i="26"/>
  <c r="F3194" i="26"/>
  <c r="F3193" i="26"/>
  <c r="F3192" i="26"/>
  <c r="F3191" i="26"/>
  <c r="F3190" i="26"/>
  <c r="F3189" i="26"/>
  <c r="F3188" i="26"/>
  <c r="F3187" i="26"/>
  <c r="F3186" i="26"/>
  <c r="F3185" i="26"/>
  <c r="F3184" i="26"/>
  <c r="F3183" i="26"/>
  <c r="F3182" i="26"/>
  <c r="F3181" i="26"/>
  <c r="F3180" i="26"/>
  <c r="F3179" i="26"/>
  <c r="F3178" i="26"/>
  <c r="F3177" i="26"/>
  <c r="F3176" i="26"/>
  <c r="F3175" i="26"/>
  <c r="F3174" i="26"/>
  <c r="F3173" i="26"/>
  <c r="F3172" i="26"/>
  <c r="F3171" i="26"/>
  <c r="F3170" i="26"/>
  <c r="F3169" i="26"/>
  <c r="F3168" i="26"/>
  <c r="F3167" i="26"/>
  <c r="F3166" i="26"/>
  <c r="F3165" i="26"/>
  <c r="F3164" i="26"/>
  <c r="F3163" i="26"/>
  <c r="F3162" i="26"/>
  <c r="F3161" i="26"/>
  <c r="F3160" i="26"/>
  <c r="F3159" i="26"/>
  <c r="F3158" i="26"/>
  <c r="F3157" i="26"/>
  <c r="F3156" i="26"/>
  <c r="F3155" i="26"/>
  <c r="F3154" i="26"/>
  <c r="F3153" i="26"/>
  <c r="F3152" i="26"/>
  <c r="F3151" i="26"/>
  <c r="F3150" i="26"/>
  <c r="F3149" i="26"/>
  <c r="F3148" i="26"/>
  <c r="F3147" i="26"/>
  <c r="F3146" i="26"/>
  <c r="F3145" i="26"/>
  <c r="F3144" i="26"/>
  <c r="F3143" i="26"/>
  <c r="F3142" i="26"/>
  <c r="F3141" i="26"/>
  <c r="F3140" i="26"/>
  <c r="F3139" i="26"/>
  <c r="F3138" i="26"/>
  <c r="F3137" i="26"/>
  <c r="F3136" i="26"/>
  <c r="F3135" i="26"/>
  <c r="F3134" i="26"/>
  <c r="F3133" i="26"/>
  <c r="F3132" i="26"/>
  <c r="F3131" i="26"/>
  <c r="F3130" i="26"/>
  <c r="F3129" i="26"/>
  <c r="F3128" i="26"/>
  <c r="F3127" i="26"/>
  <c r="F3126" i="26"/>
  <c r="F3125" i="26"/>
  <c r="F3124" i="26"/>
  <c r="F3123" i="26"/>
  <c r="F3122" i="26"/>
  <c r="F3121" i="26"/>
  <c r="F3120" i="26"/>
  <c r="F3119" i="26"/>
  <c r="F3118" i="26"/>
  <c r="F3117" i="26"/>
  <c r="F3116" i="26"/>
  <c r="F3115" i="26"/>
  <c r="F3114" i="26"/>
  <c r="F3113" i="26"/>
  <c r="F3112" i="26"/>
  <c r="F3111" i="26"/>
  <c r="F3110" i="26"/>
  <c r="F3109" i="26"/>
  <c r="F3108" i="26"/>
  <c r="F3107" i="26"/>
  <c r="F3106" i="26"/>
  <c r="F3105" i="26"/>
  <c r="F3104" i="26"/>
  <c r="F3103" i="26"/>
  <c r="F3102" i="26"/>
  <c r="F3101" i="26"/>
  <c r="F3100" i="26"/>
  <c r="F3099" i="26"/>
  <c r="F3098" i="26"/>
  <c r="F3097" i="26"/>
  <c r="F3096" i="26"/>
  <c r="F3095" i="26"/>
  <c r="F3094" i="26"/>
  <c r="F3093" i="26"/>
  <c r="F3092" i="26"/>
  <c r="F3091" i="26"/>
  <c r="F3090" i="26"/>
  <c r="F3089" i="26"/>
  <c r="F3088" i="26"/>
  <c r="F3087" i="26"/>
  <c r="F3086" i="26"/>
  <c r="F3085" i="26"/>
  <c r="F3084" i="26"/>
  <c r="F3083" i="26"/>
  <c r="F3082" i="26"/>
  <c r="F3081" i="26"/>
  <c r="F3080" i="26"/>
  <c r="F3079" i="26"/>
  <c r="F3078" i="26"/>
  <c r="F3077" i="26"/>
  <c r="F3076" i="26"/>
  <c r="F3075" i="26"/>
  <c r="G3074" i="26"/>
  <c r="G3073" i="26"/>
  <c r="F3072" i="26"/>
  <c r="F3071" i="26"/>
  <c r="F3070" i="26"/>
  <c r="F3069" i="26"/>
  <c r="F3068" i="26"/>
  <c r="F3067" i="26"/>
  <c r="F3066" i="26"/>
  <c r="F3065" i="26"/>
  <c r="F3064" i="26"/>
  <c r="F3063" i="26"/>
  <c r="F3062" i="26"/>
  <c r="F3061" i="26"/>
  <c r="F3060" i="26"/>
  <c r="F3059" i="26"/>
  <c r="F3058" i="26"/>
  <c r="F3057" i="26"/>
  <c r="F3056" i="26"/>
  <c r="F3055" i="26"/>
  <c r="F3054" i="26"/>
  <c r="F3053" i="26"/>
  <c r="F3052" i="26"/>
  <c r="F3051" i="26"/>
  <c r="F3050" i="26"/>
  <c r="F3049" i="26"/>
  <c r="F3048" i="26"/>
  <c r="F3047" i="26"/>
  <c r="F3046" i="26"/>
  <c r="F3045" i="26"/>
  <c r="F3044" i="26"/>
  <c r="F3040" i="26"/>
  <c r="F3039" i="26"/>
  <c r="F3043" i="26"/>
  <c r="F3042" i="26"/>
  <c r="F3041" i="26"/>
  <c r="F3038" i="26"/>
  <c r="F3037" i="26"/>
  <c r="F3036" i="26"/>
  <c r="F3035" i="26"/>
  <c r="F3034" i="26"/>
  <c r="F3033" i="26"/>
  <c r="F3032" i="26"/>
  <c r="F3031" i="26"/>
  <c r="F3030" i="26"/>
  <c r="F3029" i="26"/>
  <c r="F3028" i="26"/>
  <c r="F3027" i="26"/>
  <c r="F3026" i="26"/>
  <c r="F3025" i="26"/>
  <c r="F3024" i="26"/>
  <c r="F3023" i="26"/>
  <c r="F3022" i="26"/>
  <c r="F3021" i="26"/>
  <c r="F3020" i="26"/>
  <c r="F3019" i="26"/>
  <c r="F3018" i="26"/>
  <c r="F3017" i="26"/>
  <c r="F3016" i="26"/>
  <c r="F3015" i="26"/>
  <c r="F3014" i="26"/>
  <c r="F3013" i="26"/>
  <c r="F3012" i="26"/>
  <c r="F3011" i="26"/>
  <c r="F3010" i="26"/>
  <c r="F3009" i="26"/>
  <c r="F3008" i="26"/>
  <c r="F3007" i="26"/>
  <c r="F3006" i="26"/>
  <c r="F3005" i="26"/>
  <c r="F3004" i="26"/>
  <c r="F3003" i="26"/>
  <c r="F3002" i="26"/>
  <c r="F3001" i="26"/>
  <c r="F3000" i="26"/>
  <c r="F2999" i="26"/>
  <c r="F2998" i="26"/>
  <c r="F2997" i="26"/>
  <c r="F2996" i="26"/>
  <c r="F2995" i="26"/>
  <c r="F2994" i="26"/>
  <c r="F2993" i="26"/>
  <c r="F2992" i="26"/>
  <c r="F2991" i="26"/>
  <c r="F2990" i="26"/>
  <c r="F2989" i="26"/>
  <c r="F2988" i="26"/>
  <c r="F2987" i="26"/>
  <c r="F2986" i="26"/>
  <c r="F2985" i="26"/>
  <c r="F2984" i="26"/>
  <c r="F2983" i="26"/>
  <c r="F2982" i="26"/>
  <c r="F2981" i="26"/>
  <c r="F2980" i="26"/>
  <c r="F2979" i="26"/>
  <c r="F2978" i="26"/>
  <c r="F2977" i="26"/>
  <c r="F2976" i="26"/>
  <c r="F2975" i="26"/>
  <c r="F2974" i="26"/>
  <c r="F2973" i="26"/>
  <c r="F2972" i="26"/>
  <c r="F2971" i="26"/>
  <c r="F2970" i="26"/>
  <c r="F2969" i="26"/>
  <c r="F2968" i="26"/>
  <c r="F2967" i="26"/>
  <c r="F2966" i="26"/>
  <c r="F2965" i="26"/>
  <c r="F2964" i="26"/>
  <c r="F2963" i="26"/>
  <c r="F2962" i="26"/>
  <c r="F2961" i="26"/>
  <c r="F2960" i="26"/>
  <c r="F2959" i="26"/>
  <c r="F2958" i="26"/>
  <c r="F2957" i="26"/>
  <c r="F2956" i="26"/>
  <c r="F2955" i="26"/>
  <c r="F2954" i="26"/>
  <c r="F2953" i="26"/>
  <c r="F2952" i="26"/>
  <c r="F2951" i="26"/>
  <c r="F2950" i="26"/>
  <c r="F2949" i="26"/>
  <c r="F2948" i="26"/>
  <c r="F2947" i="26"/>
  <c r="F2946" i="26"/>
  <c r="F2945" i="26"/>
  <c r="F2944" i="26"/>
  <c r="F2943" i="26"/>
  <c r="F2942" i="26"/>
  <c r="F2941" i="26"/>
  <c r="F2940" i="26"/>
  <c r="F2939" i="26"/>
  <c r="F2938" i="26"/>
  <c r="F2937" i="26"/>
  <c r="F2936" i="26"/>
  <c r="F2935" i="26"/>
  <c r="F2934" i="26"/>
  <c r="F2933" i="26"/>
  <c r="F2932" i="26"/>
  <c r="F2931" i="26"/>
  <c r="F2930" i="26"/>
  <c r="F2929" i="26"/>
  <c r="F2928" i="26"/>
  <c r="F2927" i="26"/>
  <c r="F2926" i="26"/>
  <c r="F2925" i="26"/>
  <c r="F2924" i="26"/>
  <c r="F2923" i="26"/>
  <c r="F2922" i="26"/>
  <c r="F2921" i="26"/>
  <c r="F2920" i="26"/>
  <c r="F2919" i="26"/>
  <c r="F2918" i="26"/>
  <c r="F2917" i="26"/>
  <c r="F2916" i="26"/>
  <c r="F2915" i="26"/>
  <c r="F2914" i="26"/>
  <c r="F2913" i="26"/>
  <c r="F2912" i="26"/>
  <c r="F2911" i="26"/>
  <c r="F2910" i="26"/>
  <c r="F2909" i="26"/>
  <c r="F2908" i="26"/>
  <c r="F2907" i="26"/>
  <c r="F2906" i="26"/>
  <c r="F2905" i="26"/>
  <c r="F2904" i="26"/>
  <c r="F2903" i="26"/>
  <c r="F2902" i="26"/>
  <c r="F2901" i="26"/>
  <c r="F2900" i="26"/>
  <c r="F2899" i="26"/>
  <c r="F2898" i="26"/>
  <c r="F2897" i="26"/>
  <c r="F2896" i="26"/>
  <c r="F2895" i="26"/>
  <c r="F2894" i="26"/>
  <c r="F2893" i="26"/>
  <c r="F2892" i="26"/>
  <c r="F2891" i="26"/>
  <c r="F2890" i="26"/>
  <c r="F2889" i="26"/>
  <c r="F2888" i="26"/>
  <c r="F2887" i="26"/>
  <c r="F2886" i="26"/>
  <c r="F2885" i="26"/>
  <c r="F2884" i="26"/>
  <c r="F2883" i="26"/>
  <c r="F2882" i="26"/>
  <c r="F2881" i="26"/>
  <c r="F2880" i="26"/>
  <c r="F2879" i="26"/>
  <c r="F2878" i="26"/>
  <c r="F2877" i="26"/>
  <c r="F2876" i="26"/>
  <c r="F2875" i="26"/>
  <c r="F2874" i="26"/>
  <c r="F2873" i="26"/>
  <c r="F2872" i="26"/>
  <c r="F2871" i="26"/>
  <c r="F2870" i="26"/>
  <c r="F2869" i="26"/>
  <c r="F2868" i="26"/>
  <c r="F2867" i="26"/>
  <c r="F2866" i="26"/>
  <c r="F2865" i="26"/>
  <c r="F2864" i="26"/>
  <c r="F2863" i="26"/>
  <c r="F2862" i="26"/>
  <c r="F2861" i="26"/>
  <c r="F2860" i="26"/>
  <c r="F2859" i="26"/>
  <c r="F2858" i="26"/>
  <c r="F2857" i="26"/>
  <c r="F2856" i="26"/>
  <c r="F2855" i="26"/>
  <c r="F2854" i="26"/>
  <c r="F2853" i="26"/>
  <c r="F2852" i="26"/>
  <c r="F2851" i="26"/>
  <c r="F2850" i="26"/>
  <c r="F2849" i="26"/>
  <c r="F2848" i="26"/>
  <c r="F2847" i="26"/>
  <c r="F2846" i="26"/>
  <c r="F2845" i="26"/>
  <c r="F2844" i="26"/>
  <c r="F2843" i="26"/>
  <c r="F2842" i="26"/>
  <c r="F2841" i="26"/>
  <c r="F2840" i="26"/>
  <c r="F2839" i="26"/>
  <c r="F2838" i="26"/>
  <c r="F2837" i="26"/>
  <c r="F2836" i="26"/>
  <c r="F2835" i="26"/>
  <c r="F2834" i="26"/>
  <c r="F2833" i="26"/>
  <c r="F2832" i="26"/>
  <c r="F2831" i="26"/>
  <c r="F2830" i="26"/>
  <c r="F2829" i="26"/>
  <c r="F2828" i="26"/>
  <c r="F2827" i="26"/>
  <c r="F2826" i="26"/>
  <c r="F2825" i="26"/>
  <c r="F2824" i="26"/>
  <c r="F2823" i="26"/>
  <c r="F2822" i="26"/>
  <c r="F2821" i="26"/>
  <c r="F2820" i="26"/>
  <c r="F2819" i="26"/>
  <c r="F2818" i="26"/>
  <c r="F2817" i="26"/>
  <c r="F2816" i="26"/>
  <c r="F2815" i="26"/>
  <c r="F2814" i="26"/>
  <c r="F2813" i="26"/>
  <c r="F2812" i="26"/>
  <c r="F2811" i="26"/>
  <c r="F2810" i="26"/>
  <c r="F2809" i="26"/>
  <c r="F2808" i="26"/>
  <c r="F2807" i="26"/>
  <c r="F2806" i="26"/>
  <c r="F2805" i="26"/>
  <c r="F2804" i="26"/>
  <c r="F2803" i="26"/>
  <c r="F2802" i="26"/>
  <c r="F2801" i="26"/>
  <c r="F2800" i="26"/>
  <c r="F2799" i="26"/>
  <c r="F2798" i="26"/>
  <c r="F2797" i="26"/>
  <c r="F2796" i="26"/>
  <c r="F2795" i="26"/>
  <c r="F2794" i="26"/>
  <c r="F2793" i="26"/>
  <c r="F2792" i="26"/>
  <c r="F2791" i="26"/>
  <c r="F2790" i="26"/>
  <c r="F2789" i="26"/>
  <c r="F2788" i="26"/>
  <c r="F2787" i="26"/>
  <c r="F2786" i="26"/>
  <c r="F2785" i="26"/>
  <c r="F2784" i="26"/>
  <c r="F2783" i="26"/>
  <c r="F2782" i="26"/>
  <c r="F2781" i="26"/>
  <c r="F2780" i="26"/>
  <c r="F2779" i="26"/>
  <c r="F2778" i="26"/>
  <c r="F2777" i="26"/>
  <c r="F2776" i="26"/>
  <c r="F2775" i="26"/>
  <c r="F2774" i="26"/>
  <c r="F2773" i="26"/>
  <c r="F2772" i="26"/>
  <c r="F2771" i="26"/>
  <c r="F2770" i="26"/>
  <c r="F2769" i="26"/>
  <c r="F2768" i="26"/>
  <c r="F2767" i="26"/>
  <c r="F2766" i="26"/>
  <c r="F2765" i="26"/>
  <c r="F2764" i="26"/>
  <c r="F2763" i="26"/>
  <c r="F2762" i="26"/>
  <c r="F2761" i="26"/>
  <c r="F2760" i="26"/>
  <c r="F2759" i="26"/>
  <c r="F2758" i="26"/>
  <c r="F2757" i="26"/>
  <c r="F2756" i="26"/>
  <c r="F2755" i="26"/>
  <c r="F2754" i="26"/>
  <c r="F2753" i="26"/>
  <c r="F2752" i="26"/>
  <c r="F2751" i="26"/>
  <c r="F2750" i="26"/>
  <c r="F2749" i="26"/>
  <c r="F2748" i="26"/>
  <c r="F2747" i="26"/>
  <c r="F2746" i="26"/>
  <c r="F2745" i="26"/>
  <c r="F2744" i="26"/>
  <c r="F2743" i="26"/>
  <c r="F2742" i="26"/>
  <c r="F2741" i="26"/>
  <c r="F2740" i="26"/>
  <c r="F2739" i="26"/>
  <c r="F2738" i="26"/>
  <c r="F2737" i="26"/>
  <c r="F2736" i="26"/>
  <c r="F2735" i="26"/>
  <c r="F2734" i="26"/>
  <c r="F2733" i="26"/>
  <c r="F2732" i="26"/>
  <c r="F2731" i="26"/>
  <c r="F2730" i="26"/>
  <c r="F2729" i="26"/>
  <c r="F2728" i="26"/>
  <c r="F2727" i="26"/>
  <c r="F2726" i="26"/>
  <c r="F2725" i="26"/>
  <c r="F2724" i="26"/>
  <c r="F2723" i="26"/>
  <c r="F2722" i="26"/>
  <c r="F2721" i="26"/>
  <c r="F2720" i="26"/>
  <c r="F2719" i="26"/>
  <c r="F2718" i="26"/>
  <c r="F2717" i="26"/>
  <c r="F2716" i="26"/>
  <c r="F2715" i="26"/>
  <c r="F2714" i="26"/>
  <c r="F2713" i="26"/>
  <c r="F2712" i="26"/>
  <c r="F2711" i="26"/>
  <c r="F2710" i="26"/>
  <c r="F2709" i="26"/>
  <c r="F2708" i="26"/>
  <c r="F2707" i="26"/>
  <c r="F2706" i="26"/>
  <c r="F2705" i="26"/>
  <c r="F2704" i="26"/>
  <c r="F2703" i="26"/>
  <c r="J26" i="27" l="1"/>
  <c r="F279" i="1"/>
  <c r="F280" i="1"/>
  <c r="D19" i="2"/>
  <c r="E3" i="2"/>
  <c r="E5" i="2"/>
  <c r="F290" i="1" l="1"/>
  <c r="F291" i="1"/>
  <c r="F292" i="1"/>
  <c r="F322" i="1"/>
  <c r="F295" i="1"/>
  <c r="F405" i="1"/>
  <c r="F301" i="1"/>
  <c r="F302" i="1"/>
  <c r="F333" i="1"/>
  <c r="F334" i="1"/>
  <c r="F548" i="1"/>
  <c r="F588" i="1"/>
  <c r="F589" i="1"/>
  <c r="F599" i="1"/>
  <c r="F600" i="1"/>
  <c r="F612" i="1"/>
  <c r="F340" i="1"/>
  <c r="F239" i="1"/>
  <c r="F631" i="1"/>
  <c r="F632" i="1"/>
  <c r="F633" i="1"/>
  <c r="F634" i="1"/>
  <c r="F652" i="1"/>
  <c r="F498" i="1"/>
  <c r="F533" i="1"/>
  <c r="F534" i="1"/>
  <c r="F535" i="1"/>
  <c r="F536" i="1"/>
  <c r="F596" i="1"/>
  <c r="F607" i="1"/>
  <c r="F608" i="1"/>
  <c r="F740" i="1"/>
  <c r="F741" i="1"/>
  <c r="F742" i="1"/>
  <c r="F743" i="1"/>
  <c r="F22" i="1"/>
  <c r="F159" i="1"/>
  <c r="F160" i="1"/>
  <c r="F23" i="1"/>
  <c r="F165" i="1"/>
  <c r="F166" i="1"/>
  <c r="F167" i="1"/>
  <c r="F168" i="1"/>
  <c r="F204" i="1"/>
  <c r="F205" i="1"/>
  <c r="F206" i="1"/>
  <c r="F207" i="1"/>
  <c r="F539" i="1"/>
  <c r="F540" i="1"/>
  <c r="F541" i="1"/>
  <c r="F542" i="1"/>
  <c r="F170" i="1"/>
  <c r="F171" i="1"/>
  <c r="F172" i="1"/>
  <c r="F745" i="1"/>
  <c r="F24" i="1"/>
  <c r="F173" i="1"/>
  <c r="F208" i="1"/>
  <c r="F209" i="1"/>
  <c r="F210" i="1"/>
  <c r="F211" i="1"/>
  <c r="F235" i="1"/>
  <c r="F270" i="1"/>
  <c r="F271" i="1"/>
  <c r="F272" i="1"/>
  <c r="F273" i="1"/>
  <c r="F303" i="1"/>
  <c r="F304" i="1"/>
  <c r="F305" i="1"/>
  <c r="F306" i="1"/>
  <c r="F337" i="1"/>
  <c r="F338" i="1"/>
  <c r="F339" i="1"/>
  <c r="F185" i="1"/>
  <c r="F212" i="1"/>
  <c r="F686" i="1"/>
  <c r="F688" i="1"/>
  <c r="F689" i="1"/>
  <c r="F691" i="1"/>
  <c r="F690" i="1"/>
  <c r="F716" i="1"/>
  <c r="F717" i="1"/>
  <c r="F718" i="1"/>
  <c r="F366" i="1"/>
  <c r="F367" i="1"/>
  <c r="F368" i="1"/>
  <c r="F369" i="1"/>
  <c r="F370" i="1"/>
  <c r="F371" i="1"/>
  <c r="F372" i="1"/>
  <c r="F373" i="1"/>
  <c r="F374" i="1"/>
  <c r="F375" i="1"/>
  <c r="F376" i="1"/>
  <c r="F377" i="1"/>
  <c r="F580" i="1"/>
  <c r="F579" i="1"/>
  <c r="F582" i="1"/>
  <c r="F583" i="1"/>
  <c r="F584" i="1"/>
  <c r="F586" i="1"/>
  <c r="F597" i="1"/>
  <c r="F598" i="1"/>
  <c r="F163" i="1"/>
  <c r="F161" i="1"/>
  <c r="F162" i="1"/>
  <c r="F329" i="1"/>
  <c r="F234" i="1"/>
  <c r="F265" i="1"/>
  <c r="F266" i="1"/>
  <c r="F267" i="1"/>
  <c r="F268" i="1"/>
  <c r="F269" i="1"/>
  <c r="F543" i="1"/>
  <c r="F544" i="1"/>
  <c r="F545" i="1"/>
  <c r="F546" i="1"/>
  <c r="F547" i="1"/>
  <c r="F361" i="1"/>
  <c r="F362" i="1"/>
  <c r="F399" i="1"/>
  <c r="F425" i="1"/>
  <c r="F401" i="1"/>
  <c r="F402" i="1"/>
  <c r="F403" i="1"/>
  <c r="F404" i="1"/>
  <c r="F549" i="1"/>
  <c r="F550" i="1"/>
  <c r="F551" i="1"/>
  <c r="F213" i="1"/>
  <c r="F735" i="1"/>
  <c r="F76" i="1"/>
  <c r="F77" i="1"/>
  <c r="F78" i="1"/>
  <c r="F79" i="1"/>
  <c r="F80" i="1"/>
  <c r="F81" i="1"/>
  <c r="F75" i="1"/>
  <c r="F82" i="1"/>
  <c r="F378" i="1"/>
  <c r="F379" i="1"/>
  <c r="F380" i="1"/>
  <c r="F381" i="1"/>
  <c r="F382" i="1"/>
  <c r="F93" i="1"/>
  <c r="F131" i="1"/>
  <c r="F132" i="1"/>
  <c r="F581" i="1"/>
  <c r="F591" i="1"/>
  <c r="F590" i="1"/>
  <c r="F653" i="1"/>
  <c r="F592" i="1"/>
  <c r="F175" i="1"/>
  <c r="F176" i="1"/>
  <c r="F601" i="1"/>
  <c r="F602" i="1"/>
  <c r="F603" i="1"/>
  <c r="F604" i="1"/>
  <c r="F83" i="1"/>
  <c r="F242" i="1"/>
  <c r="F363" i="1"/>
  <c r="F557" i="1"/>
  <c r="F486" i="1"/>
  <c r="F487" i="1"/>
  <c r="F488" i="1"/>
  <c r="F229" i="1"/>
  <c r="F289" i="1"/>
  <c r="F261" i="1"/>
  <c r="F262" i="1"/>
  <c r="F177" i="1"/>
  <c r="F178" i="1"/>
  <c r="F618" i="1"/>
  <c r="F619" i="1"/>
  <c r="F622" i="1"/>
  <c r="F629" i="1"/>
  <c r="F630" i="1"/>
  <c r="F661" i="1"/>
  <c r="F662" i="1"/>
  <c r="F663" i="1"/>
  <c r="F70" i="1"/>
  <c r="F72" i="1"/>
  <c r="F364" i="1"/>
  <c r="F365" i="1"/>
  <c r="F635" i="1"/>
  <c r="F668" i="1"/>
  <c r="F669" i="1"/>
  <c r="F670" i="1"/>
  <c r="F558" i="1"/>
  <c r="F559" i="1"/>
  <c r="F572" i="1"/>
  <c r="F528" i="1"/>
  <c r="F529" i="1"/>
  <c r="F230" i="1"/>
  <c r="F231" i="1"/>
  <c r="F321" i="1"/>
  <c r="F437" i="1"/>
  <c r="F438" i="1"/>
  <c r="F439" i="1"/>
  <c r="F454" i="1"/>
  <c r="F455" i="1"/>
  <c r="F675" i="1"/>
  <c r="F254" i="1"/>
  <c r="F457" i="1"/>
  <c r="F26" i="1"/>
  <c r="F179" i="1"/>
  <c r="F180" i="1"/>
  <c r="F181" i="1"/>
  <c r="F182" i="1"/>
  <c r="F698" i="1"/>
  <c r="F664" i="1"/>
  <c r="F665" i="1"/>
  <c r="F667" i="1"/>
  <c r="F666" i="1"/>
  <c r="F73" i="1"/>
  <c r="F74" i="1"/>
  <c r="F71" i="1"/>
  <c r="F574" i="1"/>
  <c r="F573" i="1"/>
  <c r="F575" i="1"/>
  <c r="F576" i="1"/>
  <c r="F577" i="1"/>
  <c r="F189" i="1"/>
  <c r="F191" i="1"/>
  <c r="F222" i="1"/>
  <c r="F223" i="1"/>
  <c r="F560" i="1"/>
  <c r="F561" i="1"/>
  <c r="F672" i="1"/>
  <c r="F673" i="1"/>
  <c r="F719" i="1"/>
  <c r="F738" i="1"/>
  <c r="F564" i="1"/>
  <c r="F565" i="1"/>
  <c r="F19" i="1"/>
  <c r="F20" i="1"/>
  <c r="F53" i="1"/>
  <c r="F54" i="1"/>
  <c r="F106" i="1"/>
  <c r="F108" i="1"/>
  <c r="F109" i="1"/>
  <c r="F440" i="1"/>
  <c r="F441" i="1"/>
  <c r="F489" i="1"/>
  <c r="F490" i="1"/>
  <c r="F491" i="1"/>
  <c r="F492" i="1"/>
  <c r="F493" i="1"/>
  <c r="F530" i="1"/>
  <c r="F676" i="1"/>
  <c r="F677" i="1"/>
  <c r="F678" i="1"/>
  <c r="F674" i="1"/>
  <c r="F201" i="1"/>
  <c r="F391" i="1"/>
  <c r="F392" i="1"/>
  <c r="F393" i="1"/>
  <c r="F722" i="1"/>
  <c r="F723" i="1"/>
  <c r="F724" i="1"/>
  <c r="F499" i="1"/>
  <c r="F500" i="1"/>
  <c r="F501" i="1"/>
  <c r="F502" i="1"/>
  <c r="F503" i="1"/>
  <c r="F504" i="1"/>
  <c r="F610" i="1"/>
  <c r="F611" i="1"/>
  <c r="F537" i="1"/>
  <c r="F538" i="1"/>
  <c r="F169" i="1"/>
  <c r="F510" i="1"/>
  <c r="F511" i="1"/>
  <c r="F512" i="1"/>
  <c r="F309" i="1"/>
  <c r="F310" i="1"/>
  <c r="F318" i="1"/>
  <c r="F183" i="1"/>
  <c r="F184" i="1"/>
  <c r="F685" i="1"/>
  <c r="F687" i="1"/>
  <c r="F578" i="1"/>
  <c r="F224" i="1"/>
  <c r="F17" i="1"/>
  <c r="F107" i="1"/>
  <c r="F531" i="1"/>
  <c r="F532" i="1"/>
  <c r="F679" i="1"/>
  <c r="F232" i="1"/>
  <c r="F408" i="1"/>
  <c r="F255" i="1"/>
  <c r="F256" i="1"/>
  <c r="F257" i="1"/>
  <c r="F258" i="1"/>
  <c r="F288" i="1"/>
  <c r="F409" i="1"/>
  <c r="F406" i="1"/>
  <c r="F407" i="1"/>
  <c r="F410" i="1"/>
  <c r="F442" i="1"/>
  <c r="F443" i="1"/>
  <c r="F444" i="1"/>
  <c r="F445" i="1"/>
  <c r="F446" i="1"/>
  <c r="F494" i="1"/>
  <c r="F495" i="1"/>
  <c r="F496" i="1"/>
  <c r="F497" i="1"/>
  <c r="E28" i="5"/>
  <c r="G3" i="3"/>
  <c r="G4" i="3" s="1"/>
  <c r="G5" i="3" s="1"/>
  <c r="G6" i="3" s="1"/>
  <c r="G7" i="3" s="1"/>
  <c r="G8" i="3" s="1"/>
  <c r="G9" i="3" s="1"/>
  <c r="G10" i="3" s="1"/>
  <c r="G11" i="3" s="1"/>
  <c r="G12" i="3" s="1"/>
  <c r="G13" i="3" s="1"/>
  <c r="G14" i="3" s="1"/>
  <c r="G15" i="3" s="1"/>
  <c r="G16" i="3" s="1"/>
  <c r="G17" i="3" s="1"/>
  <c r="G18" i="3" s="1"/>
  <c r="G19" i="3" s="1"/>
  <c r="G20" i="3" s="1"/>
  <c r="G21" i="3" s="1"/>
  <c r="G22" i="3" s="1"/>
  <c r="G23" i="3" s="1"/>
  <c r="G24" i="3" s="1"/>
  <c r="G25" i="3" s="1"/>
  <c r="G26" i="3" s="1"/>
  <c r="G27" i="3" s="1"/>
  <c r="G28" i="3" s="1"/>
  <c r="G29" i="3" s="1"/>
  <c r="G30" i="3" s="1"/>
  <c r="G31" i="3" s="1"/>
  <c r="G32" i="3" s="1"/>
  <c r="G33" i="3" s="1"/>
  <c r="G34" i="3" s="1"/>
  <c r="G35" i="3" s="1"/>
  <c r="G36" i="3" s="1"/>
  <c r="G37" i="3" s="1"/>
  <c r="G38" i="3" s="1"/>
  <c r="G39" i="3" s="1"/>
  <c r="G40" i="3" s="1"/>
  <c r="G41" i="3" s="1"/>
  <c r="G42" i="3" s="1"/>
  <c r="G43" i="3" s="1"/>
  <c r="G44" i="3" s="1"/>
  <c r="G45" i="3" s="1"/>
  <c r="G46" i="3" s="1"/>
  <c r="G47" i="3" s="1"/>
  <c r="G48" i="3" s="1"/>
  <c r="G49" i="3" s="1"/>
  <c r="G50" i="3" s="1"/>
  <c r="G51" i="3" s="1"/>
  <c r="G52" i="3" s="1"/>
  <c r="G53" i="3" s="1"/>
  <c r="G54" i="3" s="1"/>
  <c r="G55" i="3" s="1"/>
  <c r="G56" i="3" s="1"/>
  <c r="G57" i="3" s="1"/>
  <c r="G58" i="3" s="1"/>
  <c r="G59" i="3" s="1"/>
  <c r="G60" i="3" s="1"/>
  <c r="G61" i="3" s="1"/>
  <c r="G62" i="3" s="1"/>
  <c r="G63" i="3" s="1"/>
  <c r="G64" i="3" s="1"/>
  <c r="G65" i="3" s="1"/>
  <c r="G66" i="3" s="1"/>
  <c r="G67" i="3" s="1"/>
  <c r="G68" i="3" s="1"/>
  <c r="G69" i="3" s="1"/>
  <c r="G70" i="3" s="1"/>
  <c r="G71" i="3" s="1"/>
  <c r="G72" i="3" s="1"/>
  <c r="G73" i="3" s="1"/>
  <c r="G74" i="3" s="1"/>
  <c r="G75" i="3" s="1"/>
  <c r="G76" i="3" s="1"/>
  <c r="G77" i="3" s="1"/>
  <c r="G78" i="3" s="1"/>
  <c r="G79" i="3" s="1"/>
  <c r="G80" i="3" s="1"/>
  <c r="G81" i="3" s="1"/>
  <c r="G82" i="3" s="1"/>
  <c r="G83" i="3" s="1"/>
  <c r="G84" i="3" s="1"/>
  <c r="G85" i="3" s="1"/>
  <c r="G86" i="3" s="1"/>
  <c r="G87" i="3" s="1"/>
  <c r="G88" i="3" s="1"/>
  <c r="G89" i="3" s="1"/>
  <c r="G90" i="3" s="1"/>
  <c r="G91" i="3" s="1"/>
  <c r="G92" i="3" s="1"/>
  <c r="G93" i="3" s="1"/>
  <c r="G94" i="3" s="1"/>
  <c r="G95" i="3" s="1"/>
  <c r="G96" i="3" s="1"/>
  <c r="G97" i="3" s="1"/>
  <c r="G98" i="3" s="1"/>
  <c r="G99" i="3" s="1"/>
  <c r="G100" i="3" s="1"/>
  <c r="G101" i="3" s="1"/>
  <c r="G102" i="3" s="1"/>
  <c r="G103" i="3" s="1"/>
  <c r="G104" i="3" s="1"/>
  <c r="G105" i="3" s="1"/>
  <c r="G106" i="3" s="1"/>
  <c r="G107" i="3" s="1"/>
  <c r="G108" i="3" s="1"/>
  <c r="G109" i="3" s="1"/>
  <c r="G110" i="3" s="1"/>
  <c r="G111" i="3" s="1"/>
  <c r="G112" i="3" s="1"/>
  <c r="G113" i="3" s="1"/>
  <c r="G114" i="3" s="1"/>
  <c r="G115" i="3" s="1"/>
  <c r="G116" i="3" s="1"/>
  <c r="G117" i="3" s="1"/>
  <c r="G118" i="3" s="1"/>
  <c r="G119" i="3" s="1"/>
  <c r="G120" i="3" s="1"/>
  <c r="G121" i="3" s="1"/>
  <c r="G122" i="3" s="1"/>
  <c r="G123" i="3" s="1"/>
  <c r="G124" i="3" s="1"/>
  <c r="G125" i="3" s="1"/>
  <c r="G126" i="3" s="1"/>
  <c r="G127" i="3" s="1"/>
  <c r="G128" i="3" s="1"/>
  <c r="G129" i="3" s="1"/>
  <c r="G130" i="3" s="1"/>
  <c r="G131" i="3" s="1"/>
  <c r="G132" i="3" s="1"/>
  <c r="G133" i="3" s="1"/>
  <c r="G134" i="3" s="1"/>
  <c r="G135" i="3" s="1"/>
  <c r="G136" i="3" s="1"/>
  <c r="G137" i="3" s="1"/>
  <c r="G138" i="3" s="1"/>
  <c r="G139" i="3" s="1"/>
  <c r="G140" i="3" s="1"/>
  <c r="G141" i="3" s="1"/>
  <c r="G142" i="3" s="1"/>
  <c r="G143" i="3" s="1"/>
  <c r="G144" i="3" s="1"/>
  <c r="G145" i="3" s="1"/>
  <c r="G146" i="3" s="1"/>
  <c r="G147" i="3" s="1"/>
  <c r="G148" i="3" s="1"/>
  <c r="G149" i="3" s="1"/>
  <c r="G150" i="3" s="1"/>
  <c r="G151" i="3" s="1"/>
  <c r="G152" i="3" s="1"/>
  <c r="G153" i="3" s="1"/>
  <c r="G154" i="3" s="1"/>
  <c r="G155" i="3" s="1"/>
  <c r="G156" i="3" s="1"/>
  <c r="G157" i="3" s="1"/>
  <c r="G158" i="3" s="1"/>
  <c r="G159" i="3" s="1"/>
  <c r="G160" i="3" s="1"/>
  <c r="F23" i="7" s="1"/>
  <c r="E1016" i="6" l="1"/>
  <c r="F1016" i="6"/>
  <c r="E740" i="6" l="1"/>
  <c r="F740" i="6"/>
  <c r="E687" i="6" l="1"/>
  <c r="F687" i="6"/>
  <c r="E628" i="6" l="1"/>
  <c r="F628" i="6"/>
  <c r="C60" i="27" l="1"/>
  <c r="I55" i="27"/>
  <c r="H55" i="27"/>
  <c r="G42" i="27"/>
  <c r="F42" i="27"/>
  <c r="E42" i="27"/>
  <c r="D42" i="27"/>
  <c r="H42" i="27" s="1"/>
  <c r="I30" i="27"/>
  <c r="I31" i="27" s="1"/>
  <c r="H30" i="27"/>
  <c r="H31" i="27" s="1"/>
  <c r="I17" i="27"/>
  <c r="I18" i="27" s="1"/>
  <c r="I19" i="27" s="1"/>
  <c r="B16" i="27"/>
  <c r="H17" i="27" s="1"/>
  <c r="H18" i="27" s="1"/>
  <c r="H19" i="27" s="1"/>
  <c r="J15" i="27"/>
  <c r="I10" i="27"/>
  <c r="H10" i="27"/>
  <c r="F2702" i="26"/>
  <c r="F2701" i="26"/>
  <c r="F2700" i="26"/>
  <c r="F2699" i="26"/>
  <c r="F2698" i="26"/>
  <c r="F2697" i="26"/>
  <c r="F2696" i="26"/>
  <c r="F2695" i="26"/>
  <c r="F2694" i="26"/>
  <c r="F2693" i="26"/>
  <c r="F2692" i="26"/>
  <c r="F2691" i="26"/>
  <c r="G2690" i="26"/>
  <c r="F2690" i="26" s="1"/>
  <c r="G2689" i="26"/>
  <c r="F2689" i="26" s="1"/>
  <c r="G2688" i="26"/>
  <c r="F2688" i="26" s="1"/>
  <c r="F2687" i="26"/>
  <c r="F2686" i="26"/>
  <c r="F2685" i="26"/>
  <c r="F2684" i="26"/>
  <c r="F2683" i="26"/>
  <c r="F2682" i="26"/>
  <c r="F2681" i="26"/>
  <c r="F2680" i="26"/>
  <c r="F2679" i="26"/>
  <c r="F2678" i="26"/>
  <c r="F2677" i="26"/>
  <c r="F2676" i="26"/>
  <c r="F2675" i="26"/>
  <c r="F2674" i="26"/>
  <c r="F2673" i="26"/>
  <c r="F2672" i="26"/>
  <c r="F2671" i="26"/>
  <c r="F2670" i="26"/>
  <c r="F2669" i="26"/>
  <c r="F2668" i="26"/>
  <c r="F2667" i="26"/>
  <c r="F2666" i="26"/>
  <c r="F2665" i="26"/>
  <c r="F2664" i="26"/>
  <c r="F2663" i="26"/>
  <c r="F2662" i="26"/>
  <c r="F2661" i="26"/>
  <c r="F2660" i="26"/>
  <c r="F2659" i="26"/>
  <c r="F2658" i="26"/>
  <c r="F2657" i="26"/>
  <c r="F2656" i="26"/>
  <c r="F2655" i="26"/>
  <c r="F2654" i="26"/>
  <c r="F2653" i="26"/>
  <c r="F2652" i="26"/>
  <c r="F2651" i="26"/>
  <c r="F2650" i="26"/>
  <c r="F2649" i="26"/>
  <c r="F2648" i="26"/>
  <c r="F2647" i="26"/>
  <c r="F2646" i="26"/>
  <c r="F2645" i="26"/>
  <c r="F2644" i="26"/>
  <c r="F2643" i="26"/>
  <c r="F2642" i="26"/>
  <c r="F2640" i="26"/>
  <c r="F2639" i="26"/>
  <c r="F2638" i="26"/>
  <c r="F2637" i="26"/>
  <c r="F2636" i="26"/>
  <c r="F2635" i="26"/>
  <c r="F2634" i="26"/>
  <c r="F2633" i="26"/>
  <c r="F2632" i="26"/>
  <c r="F2631" i="26"/>
  <c r="F2630" i="26"/>
  <c r="F2629" i="26"/>
  <c r="F2628" i="26"/>
  <c r="F2627" i="26"/>
  <c r="F2626" i="26"/>
  <c r="F2624" i="26"/>
  <c r="F2623" i="26"/>
  <c r="F2622" i="26"/>
  <c r="F2621" i="26"/>
  <c r="F2620" i="26"/>
  <c r="F2619" i="26"/>
  <c r="F2618" i="26"/>
  <c r="F2617" i="26"/>
  <c r="F2616" i="26"/>
  <c r="F2615" i="26"/>
  <c r="F2614" i="26"/>
  <c r="F2613" i="26"/>
  <c r="F2612" i="26"/>
  <c r="F2611" i="26"/>
  <c r="F2610" i="26"/>
  <c r="F2609" i="26"/>
  <c r="F2608" i="26"/>
  <c r="F2607" i="26"/>
  <c r="F2606" i="26"/>
  <c r="F2605" i="26"/>
  <c r="F2604" i="26"/>
  <c r="F2603" i="26"/>
  <c r="F2602" i="26"/>
  <c r="F2601" i="26"/>
  <c r="F2600" i="26"/>
  <c r="F2599" i="26"/>
  <c r="F2598" i="26"/>
  <c r="F2597" i="26"/>
  <c r="F2596" i="26"/>
  <c r="F2595" i="26"/>
  <c r="F2594" i="26"/>
  <c r="F2593" i="26"/>
  <c r="F2592" i="26"/>
  <c r="F2591" i="26"/>
  <c r="F2590" i="26"/>
  <c r="F2589" i="26"/>
  <c r="F2588" i="26"/>
  <c r="F2587" i="26"/>
  <c r="F2586" i="26"/>
  <c r="F2585" i="26"/>
  <c r="F2584" i="26"/>
  <c r="F2583" i="26"/>
  <c r="F2582" i="26"/>
  <c r="F2581" i="26"/>
  <c r="F2580" i="26"/>
  <c r="F2579" i="26"/>
  <c r="F2578" i="26"/>
  <c r="F2577" i="26"/>
  <c r="F2576" i="26"/>
  <c r="F2575" i="26"/>
  <c r="F2574" i="26"/>
  <c r="F2573" i="26"/>
  <c r="F2572" i="26"/>
  <c r="F2571" i="26"/>
  <c r="F2570" i="26"/>
  <c r="F2569" i="26"/>
  <c r="F2568" i="26"/>
  <c r="F2567" i="26"/>
  <c r="F2566" i="26"/>
  <c r="F2565" i="26"/>
  <c r="F2564" i="26"/>
  <c r="F2563" i="26"/>
  <c r="F2562" i="26"/>
  <c r="F2561" i="26"/>
  <c r="F2560" i="26"/>
  <c r="F2559" i="26"/>
  <c r="F2558" i="26"/>
  <c r="F2557" i="26"/>
  <c r="F2556" i="26"/>
  <c r="F2555" i="26"/>
  <c r="F2554" i="26"/>
  <c r="F2553" i="26"/>
  <c r="F2552" i="26"/>
  <c r="F2551" i="26"/>
  <c r="F2550" i="26"/>
  <c r="F2549" i="26"/>
  <c r="F2548" i="26"/>
  <c r="F2547" i="26"/>
  <c r="F2546" i="26"/>
  <c r="F2545" i="26"/>
  <c r="F2544" i="26"/>
  <c r="F2543" i="26"/>
  <c r="F2542" i="26"/>
  <c r="F2541" i="26"/>
  <c r="F2540" i="26"/>
  <c r="F2539" i="26"/>
  <c r="F2538" i="26"/>
  <c r="F2537" i="26"/>
  <c r="F2536" i="26"/>
  <c r="F2535" i="26"/>
  <c r="F2534" i="26"/>
  <c r="F2533" i="26"/>
  <c r="F2532" i="26"/>
  <c r="F2531" i="26"/>
  <c r="F2530" i="26"/>
  <c r="F2529" i="26"/>
  <c r="F2528" i="26"/>
  <c r="F2527" i="26"/>
  <c r="F2526" i="26"/>
  <c r="F2525" i="26"/>
  <c r="F2524" i="26"/>
  <c r="F2523" i="26"/>
  <c r="F2522" i="26"/>
  <c r="F2521" i="26"/>
  <c r="F2520" i="26"/>
  <c r="F2519" i="26"/>
  <c r="F2518" i="26"/>
  <c r="F2517" i="26"/>
  <c r="F2516" i="26"/>
  <c r="F2515" i="26"/>
  <c r="F2514" i="26"/>
  <c r="F2513" i="26"/>
  <c r="F2512" i="26"/>
  <c r="F2511" i="26"/>
  <c r="F2510" i="26"/>
  <c r="F2509" i="26"/>
  <c r="F2508" i="26"/>
  <c r="F2507" i="26"/>
  <c r="F2506" i="26"/>
  <c r="F2505" i="26"/>
  <c r="F2504" i="26"/>
  <c r="F2503" i="26"/>
  <c r="F2502" i="26"/>
  <c r="F2501" i="26"/>
  <c r="F2500" i="26"/>
  <c r="F2499" i="26"/>
  <c r="F2498" i="26"/>
  <c r="F2497" i="26"/>
  <c r="F2496" i="26"/>
  <c r="F2495" i="26"/>
  <c r="F2494" i="26"/>
  <c r="F2493" i="26"/>
  <c r="F2492" i="26"/>
  <c r="F2491" i="26"/>
  <c r="F2490" i="26"/>
  <c r="F2489" i="26"/>
  <c r="F2488" i="26"/>
  <c r="F2487" i="26"/>
  <c r="F2486" i="26"/>
  <c r="F2485" i="26"/>
  <c r="F2484" i="26"/>
  <c r="F2483" i="26"/>
  <c r="F2482" i="26"/>
  <c r="F2481" i="26"/>
  <c r="F2480" i="26"/>
  <c r="F2479" i="26"/>
  <c r="F2478" i="26"/>
  <c r="F2477" i="26"/>
  <c r="F2476" i="26"/>
  <c r="F2475" i="26"/>
  <c r="F2474" i="26"/>
  <c r="F2473" i="26"/>
  <c r="F2472" i="26"/>
  <c r="F2471" i="26"/>
  <c r="F2470" i="26"/>
  <c r="F2469" i="26"/>
  <c r="F2468" i="26"/>
  <c r="F2467" i="26"/>
  <c r="F2466" i="26"/>
  <c r="F2465" i="26"/>
  <c r="F2464" i="26"/>
  <c r="F2463" i="26"/>
  <c r="F2462" i="26"/>
  <c r="F2461" i="26"/>
  <c r="F2460" i="26"/>
  <c r="F2459" i="26"/>
  <c r="F2458" i="26"/>
  <c r="F2457" i="26"/>
  <c r="F2456" i="26"/>
  <c r="F2455" i="26"/>
  <c r="F2454" i="26"/>
  <c r="F2453" i="26"/>
  <c r="F2452" i="26"/>
  <c r="F2451" i="26"/>
  <c r="F2450" i="26"/>
  <c r="F2449" i="26"/>
  <c r="F2448" i="26"/>
  <c r="F2447" i="26"/>
  <c r="F2446" i="26"/>
  <c r="F2445" i="26"/>
  <c r="F2444" i="26"/>
  <c r="F2443" i="26"/>
  <c r="F2442" i="26"/>
  <c r="F2441" i="26"/>
  <c r="F2440" i="26"/>
  <c r="F2439" i="26"/>
  <c r="F2438" i="26"/>
  <c r="F2437" i="26"/>
  <c r="F2436" i="26"/>
  <c r="F2435" i="26"/>
  <c r="F2434" i="26"/>
  <c r="F2433" i="26"/>
  <c r="F2432" i="26"/>
  <c r="F2431" i="26"/>
  <c r="F2430" i="26"/>
  <c r="F2429" i="26"/>
  <c r="F2428" i="26"/>
  <c r="F2427" i="26"/>
  <c r="F2426" i="26"/>
  <c r="F2425" i="26"/>
  <c r="F2424" i="26"/>
  <c r="F2423" i="26"/>
  <c r="F2422" i="26"/>
  <c r="F2421" i="26"/>
  <c r="F2420" i="26"/>
  <c r="F2419" i="26"/>
  <c r="F2418" i="26"/>
  <c r="F2417" i="26"/>
  <c r="F2416" i="26"/>
  <c r="F2415" i="26"/>
  <c r="F2414" i="26"/>
  <c r="F2413" i="26"/>
  <c r="F2412" i="26"/>
  <c r="F2411" i="26"/>
  <c r="F2410" i="26"/>
  <c r="F2409" i="26"/>
  <c r="F2408" i="26"/>
  <c r="F2407" i="26"/>
  <c r="F2406" i="26"/>
  <c r="F2405" i="26"/>
  <c r="F2404" i="26"/>
  <c r="F2403" i="26"/>
  <c r="F2402" i="26"/>
  <c r="F2401" i="26"/>
  <c r="F2400" i="26"/>
  <c r="F2399" i="26"/>
  <c r="F2398" i="26"/>
  <c r="F2397" i="26"/>
  <c r="F2396" i="26"/>
  <c r="F2395" i="26"/>
  <c r="F2394" i="26"/>
  <c r="F2393" i="26"/>
  <c r="F2392" i="26"/>
  <c r="F2391" i="26"/>
  <c r="F2390" i="26"/>
  <c r="F2389" i="26"/>
  <c r="F2388" i="26"/>
  <c r="F2387" i="26"/>
  <c r="F2386" i="26"/>
  <c r="F2385" i="26"/>
  <c r="F2384" i="26"/>
  <c r="F2383" i="26"/>
  <c r="F2382" i="26"/>
  <c r="F2381" i="26"/>
  <c r="F2380" i="26"/>
  <c r="F2379" i="26"/>
  <c r="F2378" i="26"/>
  <c r="F2377" i="26"/>
  <c r="F2376" i="26"/>
  <c r="F2375" i="26"/>
  <c r="F2374" i="26"/>
  <c r="F2373" i="26"/>
  <c r="F2372" i="26"/>
  <c r="F2371" i="26"/>
  <c r="F2370" i="26"/>
  <c r="F2369" i="26"/>
  <c r="F2368" i="26"/>
  <c r="F2367" i="26"/>
  <c r="F2366" i="26"/>
  <c r="F2365" i="26"/>
  <c r="F2364" i="26"/>
  <c r="F2363" i="26"/>
  <c r="F2362" i="26"/>
  <c r="F2361" i="26"/>
  <c r="F2360" i="26"/>
  <c r="F2359" i="26"/>
  <c r="F2358" i="26"/>
  <c r="F2357" i="26"/>
  <c r="F2356" i="26"/>
  <c r="F2355" i="26"/>
  <c r="F2353" i="26"/>
  <c r="F2352" i="26"/>
  <c r="F2351" i="26"/>
  <c r="F2350" i="26"/>
  <c r="F2293" i="26"/>
  <c r="F2349" i="26"/>
  <c r="F2348" i="26"/>
  <c r="F2347" i="26"/>
  <c r="F2346" i="26"/>
  <c r="F2345" i="26"/>
  <c r="F2344" i="26"/>
  <c r="F2343" i="26"/>
  <c r="F2342" i="26"/>
  <c r="F2341" i="26"/>
  <c r="F2340" i="26"/>
  <c r="F2339" i="26"/>
  <c r="F2338" i="26"/>
  <c r="F2337" i="26"/>
  <c r="F2336" i="26"/>
  <c r="F2335" i="26"/>
  <c r="F2334" i="26"/>
  <c r="F2333" i="26"/>
  <c r="F2332" i="26"/>
  <c r="F2331" i="26"/>
  <c r="F2330" i="26"/>
  <c r="F2329" i="26"/>
  <c r="F2328" i="26"/>
  <c r="F2327" i="26"/>
  <c r="F2326" i="26"/>
  <c r="F2325" i="26"/>
  <c r="F2324" i="26"/>
  <c r="F2323" i="26"/>
  <c r="F2322" i="26"/>
  <c r="F2321" i="26"/>
  <c r="F2320" i="26"/>
  <c r="F2319" i="26"/>
  <c r="F2318" i="26"/>
  <c r="F2317" i="26"/>
  <c r="F2316" i="26"/>
  <c r="F2315" i="26"/>
  <c r="F2314" i="26"/>
  <c r="F2313" i="26"/>
  <c r="F2312" i="26"/>
  <c r="F2311" i="26"/>
  <c r="F2310" i="26"/>
  <c r="F2309" i="26"/>
  <c r="F2308" i="26"/>
  <c r="F2307" i="26"/>
  <c r="F2306" i="26"/>
  <c r="F2305" i="26"/>
  <c r="F2304" i="26"/>
  <c r="F2303" i="26"/>
  <c r="F2302" i="26"/>
  <c r="F2301" i="26"/>
  <c r="F2300" i="26"/>
  <c r="F2299" i="26"/>
  <c r="F2298" i="26"/>
  <c r="F2297" i="26"/>
  <c r="F2296" i="26"/>
  <c r="F2295" i="26"/>
  <c r="F2294" i="26"/>
  <c r="F2292" i="26"/>
  <c r="F2291" i="26"/>
  <c r="F2251" i="26"/>
  <c r="F2290" i="26"/>
  <c r="F2289" i="26"/>
  <c r="F2288" i="26"/>
  <c r="F2287" i="26"/>
  <c r="F2286" i="26"/>
  <c r="F2285" i="26"/>
  <c r="F2284" i="26"/>
  <c r="F2283" i="26"/>
  <c r="F2282" i="26"/>
  <c r="F2281" i="26"/>
  <c r="F2280" i="26"/>
  <c r="F2279" i="26"/>
  <c r="F2278" i="26"/>
  <c r="F2277" i="26"/>
  <c r="F2276" i="26"/>
  <c r="F2275" i="26"/>
  <c r="F2274" i="26"/>
  <c r="F2273" i="26"/>
  <c r="F2272" i="26"/>
  <c r="F2271" i="26"/>
  <c r="F2270" i="26"/>
  <c r="F2269" i="26"/>
  <c r="F2268" i="26"/>
  <c r="F2267" i="26"/>
  <c r="F2266" i="26"/>
  <c r="F2265" i="26"/>
  <c r="F2264" i="26"/>
  <c r="F2263" i="26"/>
  <c r="F2262" i="26"/>
  <c r="F2261" i="26"/>
  <c r="F2260" i="26"/>
  <c r="F2259" i="26"/>
  <c r="F2258" i="26"/>
  <c r="F2257" i="26"/>
  <c r="F2256" i="26"/>
  <c r="F2255" i="26"/>
  <c r="F2254" i="26"/>
  <c r="F2253" i="26"/>
  <c r="F2252" i="26"/>
  <c r="F2250" i="26"/>
  <c r="F2207" i="26"/>
  <c r="F2249" i="26"/>
  <c r="F2248" i="26"/>
  <c r="F2247" i="26"/>
  <c r="F2246" i="26"/>
  <c r="F2245" i="26"/>
  <c r="F2244" i="26"/>
  <c r="F2243" i="26"/>
  <c r="F2242" i="26"/>
  <c r="F2241" i="26"/>
  <c r="F2240" i="26"/>
  <c r="F2239" i="26"/>
  <c r="F2238" i="26"/>
  <c r="F2237" i="26"/>
  <c r="F2236" i="26"/>
  <c r="F2235" i="26"/>
  <c r="F2234" i="26"/>
  <c r="F2233" i="26"/>
  <c r="F2232" i="26"/>
  <c r="F2231" i="26"/>
  <c r="F2230" i="26"/>
  <c r="F2229" i="26"/>
  <c r="F2228" i="26"/>
  <c r="F2227" i="26"/>
  <c r="F2226" i="26"/>
  <c r="F2225" i="26"/>
  <c r="F2224" i="26"/>
  <c r="F2223" i="26"/>
  <c r="F2222" i="26"/>
  <c r="F2221" i="26"/>
  <c r="F2220" i="26"/>
  <c r="F2219" i="26"/>
  <c r="F2218" i="26"/>
  <c r="F2217" i="26"/>
  <c r="F2216" i="26"/>
  <c r="F2215" i="26"/>
  <c r="F2214" i="26"/>
  <c r="F2213" i="26"/>
  <c r="F2212" i="26"/>
  <c r="F2211" i="26"/>
  <c r="F2210" i="26"/>
  <c r="F2209" i="26"/>
  <c r="F2208" i="26"/>
  <c r="F2206" i="26"/>
  <c r="F2205" i="26"/>
  <c r="F2204" i="26"/>
  <c r="F2173" i="26"/>
  <c r="F2203" i="26"/>
  <c r="F2202" i="26"/>
  <c r="F2201" i="26"/>
  <c r="F2200" i="26"/>
  <c r="F2199" i="26"/>
  <c r="F2198" i="26"/>
  <c r="F2197" i="26"/>
  <c r="F2196" i="26"/>
  <c r="F2195" i="26"/>
  <c r="F2194" i="26"/>
  <c r="F2193" i="26"/>
  <c r="F2192" i="26"/>
  <c r="F2191" i="26"/>
  <c r="F2190" i="26"/>
  <c r="F2189" i="26"/>
  <c r="F2188" i="26"/>
  <c r="F2187" i="26"/>
  <c r="F2186" i="26"/>
  <c r="F2185" i="26"/>
  <c r="F2184" i="26"/>
  <c r="F2183" i="26"/>
  <c r="F2182" i="26"/>
  <c r="F2181" i="26"/>
  <c r="F2180" i="26"/>
  <c r="F2179" i="26"/>
  <c r="F2178" i="26"/>
  <c r="F2177" i="26"/>
  <c r="F2176" i="26"/>
  <c r="F2175" i="26"/>
  <c r="F2174" i="26"/>
  <c r="F2172" i="26"/>
  <c r="F2171" i="26"/>
  <c r="F2170" i="26"/>
  <c r="F2139" i="26"/>
  <c r="F2169" i="26"/>
  <c r="F2168" i="26"/>
  <c r="F2167" i="26"/>
  <c r="F2166" i="26"/>
  <c r="F2165" i="26"/>
  <c r="F2164" i="26"/>
  <c r="F2163" i="26"/>
  <c r="F2162" i="26"/>
  <c r="F2161" i="26"/>
  <c r="F2160" i="26"/>
  <c r="F2159" i="26"/>
  <c r="F2158" i="26"/>
  <c r="F2157" i="26"/>
  <c r="F2156" i="26"/>
  <c r="F2155" i="26"/>
  <c r="F2154" i="26"/>
  <c r="F2153" i="26"/>
  <c r="F2152" i="26"/>
  <c r="F2151" i="26"/>
  <c r="F2150" i="26"/>
  <c r="F2149" i="26"/>
  <c r="F2148" i="26"/>
  <c r="F2147" i="26"/>
  <c r="F2146" i="26"/>
  <c r="F2145" i="26"/>
  <c r="F2144" i="26"/>
  <c r="F2143" i="26"/>
  <c r="F2142" i="26"/>
  <c r="F2141" i="26"/>
  <c r="F2140" i="26"/>
  <c r="F2138" i="26"/>
  <c r="F2077" i="26"/>
  <c r="F2137" i="26"/>
  <c r="F2136" i="26"/>
  <c r="F2135" i="26"/>
  <c r="F2134" i="26"/>
  <c r="F2133" i="26"/>
  <c r="F2132" i="26"/>
  <c r="F2131" i="26"/>
  <c r="F2130" i="26"/>
  <c r="F2129" i="26"/>
  <c r="F2128" i="26"/>
  <c r="F2127" i="26"/>
  <c r="F2126" i="26"/>
  <c r="F2125" i="26"/>
  <c r="F2124" i="26"/>
  <c r="F2123" i="26"/>
  <c r="F2122" i="26"/>
  <c r="F2121" i="26"/>
  <c r="F2120" i="26"/>
  <c r="F2119" i="26"/>
  <c r="F2118" i="26"/>
  <c r="F2117" i="26"/>
  <c r="F2116" i="26"/>
  <c r="F2115" i="26"/>
  <c r="F2114" i="26"/>
  <c r="F2113" i="26"/>
  <c r="F2112" i="26"/>
  <c r="F2111" i="26"/>
  <c r="F2110" i="26"/>
  <c r="F2109" i="26"/>
  <c r="F2108" i="26"/>
  <c r="F2107" i="26"/>
  <c r="F2106" i="26"/>
  <c r="F2105" i="26"/>
  <c r="F2104" i="26"/>
  <c r="F2103" i="26"/>
  <c r="F2102" i="26"/>
  <c r="F2101" i="26"/>
  <c r="F2100" i="26"/>
  <c r="F2099" i="26"/>
  <c r="F2098" i="26"/>
  <c r="F2097" i="26"/>
  <c r="F2096" i="26"/>
  <c r="F2095" i="26"/>
  <c r="F2094" i="26"/>
  <c r="F2093" i="26"/>
  <c r="F2092" i="26"/>
  <c r="F2091" i="26"/>
  <c r="F2090" i="26"/>
  <c r="F2089" i="26"/>
  <c r="F2088" i="26"/>
  <c r="F2087" i="26"/>
  <c r="F2086" i="26"/>
  <c r="F2085" i="26"/>
  <c r="F2084" i="26"/>
  <c r="F2083" i="26"/>
  <c r="F2082" i="26"/>
  <c r="F2081" i="26"/>
  <c r="F2080" i="26"/>
  <c r="F2079" i="26"/>
  <c r="F2078" i="26"/>
  <c r="F2076" i="26"/>
  <c r="F2043" i="26"/>
  <c r="F2075" i="26"/>
  <c r="F2074" i="26"/>
  <c r="F2073" i="26"/>
  <c r="F2072" i="26"/>
  <c r="F2071" i="26"/>
  <c r="F2070" i="26"/>
  <c r="F2069" i="26"/>
  <c r="F2068" i="26"/>
  <c r="F2067" i="26"/>
  <c r="F2066" i="26"/>
  <c r="F2065" i="26"/>
  <c r="F2064" i="26"/>
  <c r="F2063" i="26"/>
  <c r="F2062" i="26"/>
  <c r="F2061" i="26"/>
  <c r="F2060" i="26"/>
  <c r="F2059" i="26"/>
  <c r="F2058" i="26"/>
  <c r="F2057" i="26"/>
  <c r="F2056" i="26"/>
  <c r="F2055" i="26"/>
  <c r="F2054" i="26"/>
  <c r="F2053" i="26"/>
  <c r="F2052" i="26"/>
  <c r="F2051" i="26"/>
  <c r="F2050" i="26"/>
  <c r="F2049" i="26"/>
  <c r="F2048" i="26"/>
  <c r="F2047" i="26"/>
  <c r="F2046" i="26"/>
  <c r="F2045" i="26"/>
  <c r="F2044" i="26"/>
  <c r="F2042" i="26"/>
  <c r="F2027" i="26"/>
  <c r="F2041" i="26"/>
  <c r="F2040" i="26"/>
  <c r="F2039" i="26"/>
  <c r="F2038" i="26"/>
  <c r="F2037" i="26"/>
  <c r="F2036" i="26"/>
  <c r="F2035" i="26"/>
  <c r="F2034" i="26"/>
  <c r="F2033" i="26"/>
  <c r="F2032" i="26"/>
  <c r="F2031" i="26"/>
  <c r="F2030" i="26"/>
  <c r="F2029" i="26"/>
  <c r="F2028" i="26"/>
  <c r="F2026" i="26"/>
  <c r="F2354" i="26"/>
  <c r="F2025" i="26"/>
  <c r="F2024" i="26"/>
  <c r="F2023" i="26"/>
  <c r="F2022" i="26"/>
  <c r="F2021" i="26"/>
  <c r="F2020" i="26"/>
  <c r="F2019" i="26"/>
  <c r="F2018" i="26"/>
  <c r="F2017" i="26"/>
  <c r="F2016" i="26"/>
  <c r="F2015" i="26"/>
  <c r="F2014" i="26"/>
  <c r="F2013" i="26"/>
  <c r="F2012" i="26"/>
  <c r="F2011" i="26"/>
  <c r="F2010" i="26"/>
  <c r="F2009" i="26"/>
  <c r="F2008" i="26"/>
  <c r="F2007" i="26"/>
  <c r="F2006" i="26"/>
  <c r="F2005" i="26"/>
  <c r="F2004" i="26"/>
  <c r="F2003" i="26"/>
  <c r="F2002" i="26"/>
  <c r="F2001" i="26"/>
  <c r="F2000" i="26"/>
  <c r="F1999" i="26"/>
  <c r="F1998" i="26"/>
  <c r="F1997" i="26"/>
  <c r="F1996" i="26"/>
  <c r="F1995" i="26"/>
  <c r="F1994" i="26"/>
  <c r="J12" i="27" l="1"/>
  <c r="J38" i="27"/>
  <c r="J25" i="27"/>
  <c r="G9" i="27"/>
  <c r="F9" i="27"/>
  <c r="I42" i="27"/>
  <c r="B60" i="27"/>
  <c r="B63" i="27" s="1"/>
  <c r="F29" i="27"/>
  <c r="E9" i="27"/>
  <c r="H58" i="27"/>
  <c r="D29" i="27"/>
  <c r="J54" i="27"/>
  <c r="J57" i="27"/>
  <c r="H57" i="27"/>
  <c r="D2" i="27"/>
  <c r="H3" i="27"/>
  <c r="H4" i="27" s="1"/>
  <c r="H5" i="27" s="1"/>
  <c r="H6" i="27" s="1"/>
  <c r="H7" i="27" s="1"/>
  <c r="H8" i="27" s="1"/>
  <c r="E2" i="27"/>
  <c r="I3" i="27"/>
  <c r="I4" i="27" s="1"/>
  <c r="I5" i="27" s="1"/>
  <c r="I6" i="27" s="1"/>
  <c r="I7" i="27" s="1"/>
  <c r="I8" i="27" s="1"/>
  <c r="J32" i="27"/>
  <c r="D16" i="27"/>
  <c r="J36" i="27"/>
  <c r="I58" i="27"/>
  <c r="H56" i="27"/>
  <c r="I56" i="27"/>
  <c r="I59" i="27"/>
  <c r="J33" i="27"/>
  <c r="E29" i="27"/>
  <c r="D9" i="27"/>
  <c r="G29" i="27"/>
  <c r="F2" i="27"/>
  <c r="G2" i="27"/>
  <c r="E16" i="27"/>
  <c r="F16" i="27"/>
  <c r="G16" i="27"/>
  <c r="H59" i="27"/>
  <c r="H11" i="27"/>
  <c r="H12" i="27" s="1"/>
  <c r="H13" i="27" s="1"/>
  <c r="H14" i="27" s="1"/>
  <c r="H15" i="27" s="1"/>
  <c r="I32" i="27"/>
  <c r="I33" i="27" s="1"/>
  <c r="I34" i="27" s="1"/>
  <c r="I35" i="27" s="1"/>
  <c r="I36" i="27" s="1"/>
  <c r="I37" i="27" s="1"/>
  <c r="I38" i="27" s="1"/>
  <c r="I39" i="27" s="1"/>
  <c r="I40" i="27" s="1"/>
  <c r="I41" i="27" s="1"/>
  <c r="I11" i="27"/>
  <c r="I12" i="27" s="1"/>
  <c r="I13" i="27" s="1"/>
  <c r="I14" i="27" s="1"/>
  <c r="I15" i="27" s="1"/>
  <c r="H32" i="27"/>
  <c r="H33" i="27" s="1"/>
  <c r="H34" i="27" s="1"/>
  <c r="H35" i="27" s="1"/>
  <c r="H36" i="27" s="1"/>
  <c r="H37" i="27" s="1"/>
  <c r="H38" i="27" s="1"/>
  <c r="H39" i="27" s="1"/>
  <c r="H40" i="27" s="1"/>
  <c r="H41" i="27" s="1"/>
  <c r="H20" i="27"/>
  <c r="H21" i="27" s="1"/>
  <c r="H22" i="27" s="1"/>
  <c r="H23" i="27" s="1"/>
  <c r="H24" i="27" s="1"/>
  <c r="H25" i="27" s="1"/>
  <c r="H26" i="27" s="1"/>
  <c r="H27" i="27" s="1"/>
  <c r="H28" i="27" s="1"/>
  <c r="I20" i="27"/>
  <c r="I21" i="27" s="1"/>
  <c r="I22" i="27" s="1"/>
  <c r="I23" i="27" s="1"/>
  <c r="I24" i="27" s="1"/>
  <c r="I25" i="27" s="1"/>
  <c r="I26" i="27" s="1"/>
  <c r="I27" i="27" s="1"/>
  <c r="I28" i="27" s="1"/>
  <c r="F515" i="1"/>
  <c r="F385" i="1"/>
  <c r="F636" i="1"/>
  <c r="F435" i="1"/>
  <c r="F643" i="1"/>
  <c r="F278" i="1"/>
  <c r="F97" i="1"/>
  <c r="F98" i="1"/>
  <c r="F141" i="1"/>
  <c r="F587" i="1"/>
  <c r="F21" i="1"/>
  <c r="F154" i="1"/>
  <c r="F152" i="1"/>
  <c r="F153" i="1"/>
  <c r="F426" i="1"/>
  <c r="F427" i="1"/>
  <c r="F351" i="1"/>
  <c r="F352" i="1"/>
  <c r="F389" i="1"/>
  <c r="F355" i="1"/>
  <c r="F27" i="1"/>
  <c r="F33" i="1"/>
  <c r="F100" i="1"/>
  <c r="F101" i="1"/>
  <c r="F431" i="1"/>
  <c r="F40" i="1"/>
  <c r="F41" i="1"/>
  <c r="F519" i="1"/>
  <c r="F569" i="1"/>
  <c r="F571" i="1"/>
  <c r="F642" i="1"/>
  <c r="F751" i="1"/>
  <c r="F323" i="1"/>
  <c r="F324" i="1"/>
  <c r="F325" i="1"/>
  <c r="F709" i="1"/>
  <c r="F326" i="1"/>
  <c r="F609" i="1"/>
  <c r="F552" i="1"/>
  <c r="F390" i="1"/>
  <c r="F682" i="1"/>
  <c r="F28" i="1"/>
  <c r="F29" i="1"/>
  <c r="F34" i="1"/>
  <c r="F461" i="1"/>
  <c r="F462" i="1"/>
  <c r="F463" i="1"/>
  <c r="F708" i="1"/>
  <c r="F42" i="1"/>
  <c r="F479" i="1"/>
  <c r="F671" i="1"/>
  <c r="F692" i="1"/>
  <c r="F694" i="1"/>
  <c r="F282" i="1"/>
  <c r="F283" i="1"/>
  <c r="F284" i="1"/>
  <c r="F236" i="1"/>
  <c r="F556" i="1"/>
  <c r="F400" i="1"/>
  <c r="F507" i="1"/>
  <c r="F680" i="1"/>
  <c r="F681" i="1"/>
  <c r="F514" i="1"/>
  <c r="F383" i="1"/>
  <c r="F384" i="1"/>
  <c r="F9" i="1"/>
  <c r="F10" i="1"/>
  <c r="F11" i="1"/>
  <c r="F12" i="1"/>
  <c r="F623" i="1"/>
  <c r="F624" i="1"/>
  <c r="F654" i="1"/>
  <c r="F52" i="1"/>
  <c r="F190" i="1"/>
  <c r="F188" i="1"/>
  <c r="F193" i="1"/>
  <c r="F699" i="1"/>
  <c r="F700" i="1"/>
  <c r="F701" i="1"/>
  <c r="F720" i="1"/>
  <c r="F311" i="1"/>
  <c r="F129" i="1"/>
  <c r="F130" i="1"/>
  <c r="F508" i="1"/>
  <c r="F509" i="1"/>
  <c r="F755" i="1"/>
  <c r="F327" i="1"/>
  <c r="F35" i="1"/>
  <c r="F759" i="1"/>
  <c r="F760" i="1"/>
  <c r="F102" i="1"/>
  <c r="F149" i="1"/>
  <c r="F150" i="1"/>
  <c r="F151" i="1"/>
  <c r="F194" i="1"/>
  <c r="F710" i="1"/>
  <c r="F711" i="1"/>
  <c r="F712" i="1"/>
  <c r="F434" i="1"/>
  <c r="F312" i="1"/>
  <c r="F469" i="1"/>
  <c r="F64" i="1"/>
  <c r="F115" i="1"/>
  <c r="F595" i="1"/>
  <c r="F756" i="1"/>
  <c r="F757" i="1"/>
  <c r="F758" i="1"/>
  <c r="F25" i="1"/>
  <c r="F518" i="1"/>
  <c r="F237" i="1"/>
  <c r="F750" i="1"/>
  <c r="H25" i="2"/>
  <c r="G2" i="2"/>
  <c r="G19" i="2"/>
  <c r="E8" i="2"/>
  <c r="E19" i="2"/>
  <c r="H9" i="27" l="1"/>
  <c r="I9" i="27"/>
  <c r="H16" i="27"/>
  <c r="G60" i="27"/>
  <c r="F60" i="27"/>
  <c r="H29" i="27"/>
  <c r="E60" i="27"/>
  <c r="I2" i="27"/>
  <c r="D60" i="27"/>
  <c r="H2" i="27"/>
  <c r="I29" i="27"/>
  <c r="I16" i="27"/>
  <c r="E385" i="6"/>
  <c r="F385" i="6"/>
  <c r="H60" i="27" l="1"/>
  <c r="I60" i="27"/>
  <c r="E308" i="6"/>
  <c r="F308" i="6"/>
  <c r="F93" i="6" l="1"/>
  <c r="E93" i="6"/>
  <c r="E66" i="6" l="1"/>
  <c r="F66" i="6"/>
  <c r="F1980" i="26" l="1"/>
  <c r="F1981" i="26"/>
  <c r="F1982" i="26"/>
  <c r="F31" i="1"/>
  <c r="F32" i="1"/>
  <c r="F1876" i="26" l="1"/>
  <c r="F1877" i="26"/>
  <c r="F1878" i="26"/>
  <c r="F1879" i="26"/>
  <c r="F1880" i="26"/>
  <c r="F1881" i="26"/>
  <c r="F1882" i="26"/>
  <c r="F1883" i="26"/>
  <c r="F1884" i="26"/>
  <c r="F1885" i="26"/>
  <c r="F1886" i="26"/>
  <c r="F1887" i="26"/>
  <c r="F1888" i="26"/>
  <c r="F1889" i="26"/>
  <c r="F1890" i="26"/>
  <c r="F1891" i="26"/>
  <c r="F1892" i="26"/>
  <c r="F1893" i="26"/>
  <c r="F155" i="1"/>
  <c r="F156" i="1"/>
  <c r="F157" i="1"/>
  <c r="F330" i="1"/>
  <c r="F331" i="1"/>
  <c r="F332" i="1"/>
  <c r="F353" i="1"/>
  <c r="F416" i="1"/>
  <c r="F1585" i="26"/>
  <c r="F1586" i="26"/>
  <c r="F1587" i="26"/>
  <c r="F1588" i="26"/>
  <c r="F1589" i="26"/>
  <c r="F1590" i="26"/>
  <c r="F1591" i="26"/>
  <c r="F1592" i="26"/>
  <c r="F1593" i="26"/>
  <c r="F1594" i="26"/>
  <c r="F1595" i="26"/>
  <c r="F137" i="1" l="1"/>
  <c r="F138" i="1"/>
  <c r="F139" i="1"/>
  <c r="F164" i="1"/>
  <c r="F202" i="1"/>
  <c r="F203" i="1"/>
  <c r="F1993" i="26"/>
  <c r="F1992" i="26"/>
  <c r="F1991" i="26"/>
  <c r="F1990" i="26"/>
  <c r="F1989" i="26"/>
  <c r="F1988" i="26"/>
  <c r="F1987" i="26"/>
  <c r="F1986" i="26"/>
  <c r="F1985" i="26"/>
  <c r="F1984" i="26"/>
  <c r="F1983" i="26"/>
  <c r="F1979" i="26"/>
  <c r="F1978" i="26"/>
  <c r="F1977" i="26"/>
  <c r="F1976" i="26"/>
  <c r="F1975" i="26"/>
  <c r="F1974" i="26"/>
  <c r="F1973" i="26"/>
  <c r="F1972" i="26"/>
  <c r="F1971" i="26"/>
  <c r="F1970" i="26"/>
  <c r="F1969" i="26"/>
  <c r="F1968" i="26"/>
  <c r="F1967" i="26"/>
  <c r="F1966" i="26"/>
  <c r="F1965" i="26"/>
  <c r="F1964" i="26"/>
  <c r="F1963" i="26"/>
  <c r="F1962" i="26"/>
  <c r="F1961" i="26"/>
  <c r="F1960" i="26"/>
  <c r="F1959" i="26"/>
  <c r="F1958" i="26"/>
  <c r="F1957" i="26"/>
  <c r="F1956" i="26"/>
  <c r="F1955" i="26"/>
  <c r="F1954" i="26"/>
  <c r="F1953" i="26"/>
  <c r="F1952" i="26"/>
  <c r="F1951" i="26"/>
  <c r="F1950" i="26"/>
  <c r="F1949" i="26"/>
  <c r="F1948" i="26"/>
  <c r="F1947" i="26"/>
  <c r="F1946" i="26"/>
  <c r="F1945" i="26"/>
  <c r="F1944" i="26"/>
  <c r="F1943" i="26"/>
  <c r="F1942" i="26"/>
  <c r="F1941" i="26"/>
  <c r="F1940" i="26"/>
  <c r="F1939" i="26"/>
  <c r="F1938" i="26"/>
  <c r="F1937" i="26"/>
  <c r="F1936" i="26"/>
  <c r="F1935" i="26"/>
  <c r="F1934" i="26"/>
  <c r="F1933" i="26"/>
  <c r="F1932" i="26"/>
  <c r="F1931" i="26"/>
  <c r="F1930" i="26"/>
  <c r="F1929" i="26"/>
  <c r="F1928" i="26"/>
  <c r="F1927" i="26"/>
  <c r="F1925" i="26"/>
  <c r="F1924" i="26"/>
  <c r="F1923" i="26"/>
  <c r="F1922" i="26"/>
  <c r="F1921" i="26"/>
  <c r="F1920" i="26"/>
  <c r="F1919" i="26"/>
  <c r="F1918" i="26"/>
  <c r="F1917" i="26"/>
  <c r="F1916" i="26"/>
  <c r="F1915" i="26"/>
  <c r="F1914" i="26"/>
  <c r="F1913" i="26"/>
  <c r="F1912" i="26"/>
  <c r="F1911" i="26"/>
  <c r="F1910" i="26"/>
  <c r="F1909" i="26"/>
  <c r="F1926" i="26"/>
  <c r="F1908" i="26"/>
  <c r="F1907" i="26"/>
  <c r="F1906" i="26"/>
  <c r="F1905" i="26"/>
  <c r="F1904" i="26"/>
  <c r="F1903" i="26"/>
  <c r="F1902" i="26"/>
  <c r="F1901" i="26"/>
  <c r="F1900" i="26"/>
  <c r="F1899" i="26"/>
  <c r="F1898" i="26"/>
  <c r="F1897" i="26"/>
  <c r="F1896" i="26"/>
  <c r="F1895" i="26"/>
  <c r="F1894" i="26"/>
  <c r="F1875" i="26"/>
  <c r="F1874" i="26"/>
  <c r="F1873" i="26"/>
  <c r="F1872" i="26"/>
  <c r="F1871" i="26"/>
  <c r="F1870" i="26"/>
  <c r="F1869" i="26"/>
  <c r="F1868" i="26"/>
  <c r="F1867" i="26"/>
  <c r="F1866" i="26"/>
  <c r="F1865" i="26"/>
  <c r="F1864" i="26"/>
  <c r="F1863" i="26"/>
  <c r="F1862" i="26"/>
  <c r="F1861" i="26"/>
  <c r="F1860" i="26"/>
  <c r="F1859" i="26"/>
  <c r="F1858" i="26"/>
  <c r="F1857" i="26"/>
  <c r="F1856" i="26"/>
  <c r="F1855" i="26"/>
  <c r="F1854" i="26"/>
  <c r="F1853" i="26"/>
  <c r="F1852" i="26"/>
  <c r="F1850" i="26"/>
  <c r="F1849" i="26"/>
  <c r="F1848" i="26"/>
  <c r="F1847" i="26"/>
  <c r="F1846" i="26"/>
  <c r="F1845" i="26"/>
  <c r="F1844" i="26"/>
  <c r="F1843" i="26"/>
  <c r="F1842" i="26"/>
  <c r="F1841" i="26"/>
  <c r="F1840" i="26"/>
  <c r="F1839" i="26"/>
  <c r="F1838" i="26"/>
  <c r="F1837" i="26"/>
  <c r="F1836" i="26"/>
  <c r="F1835" i="26"/>
  <c r="F1834" i="26"/>
  <c r="F1833" i="26"/>
  <c r="F1832" i="26"/>
  <c r="F1831" i="26"/>
  <c r="F1830" i="26"/>
  <c r="F1829" i="26"/>
  <c r="F1828" i="26"/>
  <c r="F1827" i="26"/>
  <c r="F1826" i="26"/>
  <c r="F1825" i="26"/>
  <c r="F1824" i="26"/>
  <c r="F1823" i="26"/>
  <c r="F1822" i="26"/>
  <c r="F1821" i="26"/>
  <c r="F1820" i="26"/>
  <c r="F1819" i="26"/>
  <c r="F1818" i="26"/>
  <c r="F1817" i="26"/>
  <c r="F1816" i="26"/>
  <c r="F1815" i="26"/>
  <c r="F1814" i="26"/>
  <c r="F1813" i="26"/>
  <c r="F1812" i="26"/>
  <c r="F1811" i="26"/>
  <c r="F1810" i="26"/>
  <c r="F1809" i="26"/>
  <c r="F1808" i="26"/>
  <c r="F1807" i="26"/>
  <c r="F1806" i="26"/>
  <c r="F1805" i="26"/>
  <c r="F1804" i="26"/>
  <c r="F1803" i="26"/>
  <c r="F1802" i="26"/>
  <c r="F1801" i="26"/>
  <c r="F1800" i="26"/>
  <c r="F1799" i="26"/>
  <c r="F1798" i="26"/>
  <c r="F1797" i="26"/>
  <c r="F1796" i="26"/>
  <c r="F1795" i="26"/>
  <c r="F1794" i="26"/>
  <c r="F1793" i="26"/>
  <c r="F1792" i="26"/>
  <c r="F1791" i="26"/>
  <c r="F1790" i="26"/>
  <c r="F1789" i="26"/>
  <c r="F1788" i="26"/>
  <c r="F1787" i="26"/>
  <c r="F1786" i="26"/>
  <c r="F1785" i="26"/>
  <c r="F1784" i="26"/>
  <c r="F1783" i="26"/>
  <c r="F1782" i="26"/>
  <c r="F1781" i="26"/>
  <c r="F1780" i="26"/>
  <c r="F1779" i="26"/>
  <c r="F1778" i="26"/>
  <c r="F1777" i="26"/>
  <c r="F1776" i="26"/>
  <c r="F1775" i="26"/>
  <c r="F1774" i="26"/>
  <c r="F1773" i="26"/>
  <c r="F1772" i="26"/>
  <c r="F1771" i="26"/>
  <c r="F1770" i="26"/>
  <c r="F1769" i="26"/>
  <c r="F1768" i="26"/>
  <c r="F1767" i="26"/>
  <c r="F1766" i="26"/>
  <c r="F1765" i="26"/>
  <c r="F1764" i="26"/>
  <c r="F1763" i="26"/>
  <c r="F1762" i="26"/>
  <c r="F1761" i="26"/>
  <c r="F1760" i="26"/>
  <c r="F1759" i="26"/>
  <c r="F1758" i="26"/>
  <c r="F1757" i="26"/>
  <c r="F1756" i="26"/>
  <c r="F1755" i="26"/>
  <c r="F1754" i="26"/>
  <c r="F1753" i="26"/>
  <c r="F1752" i="26"/>
  <c r="F1751" i="26"/>
  <c r="F1750" i="26"/>
  <c r="F1749" i="26"/>
  <c r="F1748" i="26"/>
  <c r="F1747" i="26"/>
  <c r="F1746" i="26"/>
  <c r="F1745" i="26"/>
  <c r="F1744" i="26"/>
  <c r="F1743" i="26"/>
  <c r="F1742" i="26"/>
  <c r="F1741" i="26"/>
  <c r="F1740" i="26"/>
  <c r="F1739" i="26"/>
  <c r="F1738" i="26"/>
  <c r="F1737" i="26"/>
  <c r="F1736" i="26"/>
  <c r="F1735" i="26"/>
  <c r="F1734" i="26"/>
  <c r="F1733" i="26"/>
  <c r="F1732" i="26"/>
  <c r="F1731" i="26"/>
  <c r="F1730" i="26"/>
  <c r="F1729" i="26"/>
  <c r="F1728" i="26"/>
  <c r="F1727" i="26"/>
  <c r="F1726" i="26"/>
  <c r="F1725" i="26"/>
  <c r="F1724" i="26"/>
  <c r="F1723" i="26"/>
  <c r="F1722" i="26"/>
  <c r="F1721" i="26"/>
  <c r="F1720" i="26"/>
  <c r="F1719" i="26"/>
  <c r="F1718" i="26"/>
  <c r="F1717" i="26"/>
  <c r="F1716" i="26"/>
  <c r="F1715" i="26"/>
  <c r="F1714" i="26"/>
  <c r="F1713" i="26"/>
  <c r="F1712" i="26"/>
  <c r="F1711" i="26"/>
  <c r="F1710" i="26"/>
  <c r="F1709" i="26"/>
  <c r="F1708" i="26"/>
  <c r="F1707" i="26"/>
  <c r="F1706" i="26"/>
  <c r="F1705" i="26"/>
  <c r="F1703" i="26"/>
  <c r="F1702" i="26"/>
  <c r="F1701" i="26"/>
  <c r="F1700" i="26"/>
  <c r="F1699" i="26"/>
  <c r="F1698" i="26"/>
  <c r="F1704" i="26"/>
  <c r="F1697" i="26"/>
  <c r="F1696" i="26"/>
  <c r="F1695" i="26"/>
  <c r="F1694" i="26"/>
  <c r="F1693" i="26"/>
  <c r="F1692" i="26"/>
  <c r="F1691" i="26"/>
  <c r="F1690" i="26"/>
  <c r="F1689" i="26"/>
  <c r="F1688" i="26"/>
  <c r="F1687" i="26"/>
  <c r="F1686" i="26"/>
  <c r="F1685" i="26"/>
  <c r="F1684" i="26"/>
  <c r="F1683" i="26"/>
  <c r="F1682" i="26"/>
  <c r="F1681" i="26"/>
  <c r="F1680" i="26"/>
  <c r="F1679" i="26"/>
  <c r="F1678" i="26"/>
  <c r="F1677" i="26"/>
  <c r="F1676" i="26"/>
  <c r="F1675" i="26"/>
  <c r="F1674" i="26"/>
  <c r="F1673" i="26"/>
  <c r="F1672" i="26"/>
  <c r="F1671" i="26"/>
  <c r="F1670" i="26"/>
  <c r="F1669" i="26"/>
  <c r="F1668" i="26"/>
  <c r="F1667" i="26"/>
  <c r="F1666" i="26"/>
  <c r="F1665" i="26"/>
  <c r="F1664" i="26"/>
  <c r="F1663" i="26"/>
  <c r="F1662" i="26"/>
  <c r="F1661" i="26"/>
  <c r="F1660" i="26"/>
  <c r="F1659" i="26"/>
  <c r="F1658" i="26"/>
  <c r="F1657" i="26"/>
  <c r="F1656" i="26"/>
  <c r="F1655" i="26"/>
  <c r="F1654" i="26"/>
  <c r="F1653" i="26"/>
  <c r="F1652" i="26"/>
  <c r="F1628" i="26"/>
  <c r="F1651" i="26"/>
  <c r="F1650" i="26"/>
  <c r="F1649" i="26"/>
  <c r="F1648" i="26"/>
  <c r="F1647" i="26"/>
  <c r="F1646" i="26"/>
  <c r="F1645" i="26"/>
  <c r="F1644" i="26"/>
  <c r="F1643" i="26"/>
  <c r="F1642" i="26"/>
  <c r="F1641" i="26"/>
  <c r="F1640" i="26"/>
  <c r="F1639" i="26"/>
  <c r="F1638" i="26"/>
  <c r="F1637" i="26"/>
  <c r="F1636" i="26"/>
  <c r="F1635" i="26"/>
  <c r="F1634" i="26"/>
  <c r="F1633" i="26"/>
  <c r="F1632" i="26"/>
  <c r="F1631" i="26"/>
  <c r="F1630" i="26"/>
  <c r="F1629" i="26"/>
  <c r="F1627" i="26"/>
  <c r="F1626" i="26"/>
  <c r="F1625" i="26"/>
  <c r="F1624" i="26"/>
  <c r="F1623" i="26"/>
  <c r="F1622" i="26"/>
  <c r="F1621" i="26"/>
  <c r="F1620" i="26"/>
  <c r="F1619" i="26"/>
  <c r="F1618" i="26"/>
  <c r="F1617" i="26"/>
  <c r="F1616" i="26"/>
  <c r="F1615" i="26"/>
  <c r="F1614" i="26"/>
  <c r="F1613" i="26"/>
  <c r="F1612" i="26"/>
  <c r="F1611" i="26"/>
  <c r="F1610" i="26"/>
  <c r="F1609" i="26"/>
  <c r="F1608" i="26"/>
  <c r="F1607" i="26"/>
  <c r="F1606" i="26"/>
  <c r="F1605" i="26"/>
  <c r="F1604" i="26"/>
  <c r="F1603" i="26"/>
  <c r="F1602" i="26"/>
  <c r="F1601" i="26"/>
  <c r="F1600" i="26"/>
  <c r="F1599" i="26"/>
  <c r="F1598" i="26"/>
  <c r="F1597" i="26"/>
  <c r="F1596" i="26"/>
  <c r="F1584" i="26"/>
  <c r="F1583" i="26"/>
  <c r="F1582" i="26"/>
  <c r="F1581" i="26"/>
  <c r="F1580" i="26"/>
  <c r="F1579" i="26"/>
  <c r="F1578" i="26"/>
  <c r="F1577" i="26"/>
  <c r="F1576" i="26"/>
  <c r="F1575" i="26"/>
  <c r="F1574" i="26"/>
  <c r="F1573" i="26"/>
  <c r="F1572" i="26"/>
  <c r="F1571" i="26"/>
  <c r="F1570" i="26"/>
  <c r="F1569" i="26"/>
  <c r="F1568" i="26"/>
  <c r="F1567" i="26"/>
  <c r="F1566" i="26"/>
  <c r="F1565" i="26"/>
  <c r="F1564" i="26"/>
  <c r="F1563" i="26"/>
  <c r="F1562" i="26"/>
  <c r="F1561" i="26"/>
  <c r="F1560" i="26"/>
  <c r="F1559" i="26"/>
  <c r="F1558" i="26"/>
  <c r="F1557" i="26"/>
  <c r="F1556" i="26"/>
  <c r="F1555" i="26"/>
  <c r="F1554" i="26"/>
  <c r="F1553" i="26"/>
  <c r="F1552" i="26"/>
  <c r="F1551" i="26"/>
  <c r="F1550" i="26"/>
  <c r="F1549" i="26"/>
  <c r="F1548" i="26"/>
  <c r="F1547" i="26"/>
  <c r="F1546" i="26"/>
  <c r="F1545" i="26"/>
  <c r="F1544" i="26"/>
  <c r="F1543" i="26"/>
  <c r="F1542" i="26"/>
  <c r="F1541" i="26"/>
  <c r="F1540" i="26"/>
  <c r="F1539" i="26"/>
  <c r="F1538" i="26"/>
  <c r="F1537" i="26"/>
  <c r="F1536" i="26"/>
  <c r="F1535" i="26"/>
  <c r="F1534" i="26"/>
  <c r="F1533" i="26"/>
  <c r="F1532" i="26"/>
  <c r="F1531" i="26"/>
  <c r="F1530" i="26"/>
  <c r="F1529" i="26"/>
  <c r="F1528" i="26"/>
  <c r="F1527" i="26"/>
  <c r="F1526" i="26"/>
  <c r="F1525" i="26"/>
  <c r="F1524" i="26"/>
  <c r="F1523" i="26"/>
  <c r="F1522" i="26"/>
  <c r="F1521" i="26"/>
  <c r="F1520" i="26"/>
  <c r="F1519" i="26"/>
  <c r="F1518" i="26"/>
  <c r="F1517" i="26"/>
  <c r="F1516" i="26"/>
  <c r="F1515" i="26"/>
  <c r="F1514" i="26"/>
  <c r="F1513" i="26"/>
  <c r="F1512" i="26"/>
  <c r="F1511" i="26"/>
  <c r="F1510" i="26"/>
  <c r="F1509" i="26"/>
  <c r="F1508" i="26"/>
  <c r="F1507" i="26"/>
  <c r="F1506" i="26"/>
  <c r="F1505" i="26"/>
  <c r="F1504" i="26"/>
  <c r="F1503" i="26"/>
  <c r="F1502" i="26"/>
  <c r="F1501" i="26"/>
  <c r="F1500" i="26"/>
  <c r="F1499" i="26"/>
  <c r="F1498" i="26"/>
  <c r="F1497" i="26"/>
  <c r="F1496" i="26"/>
  <c r="F1495" i="26"/>
  <c r="F1494" i="26"/>
  <c r="F1493" i="26"/>
  <c r="F1492" i="26"/>
  <c r="F1491" i="26"/>
  <c r="F1490" i="26"/>
  <c r="F1489" i="26"/>
  <c r="F1488" i="26"/>
  <c r="F1487" i="26"/>
  <c r="F1486" i="26"/>
  <c r="F1485" i="26"/>
  <c r="F1484" i="26"/>
  <c r="F1483" i="26"/>
  <c r="F1482" i="26"/>
  <c r="F1481" i="26"/>
  <c r="F1480" i="26"/>
  <c r="F1479" i="26"/>
  <c r="F1478" i="26"/>
  <c r="F1477" i="26"/>
  <c r="F1476" i="26"/>
  <c r="F1475" i="26"/>
  <c r="F1474" i="26"/>
  <c r="F1473" i="26"/>
  <c r="F1472" i="26"/>
  <c r="F1471" i="26"/>
  <c r="F1470" i="26"/>
  <c r="F1469" i="26"/>
  <c r="F1468" i="26"/>
  <c r="F1467" i="26"/>
  <c r="F1466" i="26"/>
  <c r="F1465" i="26"/>
  <c r="F1464" i="26"/>
  <c r="F1463" i="26"/>
  <c r="F1462" i="26"/>
  <c r="F1461" i="26"/>
  <c r="G1460" i="26"/>
  <c r="F1460" i="26" s="1"/>
  <c r="G1459" i="26"/>
  <c r="F1459" i="26" s="1"/>
  <c r="F1458" i="26"/>
  <c r="F1457" i="26"/>
  <c r="F1456" i="26"/>
  <c r="F1455" i="26"/>
  <c r="F1454" i="26"/>
  <c r="F1453" i="26"/>
  <c r="F1452" i="26"/>
  <c r="F1451" i="26"/>
  <c r="F1450" i="26"/>
  <c r="F1449" i="26"/>
  <c r="F1448" i="26"/>
  <c r="F1447" i="26"/>
  <c r="F1446" i="26"/>
  <c r="F1445" i="26"/>
  <c r="F1444" i="26"/>
  <c r="F1443" i="26"/>
  <c r="F1442" i="26"/>
  <c r="F1441" i="26"/>
  <c r="F1440" i="26"/>
  <c r="F1438" i="26"/>
  <c r="F1437" i="26"/>
  <c r="F1436" i="26"/>
  <c r="F1435" i="26"/>
  <c r="F1434" i="26"/>
  <c r="F1433" i="26"/>
  <c r="F1432" i="26"/>
  <c r="F1431" i="26"/>
  <c r="F1430" i="26"/>
  <c r="F1429" i="26"/>
  <c r="F1428" i="26"/>
  <c r="F1427" i="26"/>
  <c r="F1426" i="26"/>
  <c r="F1425" i="26"/>
  <c r="F1424" i="26"/>
  <c r="F1423" i="26"/>
  <c r="F1422" i="26"/>
  <c r="F1421" i="26"/>
  <c r="F1420" i="26"/>
  <c r="F1419" i="26"/>
  <c r="F1418" i="26"/>
  <c r="F1417" i="26"/>
  <c r="F1416" i="26"/>
  <c r="F1415" i="26"/>
  <c r="F1414" i="26"/>
  <c r="F1413" i="26"/>
  <c r="F1412" i="26"/>
  <c r="F1411" i="26"/>
  <c r="F1410" i="26"/>
  <c r="F1409" i="26"/>
  <c r="F1408" i="26"/>
  <c r="F1407" i="26"/>
  <c r="F1406" i="26"/>
  <c r="F1405" i="26"/>
  <c r="F1404" i="26"/>
  <c r="F1403" i="26"/>
  <c r="F1402" i="26"/>
  <c r="F1401" i="26"/>
  <c r="F1400" i="26"/>
  <c r="F1399" i="26"/>
  <c r="F1398" i="26"/>
  <c r="F1397" i="26"/>
  <c r="F1396" i="26"/>
  <c r="F1395" i="26"/>
  <c r="F1394" i="26"/>
  <c r="F1393" i="26"/>
  <c r="F1392" i="26"/>
  <c r="F1391" i="26"/>
  <c r="F1390" i="26"/>
  <c r="F1389" i="26"/>
  <c r="F1388" i="26"/>
  <c r="F1387" i="26"/>
  <c r="F1386" i="26"/>
  <c r="F1385" i="26"/>
  <c r="F1384" i="26"/>
  <c r="F1383" i="26"/>
  <c r="F1382" i="26"/>
  <c r="F1381" i="26"/>
  <c r="F1380" i="26"/>
  <c r="F1379" i="26"/>
  <c r="F1378" i="26"/>
  <c r="F1377" i="26"/>
  <c r="F1376" i="26"/>
  <c r="F1375" i="26"/>
  <c r="F1374" i="26"/>
  <c r="C25" i="2" l="1"/>
  <c r="D25" i="2"/>
  <c r="E25" i="2"/>
  <c r="F315" i="1" l="1"/>
  <c r="F484" i="1"/>
  <c r="F748" i="1"/>
  <c r="F466" i="1"/>
  <c r="F275" i="1"/>
  <c r="F659" i="1"/>
  <c r="F660" i="1"/>
  <c r="F241" i="1"/>
  <c r="F220" i="1"/>
  <c r="F7" i="1"/>
  <c r="F48" i="1"/>
  <c r="F396" i="1"/>
  <c r="F397" i="1"/>
  <c r="F276" i="1"/>
  <c r="F468" i="1"/>
  <c r="F356" i="1"/>
  <c r="F357" i="1"/>
  <c r="F328" i="1"/>
  <c r="F627" i="1"/>
  <c r="F114" i="1"/>
  <c r="F525" i="1"/>
  <c r="F526" i="1"/>
  <c r="F527" i="1"/>
  <c r="F644" i="1"/>
  <c r="F238" i="1"/>
  <c r="F277" i="1"/>
  <c r="F721" i="1"/>
  <c r="F523" i="1"/>
  <c r="F524" i="1"/>
  <c r="F146" i="1"/>
  <c r="F147" i="1"/>
  <c r="F148" i="1"/>
  <c r="F422" i="1"/>
  <c r="F567" i="1"/>
  <c r="F616" i="1"/>
  <c r="F617" i="1"/>
  <c r="F59" i="1"/>
  <c r="F60" i="1"/>
  <c r="F120" i="1"/>
  <c r="F121" i="1"/>
  <c r="F122" i="1"/>
  <c r="F123" i="1"/>
  <c r="F658" i="1"/>
  <c r="F263" i="1"/>
  <c r="F264" i="1"/>
  <c r="F293" i="1"/>
  <c r="F704" i="1"/>
  <c r="F705" i="1"/>
  <c r="F706" i="1"/>
  <c r="F430" i="1"/>
  <c r="F4" i="1"/>
  <c r="F464" i="1"/>
  <c r="F465" i="1"/>
  <c r="F645" i="1"/>
  <c r="F650" i="1"/>
  <c r="F467" i="1"/>
  <c r="F65" i="1"/>
  <c r="F66" i="1"/>
  <c r="F471" i="1"/>
  <c r="F307" i="1"/>
  <c r="F199" i="1"/>
  <c r="F200" i="1"/>
  <c r="F476" i="1"/>
  <c r="F480" i="1"/>
  <c r="F638" i="1"/>
  <c r="F639" i="1"/>
  <c r="F696" i="1"/>
  <c r="F124" i="1"/>
  <c r="F125" i="1"/>
  <c r="F294" i="1"/>
  <c r="F354" i="1"/>
  <c r="F296" i="1"/>
  <c r="F297" i="1"/>
  <c r="F298" i="1"/>
  <c r="F216" i="1"/>
  <c r="F217" i="1"/>
  <c r="F5" i="1"/>
  <c r="F38" i="1"/>
  <c r="F39" i="1"/>
  <c r="F640" i="1"/>
  <c r="F641" i="1"/>
  <c r="F250" i="1"/>
  <c r="F251" i="1"/>
  <c r="F713" i="1"/>
  <c r="F61" i="1"/>
  <c r="F428" i="1"/>
  <c r="F308" i="1"/>
  <c r="F470" i="1"/>
  <c r="F49" i="1"/>
  <c r="F697" i="1"/>
  <c r="F43" i="1"/>
  <c r="F249" i="1"/>
  <c r="F317" i="1"/>
  <c r="F344" i="1"/>
  <c r="F345" i="1"/>
  <c r="F458" i="1"/>
  <c r="F118" i="1"/>
  <c r="F336" i="1"/>
  <c r="F613" i="1"/>
  <c r="F513" i="1"/>
  <c r="F477" i="1"/>
  <c r="F478" i="1"/>
  <c r="F243" i="1"/>
  <c r="F244" i="1"/>
  <c r="F245" i="1"/>
  <c r="F481" i="1"/>
  <c r="F482" i="1"/>
  <c r="F259" i="1"/>
  <c r="F472" i="1"/>
  <c r="F227" i="1"/>
  <c r="F436" i="1"/>
  <c r="F562" i="1"/>
  <c r="F287" i="1"/>
  <c r="F563" i="1"/>
  <c r="F614" i="1"/>
  <c r="F158" i="1"/>
  <c r="F195" i="1"/>
  <c r="F221" i="1"/>
  <c r="F568" i="1"/>
  <c r="F570" i="1"/>
  <c r="F593" i="1"/>
  <c r="F594" i="1"/>
  <c r="F105" i="1"/>
  <c r="F260" i="1"/>
  <c r="F394" i="1"/>
  <c r="F395" i="1"/>
  <c r="F281" i="1"/>
  <c r="F483" i="1"/>
  <c r="F62" i="1"/>
  <c r="F63" i="1"/>
  <c r="F744" i="1"/>
  <c r="F729" i="1"/>
  <c r="F746" i="1"/>
  <c r="F747" i="1"/>
  <c r="F174" i="1"/>
  <c r="F87" i="1"/>
  <c r="F88" i="1"/>
  <c r="F319" i="1"/>
  <c r="F320" i="1"/>
  <c r="F347" i="1"/>
  <c r="F714" i="1"/>
  <c r="F715" i="1"/>
  <c r="F730" i="1"/>
  <c r="F731" i="1"/>
  <c r="F192" i="1"/>
  <c r="F348" i="1"/>
  <c r="F432" i="1"/>
  <c r="F433" i="1"/>
  <c r="F732" i="1"/>
  <c r="F110" i="1"/>
  <c r="F196" i="1"/>
  <c r="F197" i="1"/>
  <c r="F198" i="1"/>
  <c r="F349" i="1"/>
  <c r="F350" i="1"/>
  <c r="F429" i="1"/>
  <c r="F566" i="1"/>
  <c r="F656" i="1"/>
  <c r="F91" i="1"/>
  <c r="F92" i="1"/>
  <c r="F522" i="1"/>
  <c r="F335" i="1"/>
  <c r="F218" i="1"/>
  <c r="F233" i="1"/>
  <c r="F89" i="1"/>
  <c r="F386" i="1"/>
  <c r="F387" i="1"/>
  <c r="F388" i="1"/>
  <c r="F415" i="1"/>
  <c r="F448" i="1"/>
  <c r="F359" i="1"/>
  <c r="F707" i="1"/>
  <c r="F725" i="1"/>
  <c r="F343" i="1"/>
  <c r="F85" i="1"/>
  <c r="F86" i="1"/>
  <c r="F140" i="1"/>
  <c r="F286" i="1"/>
  <c r="F657" i="1"/>
  <c r="F95" i="1"/>
  <c r="F46" i="1"/>
  <c r="F520" i="1"/>
  <c r="F459" i="1"/>
  <c r="F460" i="1"/>
  <c r="F585" i="1"/>
  <c r="F69" i="1"/>
  <c r="F128" i="1"/>
  <c r="F3" i="1"/>
  <c r="F104" i="1"/>
  <c r="F314" i="1"/>
  <c r="F313" i="1"/>
  <c r="F219" i="1"/>
  <c r="F418" i="1"/>
  <c r="F419" i="1"/>
  <c r="F447" i="1"/>
  <c r="F606" i="1"/>
  <c r="F739" i="1"/>
  <c r="F18" i="1"/>
  <c r="F16" i="1"/>
  <c r="F47" i="1"/>
  <c r="F214" i="1"/>
  <c r="F215" i="1"/>
  <c r="F144" i="1"/>
  <c r="F145" i="1"/>
  <c r="F420" i="1"/>
  <c r="F421" i="1"/>
  <c r="F36" i="1"/>
  <c r="F58" i="1"/>
  <c r="F625" i="1"/>
  <c r="F626" i="1"/>
  <c r="F51" i="1"/>
  <c r="F423" i="1"/>
  <c r="F684" i="1"/>
  <c r="F702" i="1"/>
  <c r="F96" i="1"/>
  <c r="F135" i="1"/>
  <c r="F136" i="1"/>
  <c r="F726" i="1"/>
  <c r="F727" i="1"/>
  <c r="F728" i="1"/>
  <c r="F703" i="1"/>
  <c r="F516" i="1"/>
  <c r="F517" i="1"/>
  <c r="F90" i="1"/>
  <c r="D10" i="5"/>
  <c r="D25" i="5" s="1"/>
  <c r="D39" i="5" s="1"/>
  <c r="D52" i="5" s="1"/>
  <c r="E10" i="2"/>
  <c r="M11" i="2"/>
  <c r="E11" i="2"/>
  <c r="M9" i="2"/>
  <c r="M10" i="2"/>
  <c r="E9" i="2"/>
  <c r="M8" i="2"/>
  <c r="M3" i="2"/>
  <c r="M16" i="2"/>
  <c r="M13" i="2"/>
  <c r="D55" i="5" l="1"/>
  <c r="H19" i="2"/>
  <c r="H635" i="6"/>
  <c r="H636" i="6" s="1"/>
  <c r="H637" i="6" s="1"/>
  <c r="H638" i="6" s="1"/>
  <c r="H639" i="6" s="1"/>
  <c r="H640" i="6" s="1"/>
  <c r="H641" i="6" s="1"/>
  <c r="H642" i="6" s="1"/>
  <c r="H643" i="6" s="1"/>
  <c r="H644" i="6" s="1"/>
  <c r="H645" i="6" s="1"/>
  <c r="H646" i="6" s="1"/>
  <c r="H647" i="6" s="1"/>
  <c r="H648" i="6" s="1"/>
  <c r="H649" i="6" s="1"/>
  <c r="H650" i="6" s="1"/>
  <c r="H651" i="6" s="1"/>
  <c r="H652" i="6" s="1"/>
  <c r="H653" i="6" s="1"/>
  <c r="H654" i="6" s="1"/>
  <c r="H655" i="6" s="1"/>
  <c r="H656" i="6" s="1"/>
  <c r="H657" i="6" s="1"/>
  <c r="H658" i="6" s="1"/>
  <c r="H659" i="6" s="1"/>
  <c r="H660" i="6" s="1"/>
  <c r="H661" i="6" s="1"/>
  <c r="H662" i="6" s="1"/>
  <c r="H663" i="6" s="1"/>
  <c r="H664" i="6" s="1"/>
  <c r="H665" i="6" s="1"/>
  <c r="H666" i="6" s="1"/>
  <c r="H667" i="6" s="1"/>
  <c r="H668" i="6" s="1"/>
  <c r="H669" i="6" s="1"/>
  <c r="H670" i="6" s="1"/>
  <c r="H671" i="6" s="1"/>
  <c r="H672" i="6" s="1"/>
  <c r="H673" i="6" s="1"/>
  <c r="H674" i="6" s="1"/>
  <c r="H675" i="6" s="1"/>
  <c r="H676" i="6" s="1"/>
  <c r="H677" i="6" s="1"/>
  <c r="H678" i="6" s="1"/>
  <c r="H679" i="6" s="1"/>
  <c r="H680" i="6" s="1"/>
  <c r="H681" i="6" s="1"/>
  <c r="H682" i="6" s="1"/>
  <c r="H683" i="6" s="1"/>
  <c r="H684" i="6" s="1"/>
  <c r="H685" i="6" s="1"/>
  <c r="H686" i="6" s="1"/>
  <c r="D8" i="2"/>
  <c r="D13" i="2"/>
  <c r="D3" i="2"/>
  <c r="D10" i="2"/>
  <c r="D9" i="2"/>
  <c r="H483" i="6" l="1"/>
  <c r="H484" i="6" s="1"/>
  <c r="H485" i="6" s="1"/>
  <c r="H486" i="6" s="1"/>
  <c r="H487" i="6" s="1"/>
  <c r="H488" i="6" s="1"/>
  <c r="H489" i="6" s="1"/>
  <c r="H490" i="6" s="1"/>
  <c r="H491" i="6" s="1"/>
  <c r="H492" i="6" s="1"/>
  <c r="H493" i="6" s="1"/>
  <c r="H494" i="6" s="1"/>
  <c r="H495" i="6" s="1"/>
  <c r="H496" i="6" s="1"/>
  <c r="H497" i="6" s="1"/>
  <c r="H498" i="6" s="1"/>
  <c r="H499" i="6" s="1"/>
  <c r="H500" i="6" s="1"/>
  <c r="H501" i="6" s="1"/>
  <c r="H502" i="6" s="1"/>
  <c r="H503" i="6" s="1"/>
  <c r="H504" i="6" s="1"/>
  <c r="H505" i="6" s="1"/>
  <c r="H506" i="6" s="1"/>
  <c r="H507" i="6" s="1"/>
  <c r="H508" i="6" s="1"/>
  <c r="H509" i="6" s="1"/>
  <c r="H510" i="6" s="1"/>
  <c r="H511" i="6" s="1"/>
  <c r="H512" i="6" s="1"/>
  <c r="H513" i="6" s="1"/>
  <c r="H514" i="6" s="1"/>
  <c r="H515" i="6" s="1"/>
  <c r="H516" i="6" s="1"/>
  <c r="H517" i="6" s="1"/>
  <c r="H518" i="6" s="1"/>
  <c r="H519" i="6" s="1"/>
  <c r="H520" i="6" s="1"/>
  <c r="H521" i="6" s="1"/>
  <c r="H522" i="6" s="1"/>
  <c r="H523" i="6" s="1"/>
  <c r="H524" i="6" s="1"/>
  <c r="H525" i="6" s="1"/>
  <c r="H526" i="6" s="1"/>
  <c r="H527" i="6" s="1"/>
  <c r="H528" i="6" s="1"/>
  <c r="H529" i="6" s="1"/>
  <c r="H530" i="6" s="1"/>
  <c r="H531" i="6" s="1"/>
  <c r="H532" i="6" s="1"/>
  <c r="H533" i="6" s="1"/>
  <c r="H534" i="6" s="1"/>
  <c r="H535" i="6" s="1"/>
  <c r="H536" i="6" s="1"/>
  <c r="H537" i="6" s="1"/>
  <c r="H538" i="6" s="1"/>
  <c r="H539" i="6" s="1"/>
  <c r="H540" i="6" s="1"/>
  <c r="H541" i="6" s="1"/>
  <c r="H542" i="6" s="1"/>
  <c r="H543" i="6" s="1"/>
  <c r="H544" i="6" s="1"/>
  <c r="H545" i="6" s="1"/>
  <c r="H546" i="6" s="1"/>
  <c r="H547" i="6" s="1"/>
  <c r="H548" i="6" s="1"/>
  <c r="H549" i="6" s="1"/>
  <c r="H550" i="6" s="1"/>
  <c r="H551" i="6" s="1"/>
  <c r="H552" i="6" s="1"/>
  <c r="H553" i="6" s="1"/>
  <c r="H554" i="6" s="1"/>
  <c r="H555" i="6" s="1"/>
  <c r="H556" i="6" s="1"/>
  <c r="H557" i="6" s="1"/>
  <c r="H558" i="6" s="1"/>
  <c r="H559" i="6" s="1"/>
  <c r="H560" i="6" s="1"/>
  <c r="H561" i="6" s="1"/>
  <c r="H562" i="6" s="1"/>
  <c r="H563" i="6" s="1"/>
  <c r="H564" i="6" s="1"/>
  <c r="H565" i="6" s="1"/>
  <c r="H566" i="6" s="1"/>
  <c r="F477" i="6" l="1"/>
  <c r="E477" i="6"/>
  <c r="H391" i="6"/>
  <c r="H392" i="6" s="1"/>
  <c r="H393" i="6" s="1"/>
  <c r="H394" i="6" s="1"/>
  <c r="H395" i="6" s="1"/>
  <c r="H396" i="6" s="1"/>
  <c r="H397" i="6" s="1"/>
  <c r="H398" i="6" s="1"/>
  <c r="H399" i="6" s="1"/>
  <c r="H400" i="6" s="1"/>
  <c r="H401" i="6" s="1"/>
  <c r="H402" i="6" s="1"/>
  <c r="H403" i="6" s="1"/>
  <c r="H404" i="6" s="1"/>
  <c r="H405" i="6" s="1"/>
  <c r="H406" i="6" s="1"/>
  <c r="H407" i="6" s="1"/>
  <c r="H408" i="6" s="1"/>
  <c r="H409" i="6" s="1"/>
  <c r="H410" i="6" s="1"/>
  <c r="H411" i="6" s="1"/>
  <c r="H412" i="6" s="1"/>
  <c r="H413" i="6" s="1"/>
  <c r="H414" i="6" s="1"/>
  <c r="H415" i="6" s="1"/>
  <c r="H416" i="6" s="1"/>
  <c r="H417" i="6" s="1"/>
  <c r="H418" i="6" s="1"/>
  <c r="H419" i="6" s="1"/>
  <c r="H420" i="6" s="1"/>
  <c r="H421" i="6" s="1"/>
  <c r="H422" i="6" s="1"/>
  <c r="H423" i="6" s="1"/>
  <c r="H424" i="6" s="1"/>
  <c r="H425" i="6" s="1"/>
  <c r="H426" i="6" s="1"/>
  <c r="H427" i="6" s="1"/>
  <c r="H428" i="6" s="1"/>
  <c r="H429" i="6" s="1"/>
  <c r="H430" i="6" s="1"/>
  <c r="H431" i="6" s="1"/>
  <c r="H432" i="6" s="1"/>
  <c r="H433" i="6" s="1"/>
  <c r="H434" i="6" s="1"/>
  <c r="H435" i="6" s="1"/>
  <c r="H436" i="6" s="1"/>
  <c r="H437" i="6" s="1"/>
  <c r="H438" i="6" s="1"/>
  <c r="H439" i="6" s="1"/>
  <c r="H440" i="6" s="1"/>
  <c r="H441" i="6" s="1"/>
  <c r="H442" i="6" s="1"/>
  <c r="H443" i="6" s="1"/>
  <c r="H444" i="6" s="1"/>
  <c r="H445" i="6" s="1"/>
  <c r="H446" i="6" s="1"/>
  <c r="H447" i="6" s="1"/>
  <c r="H448" i="6" s="1"/>
  <c r="H449" i="6" s="1"/>
  <c r="H450" i="6" s="1"/>
  <c r="H451" i="6" s="1"/>
  <c r="H452" i="6" s="1"/>
  <c r="H453" i="6" s="1"/>
  <c r="H454" i="6" s="1"/>
  <c r="H455" i="6" s="1"/>
  <c r="H456" i="6" s="1"/>
  <c r="H457" i="6" s="1"/>
  <c r="H458" i="6" s="1"/>
  <c r="H459" i="6" s="1"/>
  <c r="H460" i="6" s="1"/>
  <c r="H461" i="6" s="1"/>
  <c r="H462" i="6" s="1"/>
  <c r="H463" i="6" s="1"/>
  <c r="H464" i="6" s="1"/>
  <c r="H465" i="6" s="1"/>
  <c r="H466" i="6" s="1"/>
  <c r="H467" i="6" s="1"/>
  <c r="H468" i="6" s="1"/>
  <c r="H469" i="6" s="1"/>
  <c r="H470" i="6" s="1"/>
  <c r="H471" i="6" s="1"/>
  <c r="H472" i="6" s="1"/>
  <c r="H473" i="6" s="1"/>
  <c r="H474" i="6" s="1"/>
  <c r="H475" i="6" s="1"/>
  <c r="H476" i="6" s="1"/>
  <c r="H314" i="6" l="1"/>
  <c r="H315" i="6" s="1"/>
  <c r="H316" i="6" s="1"/>
  <c r="H317" i="6" s="1"/>
  <c r="H318" i="6" s="1"/>
  <c r="H319" i="6" s="1"/>
  <c r="H320" i="6" s="1"/>
  <c r="H321" i="6" s="1"/>
  <c r="H322" i="6" s="1"/>
  <c r="H323" i="6" s="1"/>
  <c r="H324" i="6" s="1"/>
  <c r="H325" i="6" s="1"/>
  <c r="H326" i="6" s="1"/>
  <c r="H327" i="6" s="1"/>
  <c r="H328" i="6" s="1"/>
  <c r="H329" i="6" s="1"/>
  <c r="H330" i="6" s="1"/>
  <c r="H331" i="6" s="1"/>
  <c r="H332" i="6" s="1"/>
  <c r="H333" i="6" s="1"/>
  <c r="H334" i="6" s="1"/>
  <c r="H335" i="6" s="1"/>
  <c r="H336" i="6" s="1"/>
  <c r="H337" i="6" s="1"/>
  <c r="H338" i="6" s="1"/>
  <c r="H339" i="6" s="1"/>
  <c r="H340" i="6" s="1"/>
  <c r="H341" i="6" s="1"/>
  <c r="H342" i="6" s="1"/>
  <c r="H343" i="6" s="1"/>
  <c r="H344" i="6" s="1"/>
  <c r="H345" i="6" s="1"/>
  <c r="H346" i="6" s="1"/>
  <c r="H347" i="6" s="1"/>
  <c r="H348" i="6" s="1"/>
  <c r="H349" i="6" s="1"/>
  <c r="H350" i="6" s="1"/>
  <c r="H351" i="6" s="1"/>
  <c r="H352" i="6" s="1"/>
  <c r="H353" i="6" s="1"/>
  <c r="H354" i="6" s="1"/>
  <c r="H355" i="6" s="1"/>
  <c r="H356" i="6" s="1"/>
  <c r="H357" i="6" s="1"/>
  <c r="H358" i="6" s="1"/>
  <c r="H359" i="6" s="1"/>
  <c r="H360" i="6" s="1"/>
  <c r="H361" i="6" s="1"/>
  <c r="H362" i="6" s="1"/>
  <c r="H363" i="6" s="1"/>
  <c r="H364" i="6" s="1"/>
  <c r="H365" i="6" s="1"/>
  <c r="H366" i="6" s="1"/>
  <c r="H367" i="6" s="1"/>
  <c r="H368" i="6" s="1"/>
  <c r="H369" i="6" s="1"/>
  <c r="H370" i="6" s="1"/>
  <c r="H371" i="6" s="1"/>
  <c r="H372" i="6" s="1"/>
  <c r="H373" i="6" s="1"/>
  <c r="H374" i="6" s="1"/>
  <c r="H375" i="6" s="1"/>
  <c r="H376" i="6" s="1"/>
  <c r="H377" i="6" s="1"/>
  <c r="H378" i="6" s="1"/>
  <c r="H379" i="6" s="1"/>
  <c r="H380" i="6" s="1"/>
  <c r="H381" i="6" s="1"/>
  <c r="H382" i="6" s="1"/>
  <c r="H383" i="6" s="1"/>
  <c r="H384" i="6" s="1"/>
  <c r="H217" i="6" l="1"/>
  <c r="H218" i="6" s="1"/>
  <c r="H219" i="6" s="1"/>
  <c r="H220" i="6" s="1"/>
  <c r="H221" i="6" s="1"/>
  <c r="H222" i="6" s="1"/>
  <c r="H223" i="6" s="1"/>
  <c r="H224" i="6" s="1"/>
  <c r="H225" i="6" s="1"/>
  <c r="H226" i="6" s="1"/>
  <c r="H227" i="6" s="1"/>
  <c r="H228" i="6" s="1"/>
  <c r="H229" i="6" s="1"/>
  <c r="H230" i="6" s="1"/>
  <c r="H231" i="6" s="1"/>
  <c r="H232" i="6" s="1"/>
  <c r="H233" i="6" s="1"/>
  <c r="H234" i="6" s="1"/>
  <c r="H235" i="6" s="1"/>
  <c r="H236" i="6" s="1"/>
  <c r="H237" i="6" s="1"/>
  <c r="H238" i="6" s="1"/>
  <c r="H239" i="6" s="1"/>
  <c r="H240" i="6" s="1"/>
  <c r="H241" i="6" s="1"/>
  <c r="H242" i="6" s="1"/>
  <c r="H243" i="6" s="1"/>
  <c r="H244" i="6" s="1"/>
  <c r="H245" i="6" s="1"/>
  <c r="H246" i="6" s="1"/>
  <c r="H247" i="6" s="1"/>
  <c r="H248" i="6" s="1"/>
  <c r="H249" i="6" s="1"/>
  <c r="H250" i="6" s="1"/>
  <c r="H251" i="6" s="1"/>
  <c r="H252" i="6" s="1"/>
  <c r="H253" i="6" s="1"/>
  <c r="H254" i="6" s="1"/>
  <c r="H255" i="6" s="1"/>
  <c r="H256" i="6" s="1"/>
  <c r="H257" i="6" s="1"/>
  <c r="H258" i="6" s="1"/>
  <c r="H259" i="6" s="1"/>
  <c r="H260" i="6" s="1"/>
  <c r="H261" i="6" s="1"/>
  <c r="H262" i="6" s="1"/>
  <c r="H263" i="6" s="1"/>
  <c r="H264" i="6" s="1"/>
  <c r="H265" i="6" s="1"/>
  <c r="H266" i="6" s="1"/>
  <c r="H267" i="6" s="1"/>
  <c r="H268" i="6" s="1"/>
  <c r="H269" i="6" s="1"/>
  <c r="H270" i="6" s="1"/>
  <c r="H271" i="6" s="1"/>
  <c r="H272" i="6" s="1"/>
  <c r="H273" i="6" s="1"/>
  <c r="H274" i="6" s="1"/>
  <c r="H275" i="6" s="1"/>
  <c r="H276" i="6" s="1"/>
  <c r="H277" i="6" s="1"/>
  <c r="H278" i="6" s="1"/>
  <c r="H279" i="6" s="1"/>
  <c r="H280" i="6" s="1"/>
  <c r="H281" i="6" s="1"/>
  <c r="H282" i="6" s="1"/>
  <c r="H283" i="6" s="1"/>
  <c r="H284" i="6" s="1"/>
  <c r="H285" i="6" s="1"/>
  <c r="H286" i="6" s="1"/>
  <c r="H287" i="6" s="1"/>
  <c r="H288" i="6" s="1"/>
  <c r="H289" i="6" s="1"/>
  <c r="H290" i="6" s="1"/>
  <c r="H291" i="6" s="1"/>
  <c r="H292" i="6" s="1"/>
  <c r="H293" i="6" s="1"/>
  <c r="H294" i="6" s="1"/>
  <c r="H295" i="6" s="1"/>
  <c r="H296" i="6" s="1"/>
  <c r="H297" i="6" s="1"/>
  <c r="H298" i="6" s="1"/>
  <c r="H299" i="6" s="1"/>
  <c r="H300" i="6" s="1"/>
  <c r="H301" i="6" s="1"/>
  <c r="H302" i="6" s="1"/>
  <c r="H303" i="6" s="1"/>
  <c r="H304" i="6" s="1"/>
  <c r="H305" i="6" s="1"/>
  <c r="H306" i="6" s="1"/>
  <c r="H307" i="6" s="1"/>
  <c r="H71" i="6" l="1"/>
  <c r="H72" i="6" s="1"/>
  <c r="H73" i="6" s="1"/>
  <c r="H74" i="6" s="1"/>
  <c r="H75" i="6" s="1"/>
  <c r="H76" i="6" s="1"/>
  <c r="H77" i="6" s="1"/>
  <c r="H78" i="6" s="1"/>
  <c r="H79" i="6" s="1"/>
  <c r="H80" i="6" s="1"/>
  <c r="H81" i="6" s="1"/>
  <c r="H82" i="6" s="1"/>
  <c r="H83" i="6" s="1"/>
  <c r="H84" i="6" s="1"/>
  <c r="H85" i="6" s="1"/>
  <c r="H86" i="6" s="1"/>
  <c r="H87" i="6" s="1"/>
  <c r="H88" i="6" s="1"/>
  <c r="H89" i="6" s="1"/>
  <c r="H90" i="6" s="1"/>
  <c r="H91" i="6" s="1"/>
  <c r="H92" i="6" s="1"/>
  <c r="F1373" i="26" l="1"/>
  <c r="F1372" i="26"/>
  <c r="F1371" i="26"/>
  <c r="F1370" i="26"/>
  <c r="F1369" i="26"/>
  <c r="F1368" i="26"/>
  <c r="F1367" i="26"/>
  <c r="F1366" i="26"/>
  <c r="F1365" i="26"/>
  <c r="F1364" i="26"/>
  <c r="F1363" i="26"/>
  <c r="F1362" i="26"/>
  <c r="F1361" i="26"/>
  <c r="F1360" i="26"/>
  <c r="F1359" i="26"/>
  <c r="F1358" i="26"/>
  <c r="F1357" i="26"/>
  <c r="F1356" i="26"/>
  <c r="F1355" i="26"/>
  <c r="F1354" i="26"/>
  <c r="F1353" i="26"/>
  <c r="F1352" i="26"/>
  <c r="F1351" i="26"/>
  <c r="F1350" i="26"/>
  <c r="F1349" i="26"/>
  <c r="F1348" i="26"/>
  <c r="F1347" i="26"/>
  <c r="F1346" i="26"/>
  <c r="F1345" i="26"/>
  <c r="F1344" i="26"/>
  <c r="F1343" i="26"/>
  <c r="F1342" i="26"/>
  <c r="F1341" i="26"/>
  <c r="F1340" i="26"/>
  <c r="F1339" i="26"/>
  <c r="F1338" i="26"/>
  <c r="F1337" i="26"/>
  <c r="F1336" i="26"/>
  <c r="F1335" i="26"/>
  <c r="F1334" i="26"/>
  <c r="F1333" i="26"/>
  <c r="F1332" i="26"/>
  <c r="F1331" i="26"/>
  <c r="F1330" i="26"/>
  <c r="F1329" i="26"/>
  <c r="F1328" i="26"/>
  <c r="F1327" i="26"/>
  <c r="F1326" i="26"/>
  <c r="F1325" i="26"/>
  <c r="F1324" i="26"/>
  <c r="F1323" i="26"/>
  <c r="F1322" i="26"/>
  <c r="F1321" i="26"/>
  <c r="F1320" i="26"/>
  <c r="F1319" i="26"/>
  <c r="F1318" i="26"/>
  <c r="F1317" i="26"/>
  <c r="F1316" i="26"/>
  <c r="F1315" i="26"/>
  <c r="F1314" i="26"/>
  <c r="F1313" i="26"/>
  <c r="F1312" i="26"/>
  <c r="F1311" i="26"/>
  <c r="F1310" i="26"/>
  <c r="F1309" i="26"/>
  <c r="F1308" i="26"/>
  <c r="F1307" i="26"/>
  <c r="F1306" i="26"/>
  <c r="F1305" i="26"/>
  <c r="F1304" i="26"/>
  <c r="F1303" i="26"/>
  <c r="F1302" i="26"/>
  <c r="F1301" i="26"/>
  <c r="F1300" i="26"/>
  <c r="F1299" i="26"/>
  <c r="F1298" i="26"/>
  <c r="F1297" i="26"/>
  <c r="F1296" i="26"/>
  <c r="F1295" i="26"/>
  <c r="F1294" i="26"/>
  <c r="F1293" i="26"/>
  <c r="F1292" i="26"/>
  <c r="F1291" i="26"/>
  <c r="F1290" i="26"/>
  <c r="F1289" i="26"/>
  <c r="F1288" i="26"/>
  <c r="F1287" i="26"/>
  <c r="F1286" i="26"/>
  <c r="F1285" i="26"/>
  <c r="F1284" i="26"/>
  <c r="G1283" i="26"/>
  <c r="F1282" i="26"/>
  <c r="F1281" i="26"/>
  <c r="F1280" i="26"/>
  <c r="F1279" i="26"/>
  <c r="F1278" i="26"/>
  <c r="F1277" i="26"/>
  <c r="F1276" i="26"/>
  <c r="F1275" i="26"/>
  <c r="F1274" i="26"/>
  <c r="F1273" i="26"/>
  <c r="F1272" i="26"/>
  <c r="F1271" i="26"/>
  <c r="F1270" i="26"/>
  <c r="F1269" i="26"/>
  <c r="F1268" i="26"/>
  <c r="F1267" i="26"/>
  <c r="F1266" i="26"/>
  <c r="F1265" i="26"/>
  <c r="F1264" i="26"/>
  <c r="F1263" i="26"/>
  <c r="F1262" i="26"/>
  <c r="F1261" i="26"/>
  <c r="F1260" i="26"/>
  <c r="F1259" i="26"/>
  <c r="F1258" i="26"/>
  <c r="F1257" i="26"/>
  <c r="F1256" i="26"/>
  <c r="F1255" i="26"/>
  <c r="F1254" i="26"/>
  <c r="F1253" i="26"/>
  <c r="F1252" i="26"/>
  <c r="F1251" i="26"/>
  <c r="F1250" i="26"/>
  <c r="F1249" i="26"/>
  <c r="F1248" i="26"/>
  <c r="F1247" i="26"/>
  <c r="F1246" i="26"/>
  <c r="F1245" i="26"/>
  <c r="F1244" i="26"/>
  <c r="F1243" i="26"/>
  <c r="F1242" i="26"/>
  <c r="F1241" i="26"/>
  <c r="F1240" i="26"/>
  <c r="F1239" i="26"/>
  <c r="F1238" i="26"/>
  <c r="F1237" i="26"/>
  <c r="F1236" i="26"/>
  <c r="F1235" i="26"/>
  <c r="F1234" i="26"/>
  <c r="F1233" i="26"/>
  <c r="F1232" i="26"/>
  <c r="F1231" i="26"/>
  <c r="F1230" i="26"/>
  <c r="F1229" i="26"/>
  <c r="F1228" i="26"/>
  <c r="F1227" i="26"/>
  <c r="F1226" i="26"/>
  <c r="F1225" i="26"/>
  <c r="F1224" i="26"/>
  <c r="F1223" i="26"/>
  <c r="F1222" i="26"/>
  <c r="F1221" i="26"/>
  <c r="F1220" i="26"/>
  <c r="F1219" i="26"/>
  <c r="F1218" i="26"/>
  <c r="F1217" i="26"/>
  <c r="F1216" i="26"/>
  <c r="F1215" i="26"/>
  <c r="F1214" i="26"/>
  <c r="F1213" i="26"/>
  <c r="G1212" i="26"/>
  <c r="F1211" i="26"/>
  <c r="F1210" i="26"/>
  <c r="F1209" i="26"/>
  <c r="F1208" i="26"/>
  <c r="F1207" i="26"/>
  <c r="F1206" i="26"/>
  <c r="F1205" i="26"/>
  <c r="F1204" i="26"/>
  <c r="F1203" i="26"/>
  <c r="F1202" i="26"/>
  <c r="F1201" i="26"/>
  <c r="F1200" i="26"/>
  <c r="F1199" i="26"/>
  <c r="F1198" i="26"/>
  <c r="F1197" i="26"/>
  <c r="F1196" i="26"/>
  <c r="F1195" i="26"/>
  <c r="F1194" i="26"/>
  <c r="F1193" i="26"/>
  <c r="F1192" i="26"/>
  <c r="F1191" i="26"/>
  <c r="F1190" i="26"/>
  <c r="F1189" i="26"/>
  <c r="F1188" i="26"/>
  <c r="F1187" i="26"/>
  <c r="F1186" i="26"/>
  <c r="F1185" i="26"/>
  <c r="F1184" i="26"/>
  <c r="F1183" i="26"/>
  <c r="F1182" i="26"/>
  <c r="F1181" i="26"/>
  <c r="F1180" i="26"/>
  <c r="F1179" i="26"/>
  <c r="F1178" i="26"/>
  <c r="F1177" i="26"/>
  <c r="F1176" i="26"/>
  <c r="F1175" i="26"/>
  <c r="F1174" i="26"/>
  <c r="F1173" i="26"/>
  <c r="F1172" i="26"/>
  <c r="F1171" i="26"/>
  <c r="F1170" i="26"/>
  <c r="F1169" i="26"/>
  <c r="F1168" i="26"/>
  <c r="F1167" i="26"/>
  <c r="F1166" i="26"/>
  <c r="F1165" i="26"/>
  <c r="C12" i="2" l="1"/>
  <c r="E14" i="2"/>
  <c r="G12" i="2"/>
  <c r="G14" i="2"/>
  <c r="E16" i="2"/>
  <c r="G10" i="2"/>
  <c r="E15" i="2"/>
  <c r="G15" i="2"/>
  <c r="G16" i="2"/>
  <c r="G9" i="2"/>
  <c r="G11" i="2"/>
  <c r="E12" i="2"/>
  <c r="G13" i="2"/>
  <c r="C16" i="2" l="1"/>
  <c r="C15" i="2"/>
  <c r="C14" i="2"/>
  <c r="C13" i="2"/>
  <c r="C11" i="2"/>
  <c r="C10" i="2"/>
  <c r="C9" i="2"/>
  <c r="C8" i="2"/>
  <c r="C5" i="2"/>
  <c r="C3" i="2"/>
  <c r="C2" i="2"/>
  <c r="M15" i="2"/>
  <c r="M2" i="2"/>
  <c r="M5" i="2"/>
  <c r="M12" i="2"/>
  <c r="M14" i="2"/>
  <c r="C19" i="2" l="1"/>
  <c r="F240" i="1"/>
  <c r="F50" i="1"/>
  <c r="F417" i="1"/>
  <c r="F13" i="1"/>
  <c r="F14" i="1"/>
  <c r="F637" i="1"/>
  <c r="F449" i="1"/>
  <c r="F37" i="1"/>
  <c r="F142" i="1"/>
  <c r="F246" i="1"/>
  <c r="F655" i="1"/>
  <c r="F761" i="1"/>
  <c r="F2" i="1"/>
  <c r="F453" i="1"/>
  <c r="F424" i="1"/>
  <c r="F252" i="1"/>
  <c r="F253" i="1"/>
  <c r="F360" i="1"/>
  <c r="F683" i="1"/>
  <c r="F103" i="1"/>
  <c r="F651" i="1"/>
  <c r="F15" i="1"/>
  <c r="F112" i="1"/>
  <c r="F450" i="1"/>
  <c r="F752" i="1"/>
  <c r="F274" i="1"/>
  <c r="F411" i="1"/>
  <c r="F412" i="1"/>
  <c r="F56" i="1"/>
  <c r="F285" i="1"/>
  <c r="F753" i="1"/>
  <c r="F605" i="1"/>
  <c r="F133" i="1"/>
  <c r="F113" i="1"/>
  <c r="F30" i="1"/>
  <c r="F55" i="1"/>
  <c r="F316" i="1"/>
  <c r="F57" i="1"/>
  <c r="F736" i="1"/>
  <c r="F186" i="1"/>
  <c r="F754" i="1"/>
  <c r="F749" i="1"/>
  <c r="F693" i="1"/>
  <c r="F695" i="1"/>
  <c r="F44" i="1"/>
  <c r="F553" i="1"/>
  <c r="F358" i="1"/>
  <c r="F615" i="1"/>
  <c r="F505" i="1"/>
  <c r="F506" i="1"/>
  <c r="F733" i="1"/>
  <c r="F734" i="1"/>
  <c r="F67" i="1"/>
  <c r="F68" i="1"/>
  <c r="F473" i="1"/>
  <c r="F413" i="1"/>
  <c r="F143" i="1"/>
  <c r="F521" i="1"/>
  <c r="F737" i="1"/>
  <c r="F84" i="1"/>
  <c r="F648" i="1"/>
  <c r="F649" i="1"/>
  <c r="F45" i="1"/>
  <c r="F474" i="1"/>
  <c r="F475" i="1"/>
  <c r="G3" i="4"/>
  <c r="G4" i="4" s="1"/>
  <c r="G5" i="4" s="1"/>
  <c r="G6" i="4" s="1"/>
  <c r="G7" i="4" s="1"/>
  <c r="G8" i="4" s="1"/>
  <c r="G9" i="4" s="1"/>
  <c r="G10" i="4" s="1"/>
  <c r="G11" i="4" s="1"/>
  <c r="G12" i="4" s="1"/>
  <c r="G13" i="4" s="1"/>
  <c r="D14" i="2"/>
  <c r="D16" i="2"/>
  <c r="D2" i="2"/>
  <c r="D11" i="2"/>
  <c r="D15" i="2"/>
  <c r="D5" i="2"/>
  <c r="D12" i="2"/>
  <c r="I2" i="2" l="1"/>
  <c r="I19" i="2"/>
  <c r="H5" i="6"/>
  <c r="H6" i="6" s="1"/>
  <c r="H7" i="6" s="1"/>
  <c r="H8" i="6" s="1"/>
  <c r="H9" i="6" s="1"/>
  <c r="H10" i="6" s="1"/>
  <c r="H11" i="6" s="1"/>
  <c r="H12" i="6" s="1"/>
  <c r="H13" i="6" s="1"/>
  <c r="H14" i="6" s="1"/>
  <c r="H15" i="6" s="1"/>
  <c r="H16" i="6" s="1"/>
  <c r="H17" i="6" s="1"/>
  <c r="H18" i="6" s="1"/>
  <c r="H19" i="6" s="1"/>
  <c r="H20" i="6" s="1"/>
  <c r="H21" i="6" s="1"/>
  <c r="H22" i="6" s="1"/>
  <c r="H23" i="6" s="1"/>
  <c r="H24" i="6" s="1"/>
  <c r="H25" i="6" s="1"/>
  <c r="H26" i="6" s="1"/>
  <c r="H27" i="6" s="1"/>
  <c r="H28" i="6" s="1"/>
  <c r="H29" i="6" s="1"/>
  <c r="H30" i="6" s="1"/>
  <c r="H31" i="6" s="1"/>
  <c r="H32" i="6" s="1"/>
  <c r="H33" i="6" s="1"/>
  <c r="H34" i="6" s="1"/>
  <c r="H35" i="6" s="1"/>
  <c r="H36" i="6" s="1"/>
  <c r="H37" i="6" s="1"/>
  <c r="H38" i="6" s="1"/>
  <c r="H39" i="6" s="1"/>
  <c r="H40" i="6" s="1"/>
  <c r="H41" i="6" s="1"/>
  <c r="H42" i="6" s="1"/>
  <c r="H43" i="6" s="1"/>
  <c r="H44" i="6" s="1"/>
  <c r="H45" i="6" s="1"/>
  <c r="H46" i="6" s="1"/>
  <c r="H47" i="6" s="1"/>
  <c r="H48" i="6" s="1"/>
  <c r="H49" i="6" s="1"/>
  <c r="H50" i="6" s="1"/>
  <c r="H51" i="6" s="1"/>
  <c r="H52" i="6" s="1"/>
  <c r="H53" i="6" s="1"/>
  <c r="H54" i="6" s="1"/>
  <c r="H55" i="6" s="1"/>
  <c r="H56" i="6" s="1"/>
  <c r="H57" i="6" s="1"/>
  <c r="H58" i="6" s="1"/>
  <c r="H59" i="6" s="1"/>
  <c r="H60" i="6" s="1"/>
  <c r="H61" i="6" s="1"/>
  <c r="H62" i="6" s="1"/>
  <c r="H63" i="6" s="1"/>
  <c r="H64" i="6" s="1"/>
  <c r="H65" i="6" s="1"/>
  <c r="G853" i="26" l="1"/>
  <c r="G600" i="26"/>
  <c r="F600" i="26" s="1"/>
  <c r="F437" i="26"/>
  <c r="F418" i="26"/>
  <c r="F417" i="26"/>
  <c r="G77" i="26"/>
  <c r="F398" i="1"/>
  <c r="F99" i="1"/>
  <c r="F6" i="1"/>
  <c r="F341" i="1"/>
  <c r="F342" i="1"/>
  <c r="F225" i="1"/>
  <c r="F228" i="1"/>
  <c r="F116" i="1"/>
  <c r="F117" i="1"/>
  <c r="F247" i="1"/>
  <c r="F248" i="1"/>
  <c r="F127" i="1"/>
  <c r="F126" i="1"/>
  <c r="F646" i="1"/>
  <c r="F647" i="1"/>
  <c r="F555" i="1"/>
  <c r="F456" i="1"/>
  <c r="F226" i="1"/>
  <c r="F628" i="1"/>
  <c r="F414" i="1"/>
  <c r="F187" i="1"/>
  <c r="F451" i="1"/>
  <c r="F452" i="1"/>
  <c r="F485" i="1"/>
  <c r="F119" i="1"/>
  <c r="F7" i="7"/>
  <c r="I25" i="2" l="1"/>
  <c r="H745" i="6" l="1"/>
  <c r="H746" i="6" s="1"/>
  <c r="H747" i="6" s="1"/>
  <c r="H748" i="6" s="1"/>
  <c r="H749" i="6" s="1"/>
  <c r="H750" i="6" s="1"/>
  <c r="H751" i="6" s="1"/>
  <c r="H752" i="6" s="1"/>
  <c r="H753" i="6" s="1"/>
  <c r="H754" i="6" s="1"/>
  <c r="H755" i="6" s="1"/>
  <c r="H756" i="6" s="1"/>
  <c r="H757" i="6" s="1"/>
  <c r="H758" i="6" s="1"/>
  <c r="H759" i="6" s="1"/>
  <c r="H760" i="6" s="1"/>
  <c r="H761" i="6" s="1"/>
  <c r="H762" i="6" s="1"/>
  <c r="H763" i="6" s="1"/>
  <c r="H764" i="6" s="1"/>
  <c r="H765" i="6" s="1"/>
  <c r="H766" i="6" s="1"/>
  <c r="H767" i="6" s="1"/>
  <c r="H768" i="6" s="1"/>
  <c r="H769" i="6" s="1"/>
  <c r="H770" i="6" s="1"/>
  <c r="H771" i="6" s="1"/>
  <c r="H772" i="6" s="1"/>
  <c r="H773" i="6" s="1"/>
  <c r="H774" i="6" s="1"/>
  <c r="H775" i="6" s="1"/>
  <c r="H776" i="6" s="1"/>
  <c r="H777" i="6" s="1"/>
  <c r="H778" i="6" s="1"/>
  <c r="H779" i="6" s="1"/>
  <c r="H780" i="6" s="1"/>
  <c r="H781" i="6" s="1"/>
  <c r="H782" i="6" s="1"/>
  <c r="H783" i="6" s="1"/>
  <c r="H784" i="6" s="1"/>
  <c r="H785" i="6" s="1"/>
  <c r="H786" i="6" s="1"/>
  <c r="H787" i="6" s="1"/>
  <c r="H788" i="6" s="1"/>
  <c r="H789" i="6" s="1"/>
  <c r="H790" i="6" s="1"/>
  <c r="H791" i="6" s="1"/>
  <c r="H792" i="6" s="1"/>
  <c r="H793" i="6" s="1"/>
  <c r="H794" i="6" s="1"/>
  <c r="H795" i="6" s="1"/>
  <c r="H796" i="6" s="1"/>
  <c r="H797" i="6" s="1"/>
  <c r="H798" i="6" s="1"/>
  <c r="H799" i="6" s="1"/>
  <c r="H800" i="6" s="1"/>
  <c r="H801" i="6" s="1"/>
  <c r="H802" i="6" s="1"/>
  <c r="H803" i="6" s="1"/>
  <c r="H804" i="6" s="1"/>
  <c r="H805" i="6" s="1"/>
  <c r="H806" i="6" s="1"/>
  <c r="H807" i="6" s="1"/>
  <c r="H808" i="6" s="1"/>
  <c r="H809" i="6" s="1"/>
  <c r="H810" i="6" s="1"/>
  <c r="H811" i="6" s="1"/>
  <c r="H812" i="6" s="1"/>
  <c r="H813" i="6" s="1"/>
  <c r="H814" i="6" s="1"/>
  <c r="H815" i="6" s="1"/>
  <c r="H816" i="6" s="1"/>
  <c r="H817" i="6" s="1"/>
  <c r="H818" i="6" s="1"/>
  <c r="H819" i="6" s="1"/>
  <c r="H820" i="6" s="1"/>
  <c r="H821" i="6" s="1"/>
  <c r="H822" i="6" s="1"/>
  <c r="H823" i="6" s="1"/>
  <c r="H824" i="6" s="1"/>
  <c r="H825" i="6" s="1"/>
  <c r="H826" i="6" s="1"/>
  <c r="H827" i="6" s="1"/>
  <c r="H828" i="6" s="1"/>
  <c r="H829" i="6" s="1"/>
  <c r="H830" i="6" s="1"/>
  <c r="H831" i="6" s="1"/>
  <c r="H832" i="6" s="1"/>
  <c r="H833" i="6" s="1"/>
  <c r="H834" i="6" s="1"/>
  <c r="H835" i="6" s="1"/>
  <c r="H836" i="6" s="1"/>
  <c r="H837" i="6" s="1"/>
  <c r="H838" i="6" s="1"/>
  <c r="H839" i="6" s="1"/>
  <c r="H840" i="6" s="1"/>
  <c r="H841" i="6" s="1"/>
  <c r="H842" i="6" s="1"/>
  <c r="H843" i="6" s="1"/>
  <c r="H844" i="6" s="1"/>
  <c r="H845" i="6" s="1"/>
  <c r="H846" i="6" s="1"/>
  <c r="H847" i="6" s="1"/>
  <c r="H848" i="6" s="1"/>
  <c r="H849" i="6" s="1"/>
  <c r="H850" i="6" s="1"/>
  <c r="H851" i="6" s="1"/>
  <c r="H852" i="6" s="1"/>
  <c r="H853" i="6" s="1"/>
  <c r="H854" i="6" s="1"/>
  <c r="H855" i="6" s="1"/>
  <c r="H856" i="6" s="1"/>
  <c r="H857" i="6" s="1"/>
  <c r="H858" i="6" s="1"/>
  <c r="H859" i="6" s="1"/>
  <c r="H860" i="6" s="1"/>
  <c r="H861" i="6" s="1"/>
  <c r="H862" i="6" s="1"/>
  <c r="H863" i="6" s="1"/>
  <c r="H864" i="6" s="1"/>
  <c r="H865" i="6" s="1"/>
  <c r="H866" i="6" s="1"/>
  <c r="H867" i="6" s="1"/>
  <c r="H868" i="6" s="1"/>
  <c r="H869" i="6" s="1"/>
  <c r="H870" i="6" s="1"/>
  <c r="H871" i="6" s="1"/>
  <c r="H872" i="6" s="1"/>
  <c r="H873" i="6" s="1"/>
  <c r="H874" i="6" s="1"/>
  <c r="H875" i="6" s="1"/>
  <c r="H876" i="6" s="1"/>
  <c r="H877" i="6" s="1"/>
  <c r="H878" i="6" s="1"/>
  <c r="H879" i="6" s="1"/>
  <c r="H880" i="6" s="1"/>
  <c r="H881" i="6" s="1"/>
  <c r="H882" i="6" s="1"/>
  <c r="H883" i="6" s="1"/>
  <c r="H884" i="6" s="1"/>
  <c r="H885" i="6" s="1"/>
  <c r="H886" i="6" s="1"/>
  <c r="H887" i="6" s="1"/>
  <c r="H888" i="6" s="1"/>
  <c r="H889" i="6" s="1"/>
  <c r="H890" i="6" s="1"/>
  <c r="H891" i="6" s="1"/>
  <c r="H892" i="6" s="1"/>
  <c r="H893" i="6" s="1"/>
  <c r="H894" i="6" s="1"/>
  <c r="H895" i="6" s="1"/>
  <c r="H896" i="6" s="1"/>
  <c r="H897" i="6" s="1"/>
  <c r="H898" i="6" s="1"/>
  <c r="H899" i="6" s="1"/>
  <c r="H900" i="6" s="1"/>
  <c r="H901" i="6" s="1"/>
  <c r="H902" i="6" s="1"/>
  <c r="H903" i="6" s="1"/>
  <c r="H904" i="6" s="1"/>
  <c r="H905" i="6" s="1"/>
  <c r="H906" i="6" s="1"/>
  <c r="H907" i="6" s="1"/>
  <c r="H908" i="6" s="1"/>
  <c r="H909" i="6" s="1"/>
  <c r="H910" i="6" s="1"/>
  <c r="H911" i="6" s="1"/>
  <c r="H912" i="6" s="1"/>
  <c r="H913" i="6" s="1"/>
  <c r="H914" i="6" s="1"/>
  <c r="H915" i="6" s="1"/>
  <c r="H916" i="6" s="1"/>
  <c r="H917" i="6" s="1"/>
  <c r="H918" i="6" s="1"/>
  <c r="H919" i="6" s="1"/>
  <c r="H920" i="6" s="1"/>
  <c r="H921" i="6" s="1"/>
  <c r="H922" i="6" s="1"/>
  <c r="H923" i="6" s="1"/>
  <c r="H924" i="6" s="1"/>
  <c r="H925" i="6" s="1"/>
  <c r="H926" i="6" s="1"/>
  <c r="H927" i="6" s="1"/>
  <c r="H928" i="6" s="1"/>
  <c r="H929" i="6" s="1"/>
  <c r="I12" i="2" l="1"/>
  <c r="H692" i="6"/>
  <c r="H693" i="6" s="1"/>
  <c r="H694" i="6" s="1"/>
  <c r="H695" i="6" s="1"/>
  <c r="H696" i="6" s="1"/>
  <c r="H697" i="6" s="1"/>
  <c r="H698" i="6" s="1"/>
  <c r="H699" i="6" s="1"/>
  <c r="H700" i="6" s="1"/>
  <c r="H701" i="6" s="1"/>
  <c r="H702" i="6" s="1"/>
  <c r="H703" i="6" s="1"/>
  <c r="H704" i="6" s="1"/>
  <c r="H705" i="6" s="1"/>
  <c r="H706" i="6" s="1"/>
  <c r="H707" i="6" s="1"/>
  <c r="H708" i="6" s="1"/>
  <c r="H709" i="6" s="1"/>
  <c r="H710" i="6" s="1"/>
  <c r="H711" i="6" s="1"/>
  <c r="H712" i="6" s="1"/>
  <c r="H713" i="6" s="1"/>
  <c r="H714" i="6" s="1"/>
  <c r="H715" i="6" s="1"/>
  <c r="H716" i="6" s="1"/>
  <c r="H717" i="6" s="1"/>
  <c r="H718" i="6" s="1"/>
  <c r="H719" i="6" s="1"/>
  <c r="H720" i="6" s="1"/>
  <c r="H721" i="6" s="1"/>
  <c r="H722" i="6" s="1"/>
  <c r="H723" i="6" s="1"/>
  <c r="H724" i="6" s="1"/>
  <c r="H725" i="6" s="1"/>
  <c r="H726" i="6" s="1"/>
  <c r="H727" i="6" s="1"/>
  <c r="H728" i="6" s="1"/>
  <c r="H729" i="6" s="1"/>
  <c r="H730" i="6" s="1"/>
  <c r="H731" i="6" s="1"/>
  <c r="H732" i="6" s="1"/>
  <c r="H733" i="6" s="1"/>
  <c r="H734" i="6" s="1"/>
  <c r="H735" i="6" s="1"/>
  <c r="H736" i="6" s="1"/>
  <c r="H737" i="6" s="1"/>
  <c r="H738" i="6" s="1"/>
  <c r="H739" i="6" s="1"/>
  <c r="H740" i="6" l="1"/>
  <c r="H937" i="6" l="1"/>
  <c r="H938" i="6" s="1"/>
  <c r="H939" i="6" s="1"/>
  <c r="H940" i="6" s="1"/>
  <c r="H941" i="6" s="1"/>
  <c r="H942" i="6" s="1"/>
  <c r="H943" i="6" s="1"/>
  <c r="H944" i="6" s="1"/>
  <c r="H945" i="6" s="1"/>
  <c r="H946" i="6" s="1"/>
  <c r="H947" i="6" s="1"/>
  <c r="H948" i="6" s="1"/>
  <c r="H949" i="6" s="1"/>
  <c r="H950" i="6" s="1"/>
  <c r="H951" i="6" s="1"/>
  <c r="H952" i="6" s="1"/>
  <c r="H953" i="6" s="1"/>
  <c r="H954" i="6" s="1"/>
  <c r="H955" i="6" s="1"/>
  <c r="H956" i="6" s="1"/>
  <c r="H957" i="6" s="1"/>
  <c r="H958" i="6" s="1"/>
  <c r="H959" i="6" s="1"/>
  <c r="H960" i="6" s="1"/>
  <c r="H961" i="6" s="1"/>
  <c r="H962" i="6" s="1"/>
  <c r="H963" i="6" s="1"/>
  <c r="H964" i="6" s="1"/>
  <c r="H965" i="6" s="1"/>
  <c r="H966" i="6" s="1"/>
  <c r="H967" i="6" s="1"/>
  <c r="H968" i="6" s="1"/>
  <c r="H969" i="6" s="1"/>
  <c r="H970" i="6" s="1"/>
  <c r="H971" i="6" s="1"/>
  <c r="H972" i="6" s="1"/>
  <c r="H973" i="6" s="1"/>
  <c r="H974" i="6" s="1"/>
  <c r="H975" i="6" s="1"/>
  <c r="H976" i="6" s="1"/>
  <c r="H977" i="6" s="1"/>
  <c r="H978" i="6" s="1"/>
  <c r="H979" i="6" s="1"/>
  <c r="H980" i="6" s="1"/>
  <c r="H981" i="6" s="1"/>
  <c r="H982" i="6" s="1"/>
  <c r="H983" i="6" s="1"/>
  <c r="H984" i="6" s="1"/>
  <c r="H985" i="6" s="1"/>
  <c r="H986" i="6" s="1"/>
  <c r="H987" i="6" s="1"/>
  <c r="H988" i="6" s="1"/>
  <c r="H989" i="6" s="1"/>
  <c r="H990" i="6" s="1"/>
  <c r="H991" i="6" s="1"/>
  <c r="H992" i="6" s="1"/>
  <c r="H993" i="6" s="1"/>
  <c r="H994" i="6" s="1"/>
  <c r="H995" i="6" s="1"/>
  <c r="H996" i="6" s="1"/>
  <c r="H997" i="6" s="1"/>
  <c r="H998" i="6" s="1"/>
  <c r="H999" i="6" s="1"/>
  <c r="H1000" i="6" s="1"/>
  <c r="H1001" i="6" s="1"/>
  <c r="H1002" i="6" s="1"/>
  <c r="H1003" i="6" s="1"/>
  <c r="H1004" i="6" s="1"/>
  <c r="H1005" i="6" s="1"/>
  <c r="H1006" i="6" s="1"/>
  <c r="H1007" i="6" s="1"/>
  <c r="H1008" i="6" s="1"/>
  <c r="H1009" i="6" s="1"/>
  <c r="H1010" i="6" s="1"/>
  <c r="H1011" i="6" s="1"/>
  <c r="H1012" i="6" s="1"/>
  <c r="H1013" i="6" s="1"/>
  <c r="H1014" i="6" s="1"/>
  <c r="H1015" i="6" s="1"/>
  <c r="H687" i="6" l="1"/>
  <c r="H572" i="6"/>
  <c r="H573" i="6" s="1"/>
  <c r="H574" i="6" s="1"/>
  <c r="H575" i="6" s="1"/>
  <c r="H576" i="6" s="1"/>
  <c r="H577" i="6" s="1"/>
  <c r="H578" i="6" s="1"/>
  <c r="H579" i="6" s="1"/>
  <c r="H580" i="6" s="1"/>
  <c r="H581" i="6" s="1"/>
  <c r="H582" i="6" s="1"/>
  <c r="H583" i="6" s="1"/>
  <c r="H584" i="6" s="1"/>
  <c r="H585" i="6" s="1"/>
  <c r="H586" i="6" s="1"/>
  <c r="H587" i="6" s="1"/>
  <c r="H588" i="6" s="1"/>
  <c r="H589" i="6" s="1"/>
  <c r="H590" i="6" s="1"/>
  <c r="H591" i="6" s="1"/>
  <c r="H592" i="6" s="1"/>
  <c r="H593" i="6" s="1"/>
  <c r="H594" i="6" s="1"/>
  <c r="H595" i="6" s="1"/>
  <c r="H596" i="6" s="1"/>
  <c r="H597" i="6" s="1"/>
  <c r="H598" i="6" s="1"/>
  <c r="H599" i="6" s="1"/>
  <c r="H600" i="6" s="1"/>
  <c r="H601" i="6" s="1"/>
  <c r="H602" i="6" s="1"/>
  <c r="H603" i="6" s="1"/>
  <c r="H604" i="6" s="1"/>
  <c r="H605" i="6" s="1"/>
  <c r="H606" i="6" s="1"/>
  <c r="H607" i="6" s="1"/>
  <c r="H608" i="6" s="1"/>
  <c r="H609" i="6" s="1"/>
  <c r="H610" i="6" s="1"/>
  <c r="H611" i="6" s="1"/>
  <c r="H612" i="6" s="1"/>
  <c r="H613" i="6" s="1"/>
  <c r="H614" i="6" s="1"/>
  <c r="H615" i="6" s="1"/>
  <c r="H616" i="6" s="1"/>
  <c r="H617" i="6" s="1"/>
  <c r="H618" i="6" s="1"/>
  <c r="H619" i="6" s="1"/>
  <c r="H620" i="6" s="1"/>
  <c r="H621" i="6" s="1"/>
  <c r="H622" i="6" s="1"/>
  <c r="H623" i="6" s="1"/>
  <c r="H624" i="6" s="1"/>
  <c r="H625" i="6" s="1"/>
  <c r="H626" i="6" s="1"/>
  <c r="H627" i="6" s="1"/>
  <c r="H105" i="6" l="1"/>
  <c r="H106" i="6" s="1"/>
  <c r="H107" i="6" s="1"/>
  <c r="H108" i="6" s="1"/>
  <c r="H109" i="6" s="1"/>
  <c r="H110" i="6" s="1"/>
  <c r="H111" i="6" s="1"/>
  <c r="H112" i="6" s="1"/>
  <c r="H113" i="6" s="1"/>
  <c r="H114" i="6" s="1"/>
  <c r="H115" i="6" s="1"/>
  <c r="H116" i="6" s="1"/>
  <c r="H117" i="6" s="1"/>
  <c r="H118" i="6" s="1"/>
  <c r="H119" i="6" s="1"/>
  <c r="H120" i="6" s="1"/>
  <c r="H121" i="6" s="1"/>
  <c r="H122" i="6" s="1"/>
  <c r="H123" i="6" s="1"/>
  <c r="H124" i="6" s="1"/>
  <c r="H125" i="6" s="1"/>
  <c r="H126" i="6" s="1"/>
  <c r="H127" i="6" s="1"/>
  <c r="H128" i="6" s="1"/>
  <c r="H129" i="6" s="1"/>
  <c r="H130" i="6" s="1"/>
  <c r="H131" i="6" s="1"/>
  <c r="H132" i="6" s="1"/>
  <c r="H133" i="6" s="1"/>
  <c r="H134" i="6" s="1"/>
  <c r="H135" i="6" s="1"/>
  <c r="H136" i="6" s="1"/>
  <c r="H137" i="6" s="1"/>
  <c r="H138" i="6" s="1"/>
  <c r="H139" i="6" s="1"/>
  <c r="H140" i="6" s="1"/>
  <c r="H141" i="6" s="1"/>
  <c r="H142" i="6" s="1"/>
  <c r="H143" i="6" s="1"/>
  <c r="H144" i="6" s="1"/>
  <c r="H145" i="6" s="1"/>
  <c r="H146" i="6" s="1"/>
  <c r="H147" i="6" s="1"/>
  <c r="H148" i="6" s="1"/>
  <c r="H149" i="6" s="1"/>
  <c r="H150" i="6" s="1"/>
  <c r="H151" i="6" s="1"/>
  <c r="H152" i="6" s="1"/>
  <c r="H153" i="6" s="1"/>
  <c r="H154" i="6" s="1"/>
  <c r="H155" i="6" s="1"/>
  <c r="H156" i="6" s="1"/>
  <c r="H157" i="6" s="1"/>
  <c r="H158" i="6" s="1"/>
  <c r="H159" i="6" s="1"/>
  <c r="H160" i="6" s="1"/>
  <c r="H161" i="6" s="1"/>
  <c r="H162" i="6" s="1"/>
  <c r="H163" i="6" s="1"/>
  <c r="H164" i="6" s="1"/>
  <c r="H165" i="6" s="1"/>
  <c r="H166" i="6" s="1"/>
  <c r="H167" i="6" s="1"/>
  <c r="H168" i="6" s="1"/>
  <c r="H169" i="6" s="1"/>
  <c r="H170" i="6" s="1"/>
  <c r="H171" i="6" s="1"/>
  <c r="H172" i="6" s="1"/>
  <c r="H173" i="6" s="1"/>
  <c r="H174" i="6" s="1"/>
  <c r="H175" i="6" s="1"/>
  <c r="H176" i="6" s="1"/>
  <c r="H177" i="6" s="1"/>
  <c r="H178" i="6" s="1"/>
  <c r="H179" i="6" s="1"/>
  <c r="H180" i="6" s="1"/>
  <c r="H181" i="6" s="1"/>
  <c r="H182" i="6" s="1"/>
  <c r="H183" i="6" s="1"/>
  <c r="H184" i="6" s="1"/>
  <c r="H185" i="6" s="1"/>
  <c r="H186" i="6" s="1"/>
  <c r="H187" i="6" s="1"/>
  <c r="H188" i="6" s="1"/>
  <c r="H189" i="6" s="1"/>
  <c r="H190" i="6" s="1"/>
  <c r="H191" i="6" s="1"/>
  <c r="H192" i="6" s="1"/>
  <c r="H193" i="6" s="1"/>
  <c r="H194" i="6" s="1"/>
  <c r="H195" i="6" s="1"/>
  <c r="H196" i="6" s="1"/>
  <c r="H197" i="6" s="1"/>
  <c r="H198" i="6" s="1"/>
  <c r="H199" i="6" s="1"/>
  <c r="H200" i="6" s="1"/>
  <c r="H201" i="6" s="1"/>
  <c r="H202" i="6" s="1"/>
  <c r="H203" i="6" s="1"/>
  <c r="H204" i="6" s="1"/>
  <c r="H205" i="6" s="1"/>
  <c r="H206" i="6" s="1"/>
  <c r="H207" i="6" s="1"/>
  <c r="H208" i="6" s="1"/>
  <c r="H209" i="6" s="1"/>
  <c r="H210" i="6" s="1"/>
  <c r="C4" i="2" l="1"/>
  <c r="H11" i="2" l="1"/>
  <c r="D4" i="2" l="1"/>
  <c r="M17" i="2"/>
  <c r="H1016" i="6" l="1"/>
  <c r="H12" i="2" s="1"/>
  <c r="J12" i="2" s="1"/>
  <c r="H308" i="6" l="1"/>
  <c r="F930" i="6" l="1"/>
  <c r="E930" i="6"/>
  <c r="H930" i="6" l="1"/>
  <c r="H16" i="2" s="1"/>
  <c r="H9" i="2"/>
  <c r="H211" i="6" l="1"/>
  <c r="H5" i="2" s="1"/>
  <c r="H66" i="6" l="1"/>
  <c r="H2" i="2" s="1"/>
  <c r="J2" i="2" s="1"/>
  <c r="H15" i="2" l="1"/>
  <c r="H93" i="6" l="1"/>
  <c r="H3" i="2" s="1"/>
  <c r="H13" i="2" l="1"/>
  <c r="F19" i="7" l="1"/>
  <c r="F18" i="7"/>
  <c r="F17" i="7"/>
  <c r="F16" i="7"/>
  <c r="F15" i="7"/>
  <c r="F14" i="7"/>
  <c r="F11" i="7"/>
  <c r="F10" i="7"/>
  <c r="F9" i="7"/>
  <c r="F8" i="7"/>
  <c r="F99" i="6"/>
  <c r="E99" i="6"/>
  <c r="F20" i="2"/>
  <c r="D20" i="2"/>
  <c r="D29" i="2" s="1"/>
  <c r="F17" i="2"/>
  <c r="I13" i="2"/>
  <c r="I7" i="2"/>
  <c r="J7" i="2" s="1"/>
  <c r="I6" i="2"/>
  <c r="J6" i="2" s="1"/>
  <c r="H385" i="6" l="1"/>
  <c r="H10" i="2" s="1"/>
  <c r="F20" i="7"/>
  <c r="F22" i="7" s="1"/>
  <c r="G17" i="2"/>
  <c r="G20" i="2"/>
  <c r="D17" i="2"/>
  <c r="E20" i="2"/>
  <c r="E17" i="2"/>
  <c r="I9" i="2"/>
  <c r="I16" i="2"/>
  <c r="J16" i="2" s="1"/>
  <c r="I10" i="2"/>
  <c r="I14" i="2"/>
  <c r="I3" i="2"/>
  <c r="I8" i="2"/>
  <c r="I11" i="2"/>
  <c r="J11" i="2" s="1"/>
  <c r="I15" i="2"/>
  <c r="J15" i="2" s="1"/>
  <c r="I20" i="2"/>
  <c r="I4" i="2"/>
  <c r="I5" i="2"/>
  <c r="J5" i="2" s="1"/>
  <c r="C20" i="2"/>
  <c r="H628" i="6"/>
  <c r="H14" i="2" s="1"/>
  <c r="H99" i="6"/>
  <c r="H4" i="2" s="1"/>
  <c r="J13" i="2"/>
  <c r="C17" i="2"/>
  <c r="J10" i="2" l="1"/>
  <c r="J3" i="2"/>
  <c r="J14" i="2"/>
  <c r="C29" i="2"/>
  <c r="F24" i="7"/>
  <c r="J25" i="2"/>
  <c r="E23" i="2"/>
  <c r="E29" i="2" s="1"/>
  <c r="J4" i="2"/>
  <c r="I17" i="2"/>
  <c r="J9" i="2"/>
  <c r="I29" i="2" l="1"/>
  <c r="H62" i="27" l="1"/>
  <c r="H63" i="27" s="1"/>
  <c r="J19" i="2"/>
  <c r="H20" i="2"/>
  <c r="J20" i="2" l="1"/>
  <c r="H477" i="6"/>
  <c r="H8" i="2" s="1"/>
  <c r="J8" i="2" s="1"/>
  <c r="H17" i="2" l="1"/>
  <c r="J17" i="2" s="1"/>
  <c r="H29" i="2" l="1"/>
  <c r="J29" i="2" s="1"/>
  <c r="F111" i="1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tc={A12D1BC1-2A0A-4E82-995E-AE42C351895A}</author>
    <author>tc={B9DA9024-4CA0-46CF-BCB7-17B9FFFC34E0}</author>
    <author>tc={62FAAB4B-6EAF-4972-9E02-C37D118F3FE1}</author>
    <author>tc={CD553CA5-AD13-43FC-A1F7-EF2DE5EF7A94}</author>
    <author>tc={5991BF77-FCF5-4586-9875-1F89E2825A51}</author>
    <author>tc={D10F2EAC-DC88-4867-AF3C-128AC3A279F6}</author>
    <author>tc={E4BF8878-824E-43F9-ABC1-A73CD708EDCD}</author>
    <author>tc={5E3CEF0F-AC62-41D5-A934-AC03EDB0B8D2}</author>
    <author>tc={A6199460-FC62-44E6-AB78-D712E7363C57}</author>
  </authors>
  <commentList>
    <comment ref="C2" authorId="0" shapeId="0" xr:uid="{00000000-0006-0000-0000-000001000000}">
      <text>
        <r>
          <rPr>
            <sz val="11"/>
            <color theme="1"/>
            <rFont val="Aptos Narrow"/>
            <family val="2"/>
            <charset val="238"/>
            <scheme val="minor"/>
          </rPr>
          <t>[Komentář ve vlákně]
Vaše verze aplikace Excel vám umožňuje číst tento komentář ve vlákně, ale jakékoli jeho úpravy se odeberou, pokud se soubor otevře v novější verzi aplikace Excel. Další informace: https://go.microsoft.com/fwlink/?linkid=870924
Komentář:
    Link to the personal balance</t>
        </r>
      </text>
    </comment>
    <comment ref="D2" authorId="1" shapeId="0" xr:uid="{00000000-0006-0000-0000-000002000000}">
      <text>
        <r>
          <rPr>
            <sz val="11"/>
            <color theme="1"/>
            <rFont val="Aptos Narrow"/>
            <family val="2"/>
            <charset val="238"/>
            <scheme val="minor"/>
          </rPr>
          <t>[Komentář ve vlákně]
Vaše verze aplikace Excel vám umožňuje číst tento komentář ve vlákně, ale jakékoli jeho úpravy se odeberou, pokud se soubor otevře v novější verzi aplikace Excel. Další informace: https://go.microsoft.com/fwlink/?linkid=870924
Komentář:
    Link to the pivot table „Cash journal“</t>
        </r>
      </text>
    </comment>
    <comment ref="E2" authorId="2" shapeId="0" xr:uid="{00000000-0006-0000-0000-000003000000}">
      <text>
        <r>
          <rPr>
            <sz val="11"/>
            <color theme="1"/>
            <rFont val="Aptos Narrow"/>
            <family val="2"/>
            <charset val="238"/>
            <scheme val="minor"/>
          </rPr>
          <t>[Komentář ve vlákně]
Vaše verze aplikace Excel vám umožňuje číst tento komentář ve vlákně, ale jakékoli jeho úpravy se odeberou, pokud se soubor otevře v novější verzi aplikace Excel. Další informace: https://go.microsoft.com/fwlink/?linkid=870924
Komentář:
    Link to the pivot table „data“</t>
        </r>
      </text>
    </comment>
    <comment ref="H2" authorId="3" shapeId="0" xr:uid="{00000000-0006-0000-0000-000004000000}">
      <text>
        <r>
          <rPr>
            <sz val="11"/>
            <color theme="1"/>
            <rFont val="Aptos Narrow"/>
            <family val="2"/>
            <charset val="238"/>
            <scheme val="minor"/>
          </rPr>
          <t>[Komentář ve vlákně]
Vaše verze aplikace Excel vám umožňuje číst tento komentář ve vlákně, ale jakékoli jeho úpravy se odeberou, pokud se soubor otevře v novější verzi aplikace Excel. Další informace: https://go.microsoft.com/fwlink/?linkid=870924
Komentář:
    Link to the personal balance</t>
        </r>
      </text>
    </comment>
    <comment ref="I2" authorId="4" shapeId="0" xr:uid="{00000000-0006-0000-0000-000005000000}">
      <text>
        <r>
          <rPr>
            <sz val="11"/>
            <color theme="1"/>
            <rFont val="Aptos Narrow"/>
            <family val="2"/>
            <charset val="238"/>
            <scheme val="minor"/>
          </rPr>
          <t>[Komentář ve vlákně]
Vaše verze aplikace Excel vám umožňuje číst tento komentář ve vlákně, ale jakékoli jeho úpravy se odeberou, pokud se soubor otevře v novější verzi aplikace Excel. Další informace: https://go.microsoft.com/fwlink/?linkid=870924
Komentář:
    formula</t>
        </r>
      </text>
    </comment>
    <comment ref="C19" authorId="5" shapeId="0" xr:uid="{00000000-0006-0000-0000-000006000000}">
      <text>
        <r>
          <rPr>
            <sz val="11"/>
            <color theme="1"/>
            <rFont val="Aptos Narrow"/>
            <family val="2"/>
            <charset val="238"/>
            <scheme val="minor"/>
          </rPr>
          <t>[Komentář ve vlákně]
Vaše verze aplikace Excel vám umožňuje číst tento komentář ve vlákně, ale jakékoli jeho úpravy se odeberou, pokud se soubor otevře v novější verzi aplikace Excel. Další informace: https://go.microsoft.com/fwlink/?linkid=870924
Komentář:
    Link to the bank journal</t>
        </r>
      </text>
    </comment>
    <comment ref="I19" authorId="6" shapeId="0" xr:uid="{00000000-0006-0000-0000-000007000000}">
      <text>
        <r>
          <rPr>
            <sz val="11"/>
            <color theme="1"/>
            <rFont val="Aptos Narrow"/>
            <family val="2"/>
            <charset val="238"/>
            <scheme val="minor"/>
          </rPr>
          <t>[Komentář ve vlákně]
Vaše verze aplikace Excel vám umožňuje číst tento komentář ve vlákně, ale jakékoli jeho úpravy se odeberou, pokud se soubor otevře v novější verzi aplikace Excel. Další informace: https://go.microsoft.com/fwlink/?linkid=870924
Komentář:
    Link to the bank journal</t>
        </r>
      </text>
    </comment>
    <comment ref="C25" authorId="7" shapeId="0" xr:uid="{00000000-0006-0000-0000-000008000000}">
      <text>
        <r>
          <rPr>
            <sz val="11"/>
            <color theme="1"/>
            <rFont val="Aptos Narrow"/>
            <family val="2"/>
            <charset val="238"/>
            <scheme val="minor"/>
          </rPr>
          <t>[Komentář ve vlákně]
Vaše verze aplikace Excel vám umožňuje číst tento komentář ve vlákně, ale jakékoli jeho úpravy se odeberou, pokud se soubor otevře v novější verzi aplikace Excel. Další informace: https://go.microsoft.com/fwlink/?linkid=870924
Komentář:
    Link to the cash journal</t>
        </r>
      </text>
    </comment>
    <comment ref="H25" authorId="8" shapeId="0" xr:uid="{00000000-0006-0000-0000-000009000000}">
      <text>
        <r>
          <rPr>
            <sz val="11"/>
            <color theme="1"/>
            <rFont val="Aptos Narrow"/>
            <family val="2"/>
            <charset val="238"/>
            <scheme val="minor"/>
          </rPr>
          <t>[Komentář ve vlákně]
Vaše verze aplikace Excel vám umožňuje číst tento komentář ve vlákně, ale jakékoli jeho úpravy se odeberou, pokud se soubor otevře v novější verzi aplikace Excel. Další informace: https://go.microsoft.com/fwlink/?linkid=870924
Komentář:
    Link to the cash journal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tc={C1DF0F66-A833-40DC-8B4A-5A54471ED649}</author>
    <author>tc={F88D673A-DD35-4DCB-976B-8A96F322437E}</author>
  </authors>
  <commentList>
    <comment ref="C6" authorId="0" shapeId="0" xr:uid="{00000000-0006-0000-0900-000001000000}">
      <text>
        <r>
          <rPr>
            <sz val="11"/>
            <color theme="1"/>
            <rFont val="Aptos Narrow"/>
            <family val="2"/>
            <charset val="238"/>
            <scheme val="minor"/>
          </rPr>
          <t>[Komentář ve vlákně]
Vaše verze aplikace Excel vám umožňuje číst tento komentář ve vlákně, ale jakékoli jeho úpravy se odeberou, pokud se soubor otevře v novější verzi aplikace Excel. Další informace: https://go.microsoft.com/fwlink/?linkid=870924
Komentář:
    Adjust that according to your country</t>
        </r>
      </text>
    </comment>
    <comment ref="F23" authorId="1" shapeId="0" xr:uid="{00000000-0006-0000-0900-000002000000}">
      <text>
        <r>
          <rPr>
            <sz val="11"/>
            <color theme="1"/>
            <rFont val="Aptos Narrow"/>
            <family val="2"/>
            <charset val="238"/>
            <scheme val="minor"/>
          </rPr>
          <t>[Komentář ve vlákně]
Vaše verze aplikace Excel vám umožňuje číst tento komentář ve vlákně, ale jakékoli jeho úpravy se odeberou, pokud se soubor otevře v novější verzi aplikace Excel. Další informace: https://go.microsoft.com/fwlink/?linkid=870924
Komentář:
    Link to the cash journal</t>
        </r>
      </text>
    </comment>
  </commentList>
</comments>
</file>

<file path=xl/sharedStrings.xml><?xml version="1.0" encoding="utf-8"?>
<sst xmlns="http://schemas.openxmlformats.org/spreadsheetml/2006/main" count="48950" uniqueCount="4997">
  <si>
    <t>Date</t>
  </si>
  <si>
    <t>Details</t>
  </si>
  <si>
    <t>Type of expenses</t>
  </si>
  <si>
    <t xml:space="preserve">Department </t>
  </si>
  <si>
    <t>Spent in $</t>
  </si>
  <si>
    <t>Exchange Rate $</t>
  </si>
  <si>
    <t>Receipt</t>
  </si>
  <si>
    <t>Project</t>
  </si>
  <si>
    <t>Donor</t>
  </si>
  <si>
    <t>Country</t>
  </si>
  <si>
    <t>Name</t>
  </si>
  <si>
    <t>Department</t>
  </si>
  <si>
    <t>Received</t>
  </si>
  <si>
    <t>Spent</t>
  </si>
  <si>
    <t>Accounting Balance</t>
  </si>
  <si>
    <t>Cross-checking</t>
  </si>
  <si>
    <t>Transfer In</t>
  </si>
  <si>
    <t>Transfer  out</t>
  </si>
  <si>
    <t>TOTAL STAFF</t>
  </si>
  <si>
    <t>TOTAL Banks</t>
  </si>
  <si>
    <t>control of internal transfers</t>
  </si>
  <si>
    <t xml:space="preserve">Total expenses </t>
  </si>
  <si>
    <t>Cash Box</t>
  </si>
  <si>
    <t>MOVEMENTS</t>
  </si>
  <si>
    <t>EXPENSES</t>
  </si>
  <si>
    <t>ACCOUNTING BALANCE</t>
  </si>
  <si>
    <t>CROSS-CHECKING</t>
  </si>
  <si>
    <t>OVERALL BALANCE</t>
  </si>
  <si>
    <t>BANK 1</t>
  </si>
  <si>
    <t xml:space="preserve">Spent </t>
  </si>
  <si>
    <t>Balance</t>
  </si>
  <si>
    <t>GRANTS RECEIVED</t>
  </si>
  <si>
    <t>EAGLE NETWORK</t>
  </si>
  <si>
    <t xml:space="preserve">PROJECT: </t>
  </si>
  <si>
    <t>MONTH</t>
  </si>
  <si>
    <t xml:space="preserve">Bank reconciliation statments </t>
  </si>
  <si>
    <t>ACCOUNTING</t>
  </si>
  <si>
    <t xml:space="preserve">n° </t>
  </si>
  <si>
    <t>Description</t>
  </si>
  <si>
    <t>Débit</t>
  </si>
  <si>
    <t>Crédit</t>
  </si>
  <si>
    <t>Account Balance</t>
  </si>
  <si>
    <t>PROJECT COORDINATOR</t>
  </si>
  <si>
    <t>BANK</t>
  </si>
  <si>
    <t>No</t>
  </si>
  <si>
    <t>Amount</t>
  </si>
  <si>
    <t>Add:</t>
  </si>
  <si>
    <t>Unpresented cheques</t>
  </si>
  <si>
    <t>Balance as per the bank statement</t>
  </si>
  <si>
    <t>Difference</t>
  </si>
  <si>
    <t>Reason for the Difference.</t>
  </si>
  <si>
    <t>currency</t>
  </si>
  <si>
    <t>Balance as per the accounting</t>
  </si>
  <si>
    <t>Signature accountant</t>
  </si>
  <si>
    <t>signature coordinator</t>
  </si>
  <si>
    <t xml:space="preserve"> Reconciliation Statement </t>
  </si>
  <si>
    <t>Paper Notes</t>
  </si>
  <si>
    <t>x</t>
  </si>
  <si>
    <t>Coins</t>
  </si>
  <si>
    <t>cash balance</t>
  </si>
  <si>
    <t>account balance</t>
  </si>
  <si>
    <t>difference</t>
  </si>
  <si>
    <t>value</t>
  </si>
  <si>
    <t>number</t>
  </si>
  <si>
    <t>Accountant:</t>
  </si>
  <si>
    <t>Coordinator:</t>
  </si>
  <si>
    <t>Project:</t>
  </si>
  <si>
    <t>Month:</t>
  </si>
  <si>
    <t>Year:</t>
  </si>
  <si>
    <t>Comments</t>
  </si>
  <si>
    <t>comments</t>
  </si>
  <si>
    <t>Balance  in USD</t>
  </si>
  <si>
    <t>exchange rate</t>
  </si>
  <si>
    <t>Opening Balance local currency</t>
  </si>
  <si>
    <t>Opening Balance USD</t>
  </si>
  <si>
    <t>Donated local currency</t>
  </si>
  <si>
    <t>Donated USD</t>
  </si>
  <si>
    <t>Used in local currency</t>
  </si>
  <si>
    <t>Used in USD</t>
  </si>
  <si>
    <t>Balance in local currency</t>
  </si>
  <si>
    <t>January</t>
  </si>
  <si>
    <t>February</t>
  </si>
  <si>
    <t xml:space="preserve">March </t>
  </si>
  <si>
    <t>April</t>
  </si>
  <si>
    <t xml:space="preserve">May </t>
  </si>
  <si>
    <t>June</t>
  </si>
  <si>
    <t xml:space="preserve">July </t>
  </si>
  <si>
    <t xml:space="preserve">August </t>
  </si>
  <si>
    <t xml:space="preserve">September </t>
  </si>
  <si>
    <t xml:space="preserve">October </t>
  </si>
  <si>
    <t xml:space="preserve">November </t>
  </si>
  <si>
    <t xml:space="preserve">December </t>
  </si>
  <si>
    <t>Total</t>
  </si>
  <si>
    <t>Balance in financial report</t>
  </si>
  <si>
    <t>Bank name: BCI</t>
  </si>
  <si>
    <t>Account name:  01100-37107202652-34</t>
  </si>
  <si>
    <t>PALF</t>
  </si>
  <si>
    <t>Reglement loyer du mois de Janvier 2025/3654789</t>
  </si>
  <si>
    <t>Reglement Facture Gardiennage Mois de Janvier 2025/36564792</t>
  </si>
  <si>
    <t>Solde honoraire contrat n°79 Dolisie cas BOUTSANA et Consorts/ Maître BANZOUZI Alain</t>
  </si>
  <si>
    <t>Solde honoraire contrat n°67 Sibiti et Consorts/ Maître Helene</t>
  </si>
  <si>
    <t>RAPATRIEME01100 RAO00010730</t>
  </si>
  <si>
    <t>Paiement salaire du mois de Janvier 2025</t>
  </si>
  <si>
    <t>Paiement salaire du mois de Janvier 2025/Loundou Jean Romain</t>
  </si>
  <si>
    <t>Paiement salaire du mois de Janvier 2025/Crepin IBOUILI IBOUILI</t>
  </si>
  <si>
    <t>Paiement salaire du mois de Janvier 2025/Merveille MAHANGA</t>
  </si>
  <si>
    <t>Paiement salaire du mois de Janvier 2025 et congé/PINDI BINGA Donald-Roméo</t>
  </si>
  <si>
    <t>Paiement salaire du mois de Janvier 2025/BOUNGOU Abraham</t>
  </si>
  <si>
    <t>Paiement salaire du mois de Janvier 2025/FOUMBA Roderlin</t>
  </si>
  <si>
    <t>Paiement salaire du mois de Janvier 2025/Evariste LELOUSSI</t>
  </si>
  <si>
    <t>Frais de virement salaire Janvier 2025</t>
  </si>
  <si>
    <t>Reglement honoraire du mois de Janvier 2025/G12</t>
  </si>
  <si>
    <t>Reglement honoraire du mois de Janvier 2025/T73</t>
  </si>
  <si>
    <t>Reglement honoraire du mois de Janvier 2025/P29</t>
  </si>
  <si>
    <t>Reglement honoraire du mois de Janvier 2025/TIT87</t>
  </si>
  <si>
    <t>Legal</t>
  </si>
  <si>
    <t>Office</t>
  </si>
  <si>
    <t>Management</t>
  </si>
  <si>
    <t>Media</t>
  </si>
  <si>
    <t>Investigation</t>
  </si>
  <si>
    <t>Type de depense</t>
  </si>
  <si>
    <t>Lawyer Fees</t>
  </si>
  <si>
    <t>Versement</t>
  </si>
  <si>
    <t>Grant</t>
  </si>
  <si>
    <t>Rent &amp; Utilities</t>
  </si>
  <si>
    <t>Personnel</t>
  </si>
  <si>
    <t>Bank fees</t>
  </si>
  <si>
    <t>BQ-J-R1</t>
  </si>
  <si>
    <t>BQ-J-R2</t>
  </si>
  <si>
    <t>BQ-J-G1</t>
  </si>
  <si>
    <t>BQ-J-R3</t>
  </si>
  <si>
    <t>BQ-J-R4</t>
  </si>
  <si>
    <t>BQ-J-R5</t>
  </si>
  <si>
    <t>BQ-J-R6</t>
  </si>
  <si>
    <t>BQ-J-R7</t>
  </si>
  <si>
    <t>BQ-J-R8</t>
  </si>
  <si>
    <t>BQ-J-R9</t>
  </si>
  <si>
    <t>BQ-J-R10</t>
  </si>
  <si>
    <t>BQ-J-R11</t>
  </si>
  <si>
    <t>BQ-J-R12</t>
  </si>
  <si>
    <t>BQ-J-R13</t>
  </si>
  <si>
    <t>BQ-J-R14</t>
  </si>
  <si>
    <t>BQ-J-R15</t>
  </si>
  <si>
    <t>BQ-J-R16</t>
  </si>
  <si>
    <t>BQ-J-R17</t>
  </si>
  <si>
    <t>BQ-J-R18</t>
  </si>
  <si>
    <t>BCI</t>
  </si>
  <si>
    <t>Receved in XAF</t>
  </si>
  <si>
    <t>Spent  in XAF</t>
  </si>
  <si>
    <t>Achat credit MTN/Benin pour internet  et communication</t>
  </si>
  <si>
    <t>Telephone</t>
  </si>
  <si>
    <t>DOVI</t>
  </si>
  <si>
    <t>DH-J-R1</t>
  </si>
  <si>
    <t>CONGO</t>
  </si>
  <si>
    <t>Achat credit  teléphonique MTN/PALF/Première partie du mois de Janvier 2025/Office</t>
  </si>
  <si>
    <t>Merveille</t>
  </si>
  <si>
    <t>CA-J-R1</t>
  </si>
  <si>
    <t>Achat credit  teléphonique MTN/PALF/Première partie du mois de Janvier 2025/Legal</t>
  </si>
  <si>
    <t>CA-J-R2</t>
  </si>
  <si>
    <t>Achat credit  teléphonique MTN/PALF/Première partie du mois de Janvier 2025/Investigation</t>
  </si>
  <si>
    <t>CA-J-R3</t>
  </si>
  <si>
    <t>Achat credit  teléphonique MTN/PALF/Première partie du mois de Janvier 2025/Media</t>
  </si>
  <si>
    <t>CA-J-R4</t>
  </si>
  <si>
    <t>Achat credit  teléphonique Airtel/PALF/Première partie du mois de Janvier 2025/Legal</t>
  </si>
  <si>
    <t>CA-J-R5</t>
  </si>
  <si>
    <t>Achat credit  teléphonique Airtel/PALF/Première partie du mois de Janvier 2025/Investigation</t>
  </si>
  <si>
    <t>CA-J-R6</t>
  </si>
  <si>
    <t>Achat credit  teléphonique Airtel/PALF/Première partie du mois de Janvier 2025/Media</t>
  </si>
  <si>
    <t>CA-J-R7</t>
  </si>
  <si>
    <t>Achat eau mineral 10 bidons de 16,5Litres pour le bureau PALF</t>
  </si>
  <si>
    <t>Office Materiels</t>
  </si>
  <si>
    <t>CA-J-R8</t>
  </si>
  <si>
    <t>Transport</t>
  </si>
  <si>
    <t>T73</t>
  </si>
  <si>
    <t>T73-J-R1</t>
  </si>
  <si>
    <t>Travel Subsistence</t>
  </si>
  <si>
    <t>T73-J-D1</t>
  </si>
  <si>
    <t>Achat billet d'Avion Retour Cotonou - Brazzaville/DOVI</t>
  </si>
  <si>
    <t>DH-J-R2</t>
  </si>
  <si>
    <t>Frais de transfert d'argent à DOVI</t>
  </si>
  <si>
    <t>Transfert fees</t>
  </si>
  <si>
    <t>CA-J-R9</t>
  </si>
  <si>
    <t>P29</t>
  </si>
  <si>
    <t>P29-J-R1</t>
  </si>
  <si>
    <t>Achat de Billet Brazzaville-Owando/Romain</t>
  </si>
  <si>
    <t>Romain</t>
  </si>
  <si>
    <t>RM-J-R1</t>
  </si>
  <si>
    <t>Achat billet Brazzaville - Owando/Abraham</t>
  </si>
  <si>
    <t>Abraham</t>
  </si>
  <si>
    <t>AB-J-R1</t>
  </si>
  <si>
    <t>Frais de transfert d'argent à T73</t>
  </si>
  <si>
    <t>Roderlin</t>
  </si>
  <si>
    <t>CA-J-R10</t>
  </si>
  <si>
    <t>Achat billet Brazzaville-Owando/Donald-Roméo</t>
  </si>
  <si>
    <t xml:space="preserve">Transport </t>
  </si>
  <si>
    <t>Donald-Roméo</t>
  </si>
  <si>
    <t>DR-J-R1</t>
  </si>
  <si>
    <t>Billet: Brazzaville-Owando/Crepin</t>
  </si>
  <si>
    <t>Crépin</t>
  </si>
  <si>
    <t>CR-J-R1</t>
  </si>
  <si>
    <t>OAK</t>
  </si>
  <si>
    <t>P29-J-D1</t>
  </si>
  <si>
    <t>ROMAIN-CONGO Food Alowance du 09 au 25  janvier à Owando(16 Nuitées)</t>
  </si>
  <si>
    <t>RM-J-D1</t>
  </si>
  <si>
    <t>ABRAHAM - CONGO food allowance du 09 au 17/01/2025 à Owando (08Nuitées)</t>
  </si>
  <si>
    <t>AB-J-D1</t>
  </si>
  <si>
    <t>Frais de transfert d'argent à P29 et Romain</t>
  </si>
  <si>
    <t>CA-J-R11</t>
  </si>
  <si>
    <t>Donald-Roméo - CONGO Food Allowance Mission du  09 au 19/01/2025 à Owando</t>
  </si>
  <si>
    <t>DR-J-D1</t>
  </si>
  <si>
    <t>Achat billet Brazzaville-Owando/Evariste</t>
  </si>
  <si>
    <t>Evariste</t>
  </si>
  <si>
    <t>EV-J-R1</t>
  </si>
  <si>
    <t>CREPIN IBOUILI - CONGO Food-Allowance à Owando du 10 au 25/01/2025/(15 Nuitées)</t>
  </si>
  <si>
    <t>CR-J-D1</t>
  </si>
  <si>
    <t>CA-J-R12</t>
  </si>
  <si>
    <t>Reglement facture d'electricité periode Novembre - Decembre 2024/Bureau PALF</t>
  </si>
  <si>
    <t>CA-J-R13</t>
  </si>
  <si>
    <t>EVARISTE - CONGO Food Allowance du 10 au 17 janvier 2025 mission à Owando (7 nuitées)</t>
  </si>
  <si>
    <t>EV-J-D1</t>
  </si>
  <si>
    <t>CREPIN IBOUILI  - CONGO Frais d'hôtel à Owando du 10 au 13/01/2025 (03 Nuitées)</t>
  </si>
  <si>
    <t>CR-J-R2</t>
  </si>
  <si>
    <t>P29-J-R2</t>
  </si>
  <si>
    <t>CA-J-R14</t>
  </si>
  <si>
    <t>Frais de transfert d'argent à Romain,P29 et Donald-Roméo</t>
  </si>
  <si>
    <t>CA-J-R15</t>
  </si>
  <si>
    <t>Raffraichissement et plats avec 03 gendarmes pendant l'attente du top</t>
  </si>
  <si>
    <t>CR-J-R3</t>
  </si>
  <si>
    <t>Achat credit  teléphonique MTN/PALF/Deuxième partie du mois de Janvier 2025/Management</t>
  </si>
  <si>
    <t>CA-J-R17</t>
  </si>
  <si>
    <t>Achat credit  teléphonique MTN/PALF/Deuxième partie du mois de Janvier 2025/Legal</t>
  </si>
  <si>
    <t>CA-J-R18</t>
  </si>
  <si>
    <t>Achat credit  teléphonique MTN/PALF/Deuxième partie du mois de Janvier 2025/Investigation</t>
  </si>
  <si>
    <t>CA-J-R19</t>
  </si>
  <si>
    <t>Achat credit  teléphonique MTN/PALF/Deuxième partie du mois de Janvier 2025/Media</t>
  </si>
  <si>
    <t>CA-J-R20</t>
  </si>
  <si>
    <t>Achat credit  teléphonique Airtel/PALF/Deuxième partie du mois de Janvier 2025/Legal</t>
  </si>
  <si>
    <t>CA-J-R21</t>
  </si>
  <si>
    <t>Achat credit  teléphonique Airtel/PALF/Deuxième partie du mois de Janvier 2025/Investigation</t>
  </si>
  <si>
    <t>CA-J-R22</t>
  </si>
  <si>
    <t>P29-J-R3</t>
  </si>
  <si>
    <t>T73-J-R2</t>
  </si>
  <si>
    <t>Location  1 Taxis pour l'opération (Gendarmerie-Hotel  la Concorde:Aller-Retour)</t>
  </si>
  <si>
    <t>RM-J-R2</t>
  </si>
  <si>
    <t>RM-J-R3</t>
  </si>
  <si>
    <t xml:space="preserve">Rafraichissement en attente opération </t>
  </si>
  <si>
    <t>RM-J-R4</t>
  </si>
  <si>
    <t>ABRAHAM - CONGO frais d'Hôtel (Hôtel Joela) du 09 au 15/01/2025 Owando (06Nuitées)</t>
  </si>
  <si>
    <t>AB-J-R2</t>
  </si>
  <si>
    <t>Rafraîchissement attente op</t>
  </si>
  <si>
    <t>AB-J-R3</t>
  </si>
  <si>
    <t>Achat billet Brazzaville-Dolisie/Rodelin</t>
  </si>
  <si>
    <t>RO-J-R1</t>
  </si>
  <si>
    <t>Frais de mission maitre marie Helène à dolisie du 16 au 18/01/2025</t>
  </si>
  <si>
    <t>Lawyer fees</t>
  </si>
  <si>
    <t>CA-J-R16</t>
  </si>
  <si>
    <t>Achat carburant BJ  pour OP</t>
  </si>
  <si>
    <t>DR-J-R2</t>
  </si>
  <si>
    <t>Raffraichissement OP  à Owando/10  gendarmes et moi</t>
  </si>
  <si>
    <t>DR-J-R3</t>
  </si>
  <si>
    <t>Rafraichissement de mon équipe lors de l'opération</t>
  </si>
  <si>
    <t>EV-J-R2</t>
  </si>
  <si>
    <t>Bonus pour 16 gendarmes ayant participé à l'opération du 15 Janvier 2025 à Owando</t>
  </si>
  <si>
    <t>Bonus</t>
  </si>
  <si>
    <t>CR-J-R4</t>
  </si>
  <si>
    <t>Bonus pour 02 EF ayant participé à l'opération du 15 Janvier 2025 à Owando</t>
  </si>
  <si>
    <t>CR-J-R5</t>
  </si>
  <si>
    <t>Frais de transfert d'argent à Crepin,T73 et Evariste</t>
  </si>
  <si>
    <t>CA-J-R23</t>
  </si>
  <si>
    <t>Achat billet Oyo-Brazzaville(Océan du Nord)/Abraham</t>
  </si>
  <si>
    <t>AB-J-R4</t>
  </si>
  <si>
    <t>RODERLIN-CONGO food allowance du 16 au 18/01/2025 à Dolisie (02 nuitées)</t>
  </si>
  <si>
    <t>RO-J-D1</t>
  </si>
  <si>
    <t>Achat billet Owando-Brazzaville/Evariste</t>
  </si>
  <si>
    <t>EV-J-R3</t>
  </si>
  <si>
    <t>Frais de transfert d'argent à Donald-Roméo et Romain</t>
  </si>
  <si>
    <t>CA-J-R24</t>
  </si>
  <si>
    <t>Frais de mission maitre Alain BANZOUZI du 19 au 22/01/2025 à Owando</t>
  </si>
  <si>
    <t>CA-J-R25</t>
  </si>
  <si>
    <t>P29-J-R4</t>
  </si>
  <si>
    <t>P29-J-R5</t>
  </si>
  <si>
    <t>P29-J-R6</t>
  </si>
  <si>
    <t>P29-J-R7</t>
  </si>
  <si>
    <t>T73-J-R3</t>
  </si>
  <si>
    <t>T73-J-R4</t>
  </si>
  <si>
    <t>ABRAHAM - CONGO frais d'Hôtel (Hôtel Saint Benoit) du 17 au 17/01/2025 Oyo (02Nuitées)</t>
  </si>
  <si>
    <t>AB-J-R5</t>
  </si>
  <si>
    <t>Cumul frais de Jail visit du mois de Janvier 2025/Roderlin</t>
  </si>
  <si>
    <t>RO-J-D2</t>
  </si>
  <si>
    <t>Achat billet Dolisie -Brazzaville /Roderlin</t>
  </si>
  <si>
    <t>RO-J-R2</t>
  </si>
  <si>
    <t>DR-J-R4</t>
  </si>
  <si>
    <t>EVARISTE - CONGO Frais d'hôtel du 10 au 17 janvier 2025 (7 nuitées) à Owando</t>
  </si>
  <si>
    <t>EV-J-R4</t>
  </si>
  <si>
    <t>RODERLIN-CONGO frais d'hôtel du 16 au 18/01/2025 à DOLISIE (02 nuitées)</t>
  </si>
  <si>
    <t>RO-J-R3</t>
  </si>
  <si>
    <t>DONALD-ROMEO - CONGO Frais d'hôtel du 09 au 19/01/2025 à  Owando (Hôtel  Joella)/ 10 Nuitées</t>
  </si>
  <si>
    <t>DR-J-R5</t>
  </si>
  <si>
    <t>Cumul frais de transport local du mois de Janvier 2025/Donald-Roméo</t>
  </si>
  <si>
    <t>DR-J-D2</t>
  </si>
  <si>
    <t>CA-J-R26</t>
  </si>
  <si>
    <t>Prestation de nettoyage Jardin PALF mois de Janvier 2025</t>
  </si>
  <si>
    <t>Services</t>
  </si>
  <si>
    <t>CA-J-R27</t>
  </si>
  <si>
    <t>T73-J-R5</t>
  </si>
  <si>
    <t>Achat carte sim pour T73</t>
  </si>
  <si>
    <t>Investigation materials</t>
  </si>
  <si>
    <t>T73-J-R16</t>
  </si>
  <si>
    <t>Impréssion de la procédure de la Gendaremrie</t>
  </si>
  <si>
    <t>RM-J-R5</t>
  </si>
  <si>
    <t>Cumul frais de jail visit du mois de Janvier 2025/Romain</t>
  </si>
  <si>
    <t>Jail visit</t>
  </si>
  <si>
    <t>RM-J-D2</t>
  </si>
  <si>
    <t>Bonus media portant sur l'operation du 15/01/2025</t>
  </si>
  <si>
    <t>CA-J-D1</t>
  </si>
  <si>
    <t>IT87</t>
  </si>
  <si>
    <t>IT87-J-D1</t>
  </si>
  <si>
    <t>IT87-J-R1</t>
  </si>
  <si>
    <t>P29-J-R8</t>
  </si>
  <si>
    <t>P29-J-D2</t>
  </si>
  <si>
    <t>T73-J-D2</t>
  </si>
  <si>
    <t>G12</t>
  </si>
  <si>
    <t>G12-J-R1</t>
  </si>
  <si>
    <t>G12-J-D1</t>
  </si>
  <si>
    <t>Cumul frais de transport local du mois de Janvier 2025/Abraham</t>
  </si>
  <si>
    <t>AB-J-D2</t>
  </si>
  <si>
    <t xml:space="preserve">Frais de transfert d'argent à Romain </t>
  </si>
  <si>
    <t>CA-J-R28</t>
  </si>
  <si>
    <t>Recharge bouteille de gaz de 12KG/Bureau PALF</t>
  </si>
  <si>
    <t>CA-J-R29</t>
  </si>
  <si>
    <t>Frais de notification contrat Roderlin et Abraham</t>
  </si>
  <si>
    <t>CA-J-R31</t>
  </si>
  <si>
    <t>Frais de transfert d'argent à T73,P29,IT87 et G12</t>
  </si>
  <si>
    <t>CA-J-R30</t>
  </si>
  <si>
    <t>Billet: Owando-Brazzaville/Crepin</t>
  </si>
  <si>
    <t>CR-J-R6</t>
  </si>
  <si>
    <t>IT87-J-R2</t>
  </si>
  <si>
    <t>IT87-J-R3</t>
  </si>
  <si>
    <t>P29-J-R9</t>
  </si>
  <si>
    <t>P29-J-R10</t>
  </si>
  <si>
    <t>T73-J-R6</t>
  </si>
  <si>
    <t>T73-J-R7</t>
  </si>
  <si>
    <t>G12-J-R2</t>
  </si>
  <si>
    <t>G12-J-R3</t>
  </si>
  <si>
    <t>Achat de Billet Owando-Brazzaville/Romain</t>
  </si>
  <si>
    <t>CREPIN IBOUILI  - CONGO Frais d'hôtel à Owando du 15 au 25/01/2025/10 Nuitées</t>
  </si>
  <si>
    <t>CR-J-R7</t>
  </si>
  <si>
    <t>Cumul frais de transport local du mois de Janvier 2025/Crepin</t>
  </si>
  <si>
    <t>CR-J-D2</t>
  </si>
  <si>
    <t>ROMAIN - CONGO Frais d'hôtel de la mission du 09 au 25/2025 à Owando(16 nuitées)</t>
  </si>
  <si>
    <t>RM-J-R7</t>
  </si>
  <si>
    <t>IT87-J-R4</t>
  </si>
  <si>
    <t>IT87-J-R5</t>
  </si>
  <si>
    <t>P29-J-R11</t>
  </si>
  <si>
    <t>P29-J-R12</t>
  </si>
  <si>
    <t>P29-J-R13</t>
  </si>
  <si>
    <t>T73-J-R8</t>
  </si>
  <si>
    <t>T73-J-R9</t>
  </si>
  <si>
    <t>G12-J-R4</t>
  </si>
  <si>
    <t>G12-J-R5</t>
  </si>
  <si>
    <t>Prime de fin d'année Donald-Roméo</t>
  </si>
  <si>
    <t>CA-J-D2</t>
  </si>
  <si>
    <t>Cumul frais de trust building du mois de Janvier 2025/IT87</t>
  </si>
  <si>
    <t>Trust Building</t>
  </si>
  <si>
    <t>IT87-J-D2</t>
  </si>
  <si>
    <t>Cumul frais de trust building du mois de Janvier 2025/G12</t>
  </si>
  <si>
    <t>Trust building</t>
  </si>
  <si>
    <t>G12-J-D2</t>
  </si>
  <si>
    <t>Bonus du mois de Janvier 2025/Donald-Roméo</t>
  </si>
  <si>
    <t>CA-J-D3</t>
  </si>
  <si>
    <t>Bonus Opération du 15/01/2025 à Owando</t>
  </si>
  <si>
    <t>CA-J-D4</t>
  </si>
  <si>
    <t>Paiement retraite Coordinateur periode Octobre,Novembre et Decembre 2024</t>
  </si>
  <si>
    <t>CA-J-R33</t>
  </si>
  <si>
    <t>IT87-J-R6</t>
  </si>
  <si>
    <t>IT87-J-R7</t>
  </si>
  <si>
    <t>P29-J-R14</t>
  </si>
  <si>
    <t>P29-J-R15</t>
  </si>
  <si>
    <t>T73-J-R10</t>
  </si>
  <si>
    <t>T73-J-R11</t>
  </si>
  <si>
    <t>G12-J-R6</t>
  </si>
  <si>
    <t>G12-J-R7</t>
  </si>
  <si>
    <t>Achat carburant 100litre de Gazoil/Groupe electrogène PALF</t>
  </si>
  <si>
    <t>CA-J-R32</t>
  </si>
  <si>
    <t>Règlement prestation technicienne de surface (mois de Janvier 2025)</t>
  </si>
  <si>
    <t>CA-J-R34</t>
  </si>
  <si>
    <t>P29-J-R16</t>
  </si>
  <si>
    <t>P29-J-R17</t>
  </si>
  <si>
    <t>Cumul frais de trust building du mois de Janvier 2025/P29</t>
  </si>
  <si>
    <t>P29-J-D3</t>
  </si>
  <si>
    <t>T73-J-R12</t>
  </si>
  <si>
    <t>T73-J-R13</t>
  </si>
  <si>
    <t>Cumul frais de trust building du mois de Janvier 2025/T73</t>
  </si>
  <si>
    <t>T73-J-D3</t>
  </si>
  <si>
    <t>G12-J-R8</t>
  </si>
  <si>
    <t>G12-J-R9</t>
  </si>
  <si>
    <t>G12-J-R10</t>
  </si>
  <si>
    <t>IT87-J-R8</t>
  </si>
  <si>
    <t>IT87-J-R9</t>
  </si>
  <si>
    <t>Cumul frais de transport local du mois de Janvier 2025/IT87</t>
  </si>
  <si>
    <t>IT87-J-D3</t>
  </si>
  <si>
    <t>P29-J-R18</t>
  </si>
  <si>
    <t>P29-J-R19</t>
  </si>
  <si>
    <t>Cumul frais de transport local du mois de Janvier 2025/P29</t>
  </si>
  <si>
    <t>P29-J-D4</t>
  </si>
  <si>
    <t>T73-J-R14</t>
  </si>
  <si>
    <t>T73-J-R15</t>
  </si>
  <si>
    <t>Cumul frais de transport local du mois de Janvier 2025/T73</t>
  </si>
  <si>
    <t>T73-J-D4</t>
  </si>
  <si>
    <t>G12-J-R11</t>
  </si>
  <si>
    <t>Cumul frais de transport local du mois Janvier 2025/G12</t>
  </si>
  <si>
    <t>G12-J-D3</t>
  </si>
  <si>
    <t>Cumul frais de transport local du mois de Janvier 2025/Roderlin</t>
  </si>
  <si>
    <t>RO-J-D3</t>
  </si>
  <si>
    <t>Cumul frais de transport local du mois de Janvier 2025/EVARISTE</t>
  </si>
  <si>
    <t>EV-J-D2</t>
  </si>
  <si>
    <t>Bonus media portant sur le bilan des interpellation de 2023 et 2024</t>
  </si>
  <si>
    <t>CA-J-D5</t>
  </si>
  <si>
    <t>Cumul frais de transport local du mois de Janvier 2025/DOVI</t>
  </si>
  <si>
    <t>DH-J-D1</t>
  </si>
  <si>
    <t>Reglement loyer du mois de Janvier 2025/DOVI Coordinateur PALF</t>
  </si>
  <si>
    <t>personnel</t>
  </si>
  <si>
    <t>DH-J-R3</t>
  </si>
  <si>
    <t>Cumul frais de transport local du mois de Janvier 2025/Merveille</t>
  </si>
  <si>
    <t>ME-J-D1</t>
  </si>
  <si>
    <t>Ramassage Ordure/bureau PALF</t>
  </si>
  <si>
    <t>CA-J-R35</t>
  </si>
  <si>
    <t>Reglement facture internet perionde du 01/02 au 28/02/2025 bureau PALF</t>
  </si>
  <si>
    <t xml:space="preserve">Internet </t>
  </si>
  <si>
    <t>CA-J-R36</t>
  </si>
  <si>
    <t>Cumul frais de transport local du mois de Janvier 2025/LOUNDOU Jean Romain</t>
  </si>
  <si>
    <t>RM-J-D3</t>
  </si>
  <si>
    <t>Installation Pack office et activation et installation des pratiques logiques</t>
  </si>
  <si>
    <t>Website and software</t>
  </si>
  <si>
    <t>CA-J-R37</t>
  </si>
  <si>
    <t>Donald-Romeo</t>
  </si>
  <si>
    <t>Donors 2025</t>
  </si>
  <si>
    <t>Rufford</t>
  </si>
  <si>
    <t>Dovi</t>
  </si>
  <si>
    <t>I55S</t>
  </si>
  <si>
    <t>Investigations</t>
  </si>
  <si>
    <t>I73X</t>
  </si>
  <si>
    <t>COMPTA DOVI - Coordinateur</t>
  </si>
  <si>
    <t>Détails dépenses</t>
  </si>
  <si>
    <t>Types dépenses (Personnel, Bonus/ Lawyer Bonus, Travel Expenses, Travel subsistence, Office Materials,Rent &amp; Utilities, Services,Telephone, Internet,Bonus,Trust building, Bank charges,Transfer fees, Jail Visits, Editing Costs,Equipment, Publications, Cour</t>
  </si>
  <si>
    <t>Département (Investigations, Legal, Operations, Media, Management, CCU, EAGLE Family, Policy &amp; External relations)</t>
  </si>
  <si>
    <t>Montant reçu</t>
  </si>
  <si>
    <t>Montant dépensé</t>
  </si>
  <si>
    <t>Nom</t>
  </si>
  <si>
    <t>Reçu</t>
  </si>
  <si>
    <t>COMPTA Crepin - Assistant à la Coordination</t>
  </si>
  <si>
    <t>COMPTA MERVEILLE-Comptable</t>
  </si>
  <si>
    <t xml:space="preserve">COMPTA IT87 (Daniel) - Consultant Enquêteur </t>
  </si>
  <si>
    <t xml:space="preserve">COMPTA P29 (Bourgeois) - Consultant Enquêteur </t>
  </si>
  <si>
    <t xml:space="preserve">COMPTA T73 (Trésor) - Consultant Enquêteur </t>
  </si>
  <si>
    <t>COMPTA G12(&gt;&gt;&gt;&gt;) - Consultante Enquêtrice</t>
  </si>
  <si>
    <t>COMPTA Abraham-Juriste</t>
  </si>
  <si>
    <t>Reçu caisse/Roderlin</t>
  </si>
  <si>
    <t>Balalce</t>
  </si>
  <si>
    <t>COMPTA Evariste - Chargé Media</t>
  </si>
  <si>
    <t>Étiquettes de lignes</t>
  </si>
  <si>
    <t>Total général</t>
  </si>
  <si>
    <t>Somme de Spent  in XAF</t>
  </si>
  <si>
    <t xml:space="preserve">Somme de Spent </t>
  </si>
  <si>
    <t>Somme de Received</t>
  </si>
  <si>
    <t>returned to caisse</t>
  </si>
  <si>
    <t>Receved  $</t>
  </si>
  <si>
    <t>Somme de Spent in $</t>
  </si>
  <si>
    <t>Reglement facture d'hotel Eric ONA du 07 au 14/01/2025/(07 Nuitées)</t>
  </si>
  <si>
    <t>Homéfa DOVI ZENNAWOE</t>
  </si>
  <si>
    <t>Reglement loyer du mois de Décembre 2024/3654776</t>
  </si>
  <si>
    <t>Received in XAF</t>
  </si>
  <si>
    <t>Received in $</t>
  </si>
  <si>
    <t>Reglement Facture Gardiennage Mois de Décembre 2024/3654775</t>
  </si>
  <si>
    <t>Paiement Honoraire Me LOCKO/Mois de Décembre 2024/3654777</t>
  </si>
  <si>
    <t>Achat billet Owando-Brazzaville/Donald-Roméo</t>
  </si>
  <si>
    <t>Achat encre 216A et registre</t>
  </si>
  <si>
    <t>BQ-F-R1</t>
  </si>
  <si>
    <t>BQ-F-R2</t>
  </si>
  <si>
    <t>Solde honoraire contrat n°81 Owando cas Monick/ Maître BANZOUZI Alain/3654800</t>
  </si>
  <si>
    <t>BQ-F-R3</t>
  </si>
  <si>
    <t>Reglement frais d'assurance multi risque/Bureau PALF</t>
  </si>
  <si>
    <t>BQ-F-R4</t>
  </si>
  <si>
    <t>Reglement loyer du mois de Février 2025/3654804</t>
  </si>
  <si>
    <t>Achat billet, Brazzaville-Owando/Evariste</t>
  </si>
  <si>
    <t>EV-F-R1</t>
  </si>
  <si>
    <t>EVARISTE - CONGO Ration du 15 au 28 février 2025, mission d'Owando (13 nuitées)</t>
  </si>
  <si>
    <t>EV-F-D1</t>
  </si>
  <si>
    <t>EV-F-D2</t>
  </si>
  <si>
    <t>EVARISTE - CONGO Frais de l'hôtel du 15 au 25 février 2025 à Owando (10 nuitées)</t>
  </si>
  <si>
    <t>EV-F-R2</t>
  </si>
  <si>
    <t xml:space="preserve">EVARISTE - CONGO Frais de l'hôtel du 25 au 28 février 2025 (3 nuitées) </t>
  </si>
  <si>
    <t>EV-F-R3</t>
  </si>
  <si>
    <t>EV-F-R4</t>
  </si>
  <si>
    <t>Cumul frais de transport local du mois de Février 2025/Evariste</t>
  </si>
  <si>
    <t>EV-F-D3</t>
  </si>
  <si>
    <t>Bonus media portant sur l'audience du 06 Février au TG1 d'Owando</t>
  </si>
  <si>
    <t>CA-F-D1</t>
  </si>
  <si>
    <t>Bonus media portant sur la journée mondiale du Pangolin</t>
  </si>
  <si>
    <t>CA-F-D12</t>
  </si>
  <si>
    <t>Bonus media portant sur l'interpellation de deux présumé trafiquants le 24/02/2025 à Owando</t>
  </si>
  <si>
    <t>CA-F-D13</t>
  </si>
  <si>
    <t>CA-F-R11</t>
  </si>
  <si>
    <t>Achat billet Brazzaville-Owando(Trans bony)/Abraham</t>
  </si>
  <si>
    <t>AB-F-R1</t>
  </si>
  <si>
    <t>Frais de mission maitre Marie Helène NANITELAMION du 12 au 14 Février 2025 à Owando suivi audience</t>
  </si>
  <si>
    <t>CA-F-R13</t>
  </si>
  <si>
    <t>AB-F-D1</t>
  </si>
  <si>
    <t>ABRAHAM - CONGO frais d'Hôtel (Hôtel Case Mbali) du 12 au 15/02/2025 Owando (03Nuitées)</t>
  </si>
  <si>
    <t>AB-F-R2</t>
  </si>
  <si>
    <t>ABRAHAM - CONGO frais d'Hôtel  du 15au 20/02/2025 Owando (05Nuitées)</t>
  </si>
  <si>
    <t>AB-F-R5</t>
  </si>
  <si>
    <t>Rafraîchissement attente OP</t>
  </si>
  <si>
    <t>AB-F-R3</t>
  </si>
  <si>
    <t>Achat médicaments du prévenu Dodo</t>
  </si>
  <si>
    <t>AB-F-R4</t>
  </si>
  <si>
    <t>Cumul frais de jail visits du mois de Février 2025/Abraham</t>
  </si>
  <si>
    <t>AB-F-D2</t>
  </si>
  <si>
    <t>CREPIN - CONGO Ration du 15/02/ au 05/03/2025 à Owando (18 nuitées)</t>
  </si>
  <si>
    <t>CR-F-D1</t>
  </si>
  <si>
    <t>CR-F-R2</t>
  </si>
  <si>
    <t>Plats et raffraichissements</t>
  </si>
  <si>
    <t>CR-F-R3</t>
  </si>
  <si>
    <t>01 bidon d'eau de 10 litres pour les OPJ sous instruction du Coordinateur</t>
  </si>
  <si>
    <t>CR-F-D2</t>
  </si>
  <si>
    <t>Bonus pour 18 Gendarmes ayant participé à l'opération du 24/02/2025  à Owando</t>
  </si>
  <si>
    <t>CR-F-R4</t>
  </si>
  <si>
    <t>Bonus pour 02 EF ayant participé à l'opération du 24/02/2025  à Owando</t>
  </si>
  <si>
    <t>CR-F-R5</t>
  </si>
  <si>
    <t>Cumul frais de transport local du mois de Février 2025/Crepin IBOUILI IBOUILI</t>
  </si>
  <si>
    <t>CR-F-D3</t>
  </si>
  <si>
    <t>CR-F-R1</t>
  </si>
  <si>
    <t>Achat credit  teléphonique MTN/PALF/Première partie du mois de Février 2025/Management</t>
  </si>
  <si>
    <t>CA-F-R1</t>
  </si>
  <si>
    <t>Achat credit  teléphonique MTN/PALF/Première partie du mois de Février 2025/Legal</t>
  </si>
  <si>
    <t>CA-F-R2</t>
  </si>
  <si>
    <t>Achat credit  teléphonique MTN/PALF/Première partie du mois de Février 2025/Investigation</t>
  </si>
  <si>
    <t>CA-F-R3</t>
  </si>
  <si>
    <t>Achat credit  teléphonique MTN/PALF/Première partie du mois de Février 2025/Media</t>
  </si>
  <si>
    <t>CA-F-R4</t>
  </si>
  <si>
    <t>Achat credit  teléphonique Airtel/PALF/Première partie du mois de Février 2025/Legal</t>
  </si>
  <si>
    <t>CA-F-R5</t>
  </si>
  <si>
    <t>Achat credit  teléphonique Airtel/PALF/Première partie du mois de Février 2025/Investigation</t>
  </si>
  <si>
    <t>CA-F-R6</t>
  </si>
  <si>
    <t>Achat credit  teléphonique Airtel/PALF/Première partie du mois de Février 2025/Media</t>
  </si>
  <si>
    <t>CA-F-R7</t>
  </si>
  <si>
    <t>Frais de mission maitre Alain BANZOUZI du 05 au 07 Février 2025 à Owando suivi audience</t>
  </si>
  <si>
    <t>CA-F-R8</t>
  </si>
  <si>
    <t>Achat eau mineral 16 LITRES/Bureau</t>
  </si>
  <si>
    <t>CA-F-R9</t>
  </si>
  <si>
    <t>Achat produit d'entretien lait,sucre,javel,papier toilette,sucre,café/Bureau PALF</t>
  </si>
  <si>
    <t>CA-F-R10</t>
  </si>
  <si>
    <t>Frais de transfert d'argent à G12</t>
  </si>
  <si>
    <t>CA-F-R12</t>
  </si>
  <si>
    <t>Frais de transfert d'argent à P29</t>
  </si>
  <si>
    <t>CA-F-R14</t>
  </si>
  <si>
    <t>Bonus du mois de Janvier 2025/Merveille</t>
  </si>
  <si>
    <t>CA-F-D2</t>
  </si>
  <si>
    <t>Bonus du mois de Janvier 2025/Crepin</t>
  </si>
  <si>
    <t>CA-F-D3</t>
  </si>
  <si>
    <t>Bonus du mois de Janvier 2025/Romain</t>
  </si>
  <si>
    <t>CA-F-D4</t>
  </si>
  <si>
    <t>Bonus du mois de Janvier 2025/Abraham</t>
  </si>
  <si>
    <t>CA-F-D5</t>
  </si>
  <si>
    <t>Bonus du mois de Janvier 2025/Roderlin</t>
  </si>
  <si>
    <t>CA-F-D6</t>
  </si>
  <si>
    <t>Bonus du mois de Janvier 2025/Evariste</t>
  </si>
  <si>
    <t>CA-F-D7</t>
  </si>
  <si>
    <t>Bonus opération du 15/01/2025 à Owando/Crepin</t>
  </si>
  <si>
    <t>CA-F-D8</t>
  </si>
  <si>
    <t>Bonus opération du 15/01/2025 à Owando/Romain</t>
  </si>
  <si>
    <t>CA-F-D9</t>
  </si>
  <si>
    <t>Bonus opération du 15/01/2025 à Owando/Abraham</t>
  </si>
  <si>
    <t>CA-F-D10</t>
  </si>
  <si>
    <t>Bonus opération du 15/01/2025 à Owando/Evariste</t>
  </si>
  <si>
    <t>CA-F-D11</t>
  </si>
  <si>
    <t>CA-F-R15</t>
  </si>
  <si>
    <t>Frais de mission maitre Alain BANZOUZI du 13 au 15 Février 2025 à Sibiti/suivi audience</t>
  </si>
  <si>
    <t>CA-F-R16</t>
  </si>
  <si>
    <t>CA-F-R17</t>
  </si>
  <si>
    <t>CA-F-R18</t>
  </si>
  <si>
    <t>Parfaite</t>
  </si>
  <si>
    <t>Bonus à un informateur en RDC</t>
  </si>
  <si>
    <t>Frais de transfert d'argent à T73,P29 et Abraham</t>
  </si>
  <si>
    <t>CA-F-R19</t>
  </si>
  <si>
    <t>Achat credit  teléphonique MTN/PALF/Deuxième partie du mois de Février 2025/Management</t>
  </si>
  <si>
    <t>CA-F-R20</t>
  </si>
  <si>
    <t>Achat credit  teléphonique MTN/PALF/Deuxième partie du mois de Février 2025/Legal</t>
  </si>
  <si>
    <t>CA-F-R21</t>
  </si>
  <si>
    <t>Achat credit  teléphonique MTN/PALF/Deuxième partie du mois de Février 2025/Investigation</t>
  </si>
  <si>
    <t>CA-F-R22</t>
  </si>
  <si>
    <t>Achat credit  teléphonique MTN/PALF/Deuxième partie du mois de Février 2025/Media</t>
  </si>
  <si>
    <t>CA-F-R23</t>
  </si>
  <si>
    <t>CA-F-R24</t>
  </si>
  <si>
    <t>Achat credit  teléphonique Airtel/PALF/Deuxième partie du mois de Février 2025/Legal</t>
  </si>
  <si>
    <t>CA-F-R25</t>
  </si>
  <si>
    <t>Achat credit téléphonique pour P29/Appel trust à l'international</t>
  </si>
  <si>
    <t>CA-F-R26</t>
  </si>
  <si>
    <t>Frais de transfert d'argent à Crepin</t>
  </si>
  <si>
    <t>CA-F-R27</t>
  </si>
  <si>
    <t>Frais de mission maitre BANZOUZI à Owando du 19 au 21/02/205 suivi audience cas MONICK</t>
  </si>
  <si>
    <t>CA-F-R28</t>
  </si>
  <si>
    <t>CA-F-R29</t>
  </si>
  <si>
    <t>Frais de transfert bonus à informateur</t>
  </si>
  <si>
    <t>CA-F-R30</t>
  </si>
  <si>
    <t>Frais de transfert d'argent à Abraham</t>
  </si>
  <si>
    <t>CA-F-R31</t>
  </si>
  <si>
    <t>CA-F-R32</t>
  </si>
  <si>
    <t>CA-F-R43</t>
  </si>
  <si>
    <t>CA-F-R33</t>
  </si>
  <si>
    <t>Achat credit téléphonique pour le coordinateur</t>
  </si>
  <si>
    <t>CA-F-R34</t>
  </si>
  <si>
    <t>CA-F-R44</t>
  </si>
  <si>
    <t>Frais de mission à Owando de maitre Alain du 27/02 au 04/03/2025</t>
  </si>
  <si>
    <t>CA-F-R35</t>
  </si>
  <si>
    <t>Reglement prestation de nettoyage jardin PALF du mois de Février 2025</t>
  </si>
  <si>
    <t>CA-F-R36</t>
  </si>
  <si>
    <t>Frais de transfert d'argent à IT87</t>
  </si>
  <si>
    <t>CA-F-R37</t>
  </si>
  <si>
    <t>Ramassage ordure du mois Février 2025/Bureau PALF</t>
  </si>
  <si>
    <t>CA-F-R38</t>
  </si>
  <si>
    <t>Frais de transfert d'argent à Romain</t>
  </si>
  <si>
    <t>CA-F-R45</t>
  </si>
  <si>
    <t>Reglement facture internet periode du 01/03 au 31/03/2025 bureau PALF</t>
  </si>
  <si>
    <t>Internet</t>
  </si>
  <si>
    <t>CA-F-R39</t>
  </si>
  <si>
    <t>Règlement prestation technicienne de surface (mois de Février 2025)</t>
  </si>
  <si>
    <t>CA-F-R40</t>
  </si>
  <si>
    <t>Achat fourniture de bureau/Classeurs,stylo,intercalaire,rame papier,surligneur,chemise cartonnée</t>
  </si>
  <si>
    <t>CA-F-R41</t>
  </si>
  <si>
    <t>Frais de carte de travail Parfaite</t>
  </si>
  <si>
    <t>CA-F-R42</t>
  </si>
  <si>
    <t>DH-F-R1</t>
  </si>
  <si>
    <t>Frais de transfert d'argent par western union à l'informateur</t>
  </si>
  <si>
    <t>DH-F-R2</t>
  </si>
  <si>
    <t>DH-F-R3</t>
  </si>
  <si>
    <t>DOVI -CONGO Ration du 15 Février 2025 au 25 Février 2025 soit 10 nuitées</t>
  </si>
  <si>
    <t>DH-F-D1</t>
  </si>
  <si>
    <t>Achat billet Owando -Brazzaville/DOVI</t>
  </si>
  <si>
    <t>DH-F-R4</t>
  </si>
  <si>
    <t>DOVI-CONGO Frais d'hôtel du 15 Février 2025 au 25 Février 2025 soit 10 nuitées à Owando(Hôtel Savouret)</t>
  </si>
  <si>
    <t>DH-F-R5</t>
  </si>
  <si>
    <t>Cumul frais de transport local du mois de Février 2025/DOVI</t>
  </si>
  <si>
    <t>DH-F-D2</t>
  </si>
  <si>
    <t>Cumul frais de transport local du mois de Février 2025/Merveille</t>
  </si>
  <si>
    <t>ME-F-D1</t>
  </si>
  <si>
    <t>COMPTA PARFAITE-Comptable</t>
  </si>
  <si>
    <t>Reçu caisse/Parfaite</t>
  </si>
  <si>
    <t>Cumul frais de transport local du mois de Février 2025/Parfaite</t>
  </si>
  <si>
    <t>P-F-D1</t>
  </si>
  <si>
    <t>P29-F-R1</t>
  </si>
  <si>
    <t>P29-F-D1</t>
  </si>
  <si>
    <t>P29-F-R2</t>
  </si>
  <si>
    <t>P29-F-R3</t>
  </si>
  <si>
    <t>P29-F-R4</t>
  </si>
  <si>
    <t>P29-F-R5</t>
  </si>
  <si>
    <t>Cumul frais de trust building du mois de Février 2025/P29</t>
  </si>
  <si>
    <t>P29-F-D2</t>
  </si>
  <si>
    <t>P29-F-R6</t>
  </si>
  <si>
    <t>P29-F-R7</t>
  </si>
  <si>
    <t>P29-F-R8</t>
  </si>
  <si>
    <t>Location véhicule extraction owando-oyo/P29</t>
  </si>
  <si>
    <t>P29-F-R9</t>
  </si>
  <si>
    <t>Locaation vehicule 1 pour extraction  du stade à la vouma/P29</t>
  </si>
  <si>
    <t>P29-F-R10</t>
  </si>
  <si>
    <t>Locaation vehicule 2  pour extraction de la vouma station AOGC/P29</t>
  </si>
  <si>
    <t>P29-F-R11</t>
  </si>
  <si>
    <t>P29-F-R12</t>
  </si>
  <si>
    <t>P29-F-R13</t>
  </si>
  <si>
    <t>P29-F-R14</t>
  </si>
  <si>
    <t>P29-F-R15</t>
  </si>
  <si>
    <t>Cumul frais de transport local du mois de Février 2025/P29</t>
  </si>
  <si>
    <t>P29-F-D3</t>
  </si>
  <si>
    <t>T73-F-R1</t>
  </si>
  <si>
    <t>T73-F-D1</t>
  </si>
  <si>
    <t>T73-F-R2</t>
  </si>
  <si>
    <t>T73-F-R4</t>
  </si>
  <si>
    <t>T73-F-R5</t>
  </si>
  <si>
    <t>Cumul frais de trust building du mois de Février 2025/T73</t>
  </si>
  <si>
    <t>T73-F-D2</t>
  </si>
  <si>
    <t>T73-F-R6</t>
  </si>
  <si>
    <t>T73-F-R7</t>
  </si>
  <si>
    <t>Cumul frais de transport local du mois de Février 2025/T73</t>
  </si>
  <si>
    <t>T73-F-D3</t>
  </si>
  <si>
    <t>G12-F-R1</t>
  </si>
  <si>
    <t>G12-F-D1</t>
  </si>
  <si>
    <t>G12-F-R2</t>
  </si>
  <si>
    <t>G12-F-R3</t>
  </si>
  <si>
    <t>G12-F-R4</t>
  </si>
  <si>
    <t>G12-F-R5</t>
  </si>
  <si>
    <t>G12-F-R6</t>
  </si>
  <si>
    <t>G12-F-R7</t>
  </si>
  <si>
    <t>Cumul frais de trust building du mois de Février 2025/G12</t>
  </si>
  <si>
    <t>G12-F-D2</t>
  </si>
  <si>
    <t>G12-F-R8</t>
  </si>
  <si>
    <t>G12-F-R9</t>
  </si>
  <si>
    <t>Cumul frais de transport local du mois Février 2025/G12</t>
  </si>
  <si>
    <t>G12-F-D3</t>
  </si>
  <si>
    <t>Achat  Billet  Brazzaville-Owando/Romain</t>
  </si>
  <si>
    <t>RM-F-R1</t>
  </si>
  <si>
    <t>ROMAIN-CONGO: Ration du 05 au 07/02/2025 à Owando</t>
  </si>
  <si>
    <t>RM-F-D1</t>
  </si>
  <si>
    <t>Achat billet retour Owando-Brazzaville/Romain</t>
  </si>
  <si>
    <t>RM-F-R2</t>
  </si>
  <si>
    <t>ROMAIN - CONGO Frais d'hotel du 05 au 07/02/2025 à Owando(2 nuitées)</t>
  </si>
  <si>
    <t>RM-F-R3</t>
  </si>
  <si>
    <t>Achat Billet Brazzaville-Owando/Romain</t>
  </si>
  <si>
    <t>RM-F-R4</t>
  </si>
  <si>
    <t>RM-F-D2</t>
  </si>
  <si>
    <t>RM-F-R5</t>
  </si>
  <si>
    <t>Carburant BJ Opération</t>
  </si>
  <si>
    <t>RM-F-R6</t>
  </si>
  <si>
    <t>ROMAIN - CONGO - Frais d'hôtel du 15 au 25/02/2025 à Owando(10 Nuitées)</t>
  </si>
  <si>
    <t>RM-F-R8</t>
  </si>
  <si>
    <t>Impréssion de la procédure de la Gendarmerie</t>
  </si>
  <si>
    <t>RM-F-R7</t>
  </si>
  <si>
    <t>Cumul frais de transport local du mois de Février 2025/Romain</t>
  </si>
  <si>
    <t>RM-F-D3</t>
  </si>
  <si>
    <t>Achat billet Brazzaville- Loudima/Roderlin</t>
  </si>
  <si>
    <t>RO-F-R4</t>
  </si>
  <si>
    <t>RODERLIN-CONGO Ration du 13 au 15/02/2025 à Sibiti (02 nuitées)</t>
  </si>
  <si>
    <t>RO-F-D2</t>
  </si>
  <si>
    <t>Achat billet Loudima - Sibiti/Roderlin</t>
  </si>
  <si>
    <t>RO-F-R6</t>
  </si>
  <si>
    <t>Cumul frais de jail visits du mois de Février 2025/Roderlin</t>
  </si>
  <si>
    <t>RO-F-D3</t>
  </si>
  <si>
    <t>RODERLIN-CONGO frais d'hôtel du 13 au 15/02/2025 à Sibiti (02 nuitées)</t>
  </si>
  <si>
    <t>RO-F-R5</t>
  </si>
  <si>
    <t>Taxi: Sibiti-Loudima /Roderlin</t>
  </si>
  <si>
    <t>RO-F-R7</t>
  </si>
  <si>
    <t>Achat billet Loudima-Brazzaville /Roderlin</t>
  </si>
  <si>
    <t>RO-F-R8</t>
  </si>
  <si>
    <t>Cumul frais de transport local du mois de Février 2025/Roderlin</t>
  </si>
  <si>
    <t>RO-F-D4</t>
  </si>
  <si>
    <t xml:space="preserve"> Achat billet Brazzaville- Owando/Roderlin</t>
  </si>
  <si>
    <t>RO-F-R1</t>
  </si>
  <si>
    <t>RODERLIN-CONGO Ration du 05 au 07/02/2025 à Owando (02 nuitées)</t>
  </si>
  <si>
    <t>RO-F-D1</t>
  </si>
  <si>
    <t>Achat billet Owando- Brazzaville /Roderlin</t>
  </si>
  <si>
    <t>RO-F-R2</t>
  </si>
  <si>
    <t>RODERLIN-CONGO frais d'hôtel du 05 au 07/02/2025 à Owando (02 nuitées)</t>
  </si>
  <si>
    <t>RO-F-R3</t>
  </si>
  <si>
    <t>IT87-F-D1</t>
  </si>
  <si>
    <t>IT87-F-R1</t>
  </si>
  <si>
    <t>IT87-F-R2</t>
  </si>
  <si>
    <t>IT87-F-R3</t>
  </si>
  <si>
    <t>IT87-F-R4</t>
  </si>
  <si>
    <t>IT87-F-R5</t>
  </si>
  <si>
    <t>IT87-F-R6</t>
  </si>
  <si>
    <t>IT87-F-D2</t>
  </si>
  <si>
    <t>IT87-F-R7</t>
  </si>
  <si>
    <t>IT87-F-R8</t>
  </si>
  <si>
    <t>IT87-F-R9</t>
  </si>
  <si>
    <t>IT87-F-R10</t>
  </si>
  <si>
    <t>IT87-F-R11</t>
  </si>
  <si>
    <t>IT87-F-R12</t>
  </si>
  <si>
    <t>IT87-F-R13</t>
  </si>
  <si>
    <t>IT87-F-R14</t>
  </si>
  <si>
    <t>IT87-F-D3</t>
  </si>
  <si>
    <t>Cumul frais de Trust building du mois de Février 2025/IT87</t>
  </si>
  <si>
    <t>IT87-F-D4</t>
  </si>
  <si>
    <t>IT87-F-R15</t>
  </si>
  <si>
    <t>IT87-F-R16</t>
  </si>
  <si>
    <t>Cumul frais de Transport local du mois de Février 2025/IT87</t>
  </si>
  <si>
    <t>IT87-F-D5</t>
  </si>
  <si>
    <t>Cumul frais de transport local du mois de Février 2025/Abraham</t>
  </si>
  <si>
    <t>AB-F-D3</t>
  </si>
  <si>
    <t>CREPIN - CONGO Hébergement à l'hôtel Essebo d'Owando, 07 Nuitées du 15 au 22/02/2025</t>
  </si>
  <si>
    <t>Achat billet Brazzaville-Owando/DOVI</t>
  </si>
  <si>
    <t>Paiment assurance DOVI/Assistance Evacuation</t>
  </si>
  <si>
    <t>Achat credit  teléphonique Airtel/PALF/Deuxième partie du mois de Février 2025/Investigation</t>
  </si>
  <si>
    <t>Frais de transfert d'argent à P29 et IT87</t>
  </si>
  <si>
    <t>Fonds envoyé à un informateur en RDC pour des informations</t>
  </si>
  <si>
    <t>Fonds envoyé à un informateur  en RDC pour des informations</t>
  </si>
  <si>
    <t>P29 - CONGO Frais de Location d'appartement pour op à owando du 22 au 25/02/2025  (occupé par crepin)/03 Nuitées</t>
  </si>
  <si>
    <t>P29 - CONGO Frais de location d'appartement pour op à Owando du 22 au 25/02/2025  (occupé par T73)/03 Nuitées</t>
  </si>
  <si>
    <t>Paiment assurance DOVI/Individuelle Accidents Corporels</t>
  </si>
  <si>
    <t>Frais de transfert charden farell à Abraham (pour le compte de DOVI et Crépin)</t>
  </si>
  <si>
    <t>Departement</t>
  </si>
  <si>
    <t>Achat credit  teléphonique MTN/PALF/Première partie du mois de Mars2025/Management</t>
  </si>
  <si>
    <t>Achat credit  teléphonique MTN/PALF/Première partie du mois de Mars 2025/Legal</t>
  </si>
  <si>
    <t>Achat credit  teléphonique MTN/PALF/Première partie du mois de Mars 2025/Investigation</t>
  </si>
  <si>
    <t>Achat credit  teléphonique MTN/PALF/Première partie du mois de Mars 2025/Media</t>
  </si>
  <si>
    <t>Achat credit  teléphonique Airtel/PALF/Première partie du mois de Mars 2025/Legal</t>
  </si>
  <si>
    <t>Achat credit  teléphonique Airtel/PALF/Première partie du mois de Mars 2025/Investigation</t>
  </si>
  <si>
    <t>Achat credit  teléphonique Airtel/PALF/Première partie du mois de Mars 2025/Media</t>
  </si>
  <si>
    <t>Achat 01 telephone Tecno POP 7/ 64GB et 4ROM pour Abraham</t>
  </si>
  <si>
    <t>Achat carburant 100 Litres de gazoil groupe electrogène Bureau</t>
  </si>
  <si>
    <t>Bonus operation du 24/02/2025 à Owando/Evariste</t>
  </si>
  <si>
    <t>Bonus operation du 24/02/2025 à Owando/Merveille</t>
  </si>
  <si>
    <t>Bonus du mois de Janvier 2025/Parfaite</t>
  </si>
  <si>
    <t>Bonus operation du 24/02/2025 à Owando/Abraham</t>
  </si>
  <si>
    <t>Bonus media portant sur l'interpellation de 2 Présumés trafiquants le 24/02/205 à Owando</t>
  </si>
  <si>
    <t>Paiement salaire des jours travaillés en février 2025/Parfaite</t>
  </si>
  <si>
    <t>Frais de transfert d'argent en RDC</t>
  </si>
  <si>
    <t>Frais de transfert d'argent à Romain et Crepin</t>
  </si>
  <si>
    <t>Complement frais de mission maitre Banzouzi du 04 au 08/03/3035 à Owando</t>
  </si>
  <si>
    <t>Frais de transport mission maitre Marie Helène à Owando du 05 au 07/03/2025 suivi audience cas EBI</t>
  </si>
  <si>
    <t>Ration et frais d'hotel mission maitre Marie Helène à Owando du 05 au 07/03/2025 suivi audience cas EBI</t>
  </si>
  <si>
    <t>Bonus operation du 24/02/2025 à Owando/Crepin</t>
  </si>
  <si>
    <t>Frais de transfert Bonus à un informateur en RDC</t>
  </si>
  <si>
    <t>Bonus du mois de Février 2025/Romain</t>
  </si>
  <si>
    <t>Bonus operation du 24/02/2025 à Owando/Romain</t>
  </si>
  <si>
    <t>Règlement facture électricité piode Janvier-Février2025/bureau PALF</t>
  </si>
  <si>
    <t>Achat de 14 pagnes africain pour la JIF(08Mars)/Bureau PALF</t>
  </si>
  <si>
    <t>Achat credit téléphonique MTN pour Donald Roméo periode du 12 au 31/03/2025</t>
  </si>
  <si>
    <t>Frais de transfert d'argent à P29 et G12</t>
  </si>
  <si>
    <t>Achat credit  teléphonique MTN/PALF/Deuxième partie du mois de Mars2025/Management</t>
  </si>
  <si>
    <t>Achat credit  teléphonique MTN/PALF/Deuxième partie du mois de Mars 2025/Legal</t>
  </si>
  <si>
    <t>Achat credit  teléphonique MTN/PALF/Deuxième partie du mois de Mars 2025/Investigation</t>
  </si>
  <si>
    <t>Achat credit  teléphonique MTN/PALF/deuxième partie du mois de Mars 2025/Media</t>
  </si>
  <si>
    <t>Achat credit  teléphonique Airtel/PALF/Deuxième partie du mois de Mars 2025/Legal</t>
  </si>
  <si>
    <t>Achat credit  teléphonique Airtel/PALF/Deuxième partie du mois de Mars 2025/Investigation</t>
  </si>
  <si>
    <t>Frais de transport mission à Owando de maitre Alain du 19au 21/03/2025 suivi audience à Owando</t>
  </si>
  <si>
    <t>Frais de transfert d'argent à Crepin, Evariste, Abraham, Romain et Donald-Romeo</t>
  </si>
  <si>
    <t>Achat 05 Cartouche d'encre  HP Laser noire et couleur 216A</t>
  </si>
  <si>
    <t>Achat produit d'entretien  et Main d'œuvre du groupe électrogène/Bureau PALF</t>
  </si>
  <si>
    <t>Frais de transfert d'argent  à crepin et IT87</t>
  </si>
  <si>
    <t>Frais de transfert d'argent à  T73 par  momo</t>
  </si>
  <si>
    <t xml:space="preserve">Ration et frais d'hotel mission à Dolisie de maitre BANZOUZI Alain du 25/03/ au 05/04/2025 suivi audience </t>
  </si>
  <si>
    <t>Achat carburant groupe electrogène Bureau</t>
  </si>
  <si>
    <t>Bonus media portant sur l'interpellation de 2 Présumés trafiquants le 22/03/205 à Dolisie</t>
  </si>
  <si>
    <t>ramassage Ordure du mois de Mars 2025/Bureau PALF</t>
  </si>
  <si>
    <t>Frais de transfert d'argent  à crepin et Donald-Roméo</t>
  </si>
  <si>
    <t>Reglement prestation de nettoyage Bureau PALF du mois de Mars 2025</t>
  </si>
  <si>
    <t>Reglement facture internet periode du 01/04 au 30/04/2025 bureau PALF</t>
  </si>
  <si>
    <t>Frais de transfert d'argent à Crepin, Me Alain et Donald-Romeo</t>
  </si>
  <si>
    <t>CA-M-R1</t>
  </si>
  <si>
    <t>CA-M-R2</t>
  </si>
  <si>
    <t>CA-M-R3</t>
  </si>
  <si>
    <t>CA-M-R4</t>
  </si>
  <si>
    <t>CA-M-R5</t>
  </si>
  <si>
    <t>CA-M-R6</t>
  </si>
  <si>
    <t>CA-M-R7</t>
  </si>
  <si>
    <t>CA-M-R8</t>
  </si>
  <si>
    <t>CA-M-R9</t>
  </si>
  <si>
    <t>CA-M-R10</t>
  </si>
  <si>
    <t>CA-M-R11</t>
  </si>
  <si>
    <t>CA-M-R12</t>
  </si>
  <si>
    <t>CA-M-R13</t>
  </si>
  <si>
    <t>CA-M-R14</t>
  </si>
  <si>
    <t>CA-M-R15</t>
  </si>
  <si>
    <t>CA-M-R16</t>
  </si>
  <si>
    <t>CA-M-R17</t>
  </si>
  <si>
    <t>CA-M-R18</t>
  </si>
  <si>
    <t>CA-M-R19</t>
  </si>
  <si>
    <t>CA-M-R20</t>
  </si>
  <si>
    <t>CA-M-R21</t>
  </si>
  <si>
    <t>CA-M-R22</t>
  </si>
  <si>
    <t>CA-M-R23</t>
  </si>
  <si>
    <t>CA-M-R24</t>
  </si>
  <si>
    <t>CA-M-R25</t>
  </si>
  <si>
    <t>CA-M-R26</t>
  </si>
  <si>
    <t>CA-M-R27</t>
  </si>
  <si>
    <t>CA-M-R28</t>
  </si>
  <si>
    <t>CA-M-R29</t>
  </si>
  <si>
    <t>CA-M-R30</t>
  </si>
  <si>
    <t>CA-M-R31</t>
  </si>
  <si>
    <t>CA-M-R32</t>
  </si>
  <si>
    <t>CA-M-R33</t>
  </si>
  <si>
    <t>CA-M-R34</t>
  </si>
  <si>
    <t>CA-M-R35</t>
  </si>
  <si>
    <t>CA-M-R36</t>
  </si>
  <si>
    <t>CA-M-R37</t>
  </si>
  <si>
    <t>CA-M-R38</t>
  </si>
  <si>
    <t>CA-M-R39</t>
  </si>
  <si>
    <t>CA-M-R40</t>
  </si>
  <si>
    <t>CA-M-R41</t>
  </si>
  <si>
    <t>CA-M-R42</t>
  </si>
  <si>
    <t>CA-M-R43</t>
  </si>
  <si>
    <t>CA-M-R44</t>
  </si>
  <si>
    <t>CA-M-R45</t>
  </si>
  <si>
    <t>CA-M-R46</t>
  </si>
  <si>
    <t>CA-M-R47</t>
  </si>
  <si>
    <t>CA-M-R48</t>
  </si>
  <si>
    <t>CA-M-R49</t>
  </si>
  <si>
    <t>CA-M-R50</t>
  </si>
  <si>
    <t>CA-M-R51</t>
  </si>
  <si>
    <t>CA-M-R52</t>
  </si>
  <si>
    <t>CA-M-R53</t>
  </si>
  <si>
    <t>CA-M-R54</t>
  </si>
  <si>
    <t>CA-M-R55</t>
  </si>
  <si>
    <t>CA-M-D1</t>
  </si>
  <si>
    <t>CA-M-D2</t>
  </si>
  <si>
    <t>CA-M-D3</t>
  </si>
  <si>
    <t>CA-M-D4</t>
  </si>
  <si>
    <t>CA-M-D5</t>
  </si>
  <si>
    <t>CA-M-D6</t>
  </si>
  <si>
    <t>CA-M-D7</t>
  </si>
  <si>
    <t>CA-M-D8</t>
  </si>
  <si>
    <t>CA-M-D9</t>
  </si>
  <si>
    <t>CA-M-D10</t>
  </si>
  <si>
    <t>CA-M-D11</t>
  </si>
  <si>
    <t>CA-M-D12</t>
  </si>
  <si>
    <t>CA-M-D13</t>
  </si>
  <si>
    <t>CA-M-D14</t>
  </si>
  <si>
    <t>CA-M-D15</t>
  </si>
  <si>
    <t>Paiement salaire du mois de Février 2025/FOUMBA Roderlin/3654808</t>
  </si>
  <si>
    <t>Paiement salaire du mois de Février 2025/BOUNGOU MAKOSSO Abraham</t>
  </si>
  <si>
    <t>Paiement salaire du mois de Février 2025/LOUNDOU JeanRomain/3654807</t>
  </si>
  <si>
    <t>Paiement salaire du mois de Février 2025/Crepin IBOUILI-IBOUILI</t>
  </si>
  <si>
    <t>Paiement salaire du mois de Février 2025/Merveille MAHANGA</t>
  </si>
  <si>
    <t>Paiement salaire du mois de Février 2025/Evariste LELOUSSI</t>
  </si>
  <si>
    <t>Reglement honoraire du mois de Février 2025/T73/3654813</t>
  </si>
  <si>
    <t>Reglement honoraire du mois de Février 2025/P29/3654814</t>
  </si>
  <si>
    <t>Reglement honoraire du mois de Février 2025/IT87/3654815</t>
  </si>
  <si>
    <t>Reglement honoraire du mois de Février 2025/G12/3654816</t>
  </si>
  <si>
    <t>Reglement Facture Gardiennage Mois de Février 2025/3654817</t>
  </si>
  <si>
    <t>Frais de virement salaire février 2025</t>
  </si>
  <si>
    <t>Acompte honoraire contrat N°64_Dolisie cas NZETSI BIMOKO et Consorts/Maitre Marie Hélène NANITELAMIO MALONGA</t>
  </si>
  <si>
    <t>RAPATRIEME01100 RAO00010768/CHENE</t>
  </si>
  <si>
    <t>RAPATRIEME01100 RAO00010768/OAT</t>
  </si>
  <si>
    <t>Paiement Honoraire Me LOCKO/Mois de Janvier 2025/3654793</t>
  </si>
  <si>
    <t>Paiement Honoraire Me LOCKO/Mois de Février 2025/3654820</t>
  </si>
  <si>
    <t>Paiement salaire du mois de Février 2025/Homéfa DOVI/3654812</t>
  </si>
  <si>
    <t>Virement fonds à CJ</t>
  </si>
  <si>
    <t>Frais de virement de fonds à CJ</t>
  </si>
  <si>
    <t>Paiement congé et jours travaillés en Mars 2025/Merveille MAHANGA</t>
  </si>
  <si>
    <t>Frais de virement salaire Mervielle Mars 2025</t>
  </si>
  <si>
    <t>Solde honoraire contrat N°81_Owando cas MONICK François/Maitre Marie Alain BAZOUNZI</t>
  </si>
  <si>
    <t>Acompte honoraire contrat N°82_Owando cas NGASSAKI Dany et ELOMBO Levy/Maitre Marie Alain BAZOUNZI</t>
  </si>
  <si>
    <t>Paiement salaire du mois de Mars 2025/Homéfa DOVI/3654835</t>
  </si>
  <si>
    <t>Paiement salaire du mois de Mars 2025/BAVOUMINA NZOUSSI Dina Parfaite/365831</t>
  </si>
  <si>
    <t>Paiement salaire du mois de Mars 2025/FOUMBA Roderlin/3654825</t>
  </si>
  <si>
    <t>Paiement salaire du mois de Mars 2025/BOUNGOU MAKOSSO Abraham/3654824</t>
  </si>
  <si>
    <t>Paiement salaire du mois de Mars 2025/LOUNDOU JeanRomain/3654832</t>
  </si>
  <si>
    <t>Paiement salaire du mois de Mars 2025/Crepin IBOUILI-IBOUILI</t>
  </si>
  <si>
    <t>Paiement salaire du mois de Mars 2025/Evariste LELOUSSI</t>
  </si>
  <si>
    <t>Paiement salaire du mois de Mars 2025/PINDI BINGA Donald- Roméo</t>
  </si>
  <si>
    <t>Frais de virement salaire du mois de Mars 2025</t>
  </si>
  <si>
    <t>Reglement honoraire du mois de Mars 2025/P29/3654837</t>
  </si>
  <si>
    <t>Reglement honoraire du mois de Mars 2025/G12/3654833</t>
  </si>
  <si>
    <t>Reglement honoraire du mois de Mars 2025/T73/3654829</t>
  </si>
  <si>
    <t>Reglement honoraire du mois de Mars 2025/IT87/3654827</t>
  </si>
  <si>
    <t>Reglement Facture Gardiennage Mois de Mars 2025/3654828</t>
  </si>
  <si>
    <t>BQ-M-G1</t>
  </si>
  <si>
    <t>BQ-M-G2</t>
  </si>
  <si>
    <t>BQ-M-G3</t>
  </si>
  <si>
    <t>BQ-M-R1</t>
  </si>
  <si>
    <t>BQ-M-R2</t>
  </si>
  <si>
    <t>BQ-M-R3</t>
  </si>
  <si>
    <t>BQ-M-R4</t>
  </si>
  <si>
    <t>BQ-M-R5</t>
  </si>
  <si>
    <t>BQ-M-R6</t>
  </si>
  <si>
    <t>BQ-M-R7</t>
  </si>
  <si>
    <t>BQ-M-R8</t>
  </si>
  <si>
    <t>BQ-M-R9</t>
  </si>
  <si>
    <t>BQ-M-R10</t>
  </si>
  <si>
    <t>BQ-M-R11</t>
  </si>
  <si>
    <t>BQ-M-R12</t>
  </si>
  <si>
    <t>BQ-M-R13</t>
  </si>
  <si>
    <t>BQ-M-R14</t>
  </si>
  <si>
    <t>BQ-M-R15</t>
  </si>
  <si>
    <t>BQ-M-R16</t>
  </si>
  <si>
    <t>BQ-M-R17</t>
  </si>
  <si>
    <t>BQ-M-R18</t>
  </si>
  <si>
    <t>BQ-M-R19</t>
  </si>
  <si>
    <t>BQ-M-R20</t>
  </si>
  <si>
    <t>BQ-M-R21</t>
  </si>
  <si>
    <t>BQ-M-R22</t>
  </si>
  <si>
    <t>BQ-M-R23</t>
  </si>
  <si>
    <t>BQ-M-R24</t>
  </si>
  <si>
    <t>BQ-M-R25</t>
  </si>
  <si>
    <t>BQ-M-R26</t>
  </si>
  <si>
    <t>BQ-M-R27</t>
  </si>
  <si>
    <t>BQ-M-R28</t>
  </si>
  <si>
    <t>BQ-M-R29</t>
  </si>
  <si>
    <t>DH-M-R2</t>
  </si>
  <si>
    <t>Fonds envoyés à un informateur</t>
  </si>
  <si>
    <t>DH-M-R3</t>
  </si>
  <si>
    <t>DH-M-R4</t>
  </si>
  <si>
    <t>Cumul frais de transport local du mois de Mars 2025/DOVI</t>
  </si>
  <si>
    <t>DH-M-D1</t>
  </si>
  <si>
    <t>Cumul frais de transport local du mois de Mars 2025/Merveille</t>
  </si>
  <si>
    <t>P-M-D1</t>
  </si>
  <si>
    <t>P29-M-R1</t>
  </si>
  <si>
    <t>P29-M-D1</t>
  </si>
  <si>
    <t>P29-M-R2</t>
  </si>
  <si>
    <t>Cumul frait de trust building du mois de Mars 2025/P29</t>
  </si>
  <si>
    <t>P29-M-D2</t>
  </si>
  <si>
    <t>P29-M-R3</t>
  </si>
  <si>
    <t>P29-M-R4</t>
  </si>
  <si>
    <t>P29-M-R5</t>
  </si>
  <si>
    <t>P29-M-R6</t>
  </si>
  <si>
    <t>P29 -CONGO Frais d'hotel du 19 au 23/03/2025 à Dolisie lieu op(P29) (04 Nuitées)</t>
  </si>
  <si>
    <t>P29-M-R7</t>
  </si>
  <si>
    <t>P29 -CONGO Frais d'hotel du 19 au 23/03/2025 à Dolisie lieu op(Crépin) (04 Nuitées)</t>
  </si>
  <si>
    <t>P29-M-R8</t>
  </si>
  <si>
    <t>P29-M-R9</t>
  </si>
  <si>
    <t>Cumul frait de transport du mois de Mars 2025/P29</t>
  </si>
  <si>
    <t>P29-M-D3</t>
  </si>
  <si>
    <t>versement</t>
  </si>
  <si>
    <t>payement frais d'inscription et mensuel pour la formation en anglais</t>
  </si>
  <si>
    <t>Team Building</t>
  </si>
  <si>
    <t>T73-M-R1</t>
  </si>
  <si>
    <t>T73-M-D1</t>
  </si>
  <si>
    <t>T73-M-R2</t>
  </si>
  <si>
    <t>T73-M-R3</t>
  </si>
  <si>
    <t>T73-M-R4</t>
  </si>
  <si>
    <t>T73-M-R5</t>
  </si>
  <si>
    <t>T73-M-R6</t>
  </si>
  <si>
    <t>T73-M-R7</t>
  </si>
  <si>
    <t>T73-M-R8</t>
  </si>
  <si>
    <t>T73-M-R9</t>
  </si>
  <si>
    <t>T73-M-R10</t>
  </si>
  <si>
    <t>Achat sim/T73</t>
  </si>
  <si>
    <t>T73-M-R11</t>
  </si>
  <si>
    <t>T73-M-D2</t>
  </si>
  <si>
    <t>T73-M-R12</t>
  </si>
  <si>
    <t>T73-M-R13</t>
  </si>
  <si>
    <t>T73-M-R14</t>
  </si>
  <si>
    <t>transport</t>
  </si>
  <si>
    <t>T73-M-R15</t>
  </si>
  <si>
    <t>T73-M-R16</t>
  </si>
  <si>
    <t>T73-M-R17</t>
  </si>
  <si>
    <t>T73-M-R18</t>
  </si>
  <si>
    <t>Cumul frais de trust building du mois de Mars 2025/T73</t>
  </si>
  <si>
    <t>T73-M-D3</t>
  </si>
  <si>
    <t>T73-M-R19</t>
  </si>
  <si>
    <t>T73-M-R20</t>
  </si>
  <si>
    <t>Cumul frais de transport local du mois de Mars 2025/T73</t>
  </si>
  <si>
    <t>T73-M-D4</t>
  </si>
  <si>
    <t>IT87-M-D1</t>
  </si>
  <si>
    <t>IT87-M-R1</t>
  </si>
  <si>
    <t>IT87-M-R2</t>
  </si>
  <si>
    <t>IT87-M-R3</t>
  </si>
  <si>
    <t>IT87-M-R4</t>
  </si>
  <si>
    <t>IT87-M-R5</t>
  </si>
  <si>
    <t>IT87-M-R6</t>
  </si>
  <si>
    <t>IT87-M-D2</t>
  </si>
  <si>
    <t>IT87-M-R7</t>
  </si>
  <si>
    <t>IT87-M-R8</t>
  </si>
  <si>
    <t>IT87-M-R9</t>
  </si>
  <si>
    <t>IT87-M-R10</t>
  </si>
  <si>
    <t>Cumul frais de trust building du mois de Mars 2025/IT87</t>
  </si>
  <si>
    <t>IT87-M-D3</t>
  </si>
  <si>
    <t>Cumul frais de transport local du mois de Mars 2025/IT87</t>
  </si>
  <si>
    <t>IT87-M-D4</t>
  </si>
  <si>
    <t>G12-M-R1</t>
  </si>
  <si>
    <t>G12-M-D1</t>
  </si>
  <si>
    <t>G12-M-D2</t>
  </si>
  <si>
    <t>G12-M-R2</t>
  </si>
  <si>
    <t>G12-M-R3</t>
  </si>
  <si>
    <t>G12-M-R4</t>
  </si>
  <si>
    <t>G12-M-R5</t>
  </si>
  <si>
    <t>Cumul transport local du mois de Mars 2025/G12</t>
  </si>
  <si>
    <t>G12-M-D3</t>
  </si>
  <si>
    <t>RM-M-D1</t>
  </si>
  <si>
    <t>RM-M-R1</t>
  </si>
  <si>
    <t>Achat Billet Brazzaville-Dolisie/Romain</t>
  </si>
  <si>
    <t>RM-M-R2</t>
  </si>
  <si>
    <t>ROMAIN-CONGO: Ration du 17 au 29 mars 2025 à Dolisie et Sibiti/ 12 Nuitées</t>
  </si>
  <si>
    <t>RM-M-D2</t>
  </si>
  <si>
    <t>RM-M-R3</t>
  </si>
  <si>
    <t>Achat du Billet Dolisie-Sibiti/Romain</t>
  </si>
  <si>
    <t>RM-M-R4</t>
  </si>
  <si>
    <t>Cumul frais de Jails visists du mois de Mars 2025/Romain</t>
  </si>
  <si>
    <t>RM-M-D3</t>
  </si>
  <si>
    <t>ROMAIN - CONGO Frais d'hotel du 17/03/ au 27/03/2025 à Dolisie (10 nuitées)</t>
  </si>
  <si>
    <t>RM-M-R5</t>
  </si>
  <si>
    <t>ROMAIN - CONGO Frais d'hotel du 27/03/ au 29/03/2025 à Sibiti(02 nuitées)</t>
  </si>
  <si>
    <t>RM-M-R6</t>
  </si>
  <si>
    <t>RM-M-R7</t>
  </si>
  <si>
    <t>Billet Nkayi-Brazzaville/Romain</t>
  </si>
  <si>
    <t>RM-M-R8</t>
  </si>
  <si>
    <t>RM-M-D4</t>
  </si>
  <si>
    <t>Achat billet Owando-Brazzaville(Trans bony)/Abraham</t>
  </si>
  <si>
    <t>AB-M-R1</t>
  </si>
  <si>
    <t>ABRAHAM - CONGO frais d'Hôtel (Hôtel Case Mbali) du 20/02/2025 au 01/03/2025 Owando (09Nuitées)</t>
  </si>
  <si>
    <t>AB-M-R2</t>
  </si>
  <si>
    <t>AB-M-R3</t>
  </si>
  <si>
    <t xml:space="preserve">ABRAHAM - CONGO Ration du 17/03/2025 au 26/03/2025 à Dolisie (09 Nuitées) </t>
  </si>
  <si>
    <t>AB-M-D1</t>
  </si>
  <si>
    <t>AB-M-R4</t>
  </si>
  <si>
    <t>Achat billet Dolisie-Brazzaville/Abraham</t>
  </si>
  <si>
    <t>AB-M-R5</t>
  </si>
  <si>
    <t>Cumul frais de Jails visits du mois de Mars 2025/Abraham</t>
  </si>
  <si>
    <t>AB-M-D2</t>
  </si>
  <si>
    <t>ABRAHAM - CONGO frais d'Hôtel (Hôtel La Gloire) du 17/03/2025 au 26/03/2025 Dolisie (09Nuitées)</t>
  </si>
  <si>
    <t>AB-M-R6</t>
  </si>
  <si>
    <t>Cumul frais de transport local du mois de Mars 2025/Abraham</t>
  </si>
  <si>
    <t>AB-M-D3</t>
  </si>
  <si>
    <t>Achat billet Brazzaville-Owando/Roderlin</t>
  </si>
  <si>
    <t>RO-M-R1</t>
  </si>
  <si>
    <t>RODERLIN-CONGO Ration du 19 au 22/03/2025 à Owando (03 nuitées)</t>
  </si>
  <si>
    <t>RO-M-D1</t>
  </si>
  <si>
    <t>RO-M-R2</t>
  </si>
  <si>
    <t>RODERLIN-CONGO frais d'hôtel du 19 au 22/03/2025 à Owando (03 nuitées)</t>
  </si>
  <si>
    <t>RO-M-R3</t>
  </si>
  <si>
    <t>RO-M-D2</t>
  </si>
  <si>
    <t>Achat billet Brazzaville-Dolisie/Donald-Roméo</t>
  </si>
  <si>
    <t>DR-M-R1</t>
  </si>
  <si>
    <t>Ration  du  17/03/ au 05/04/2025 à Dolisie</t>
  </si>
  <si>
    <t>DR-M-D1</t>
  </si>
  <si>
    <t>Achat carburant BJ OP</t>
  </si>
  <si>
    <t>DR-M-R2</t>
  </si>
  <si>
    <t>DR-M-R3</t>
  </si>
  <si>
    <t>Frais d'impression de la procédure de la gendarmerie</t>
  </si>
  <si>
    <t>DR-M-R4</t>
  </si>
  <si>
    <t>Cumul frais de Jails visits du mois de Mars 2025/Donald-Romeo</t>
  </si>
  <si>
    <t>DR-M-D2</t>
  </si>
  <si>
    <t>Cumul frais de transport local du mois de Mars 2025/Donald-Romeo</t>
  </si>
  <si>
    <t>DR-M-D3</t>
  </si>
  <si>
    <t>EV-M-R1</t>
  </si>
  <si>
    <t>EVARISTE - CONGO Ration du 17 au 26 mars 2025  à Dolisie/09 Nuitées</t>
  </si>
  <si>
    <t>EV-M-D1</t>
  </si>
  <si>
    <t>EV-M-R2</t>
  </si>
  <si>
    <t>EVARISTE - CONGO Frais de l'hôtel du 17 au 26 mars 2025 à Dolisie (09 Nuitées)</t>
  </si>
  <si>
    <t>EV-M-R3</t>
  </si>
  <si>
    <t>Achat Billet  Dolisie-Brazzaville/Evariste</t>
  </si>
  <si>
    <t>EV-M-R4</t>
  </si>
  <si>
    <t>EV-M-D2</t>
  </si>
  <si>
    <t xml:space="preserve">CREPIN - CONGO Hébergement à l'hôtel Case Mbali d'Owando, 05 Nuitées du 24/02/ au 01/03/2025 </t>
  </si>
  <si>
    <t>CREPIN - CONGO Ration du du 05 au 08/03/2025  03 Nuitées  à Owando(03 Nuitées)</t>
  </si>
  <si>
    <t>CR-M-D1</t>
  </si>
  <si>
    <t xml:space="preserve">CREPIN-IBOULI CONGO Hébergement à l'hôtel Case Mbali d'Owando, 07 Nuitées du  01 au 08/03/2025 </t>
  </si>
  <si>
    <t>Billet: Owando-Brazaville/Crepin</t>
  </si>
  <si>
    <t>Billet: Brazzaville-Dolisie/Crépin</t>
  </si>
  <si>
    <t>CREPIN - CONGO Ration  du 17/03/ au 05/04/2025 à Dolisie(19 Nuitées)</t>
  </si>
  <si>
    <t>CR-M-D2</t>
  </si>
  <si>
    <t>CREPIN - CONGO  Frais d'hôtel à Dolisie du 17 au 19/03/2025, 02 Nuitées</t>
  </si>
  <si>
    <t>Raffraichissement et plats pendant l'attente de l'opération</t>
  </si>
  <si>
    <t>Bonus de 18 gendarmes pour l'opération du 22/03/2025 à Dolisie</t>
  </si>
  <si>
    <t>Bonus de 02 EF pour l'opération du 22/03/2025 à Dolisie</t>
  </si>
  <si>
    <t>Bonus pour 12 Policiers ayant effectué le transferèment de Moussa Grâce de Mossendjo à Dolisie</t>
  </si>
  <si>
    <t>Ration pour 12 policiers moyennant 5000 par policier ayant effectué le transferèment de Mossendjo à Dolisie</t>
  </si>
  <si>
    <t>Carburant aller de la BJ Mossendjo-Dolisie pour le transferèment</t>
  </si>
  <si>
    <t>Carburant retour de la BJ Dolisie-Mossendjo apès le transferèment</t>
  </si>
  <si>
    <t>Cumul frais de transport local du mois de Mars 2025/CREPIN</t>
  </si>
  <si>
    <t>M-M-D1</t>
  </si>
  <si>
    <t>BQ-M-R30</t>
  </si>
  <si>
    <t>BQ-M-R32</t>
  </si>
  <si>
    <t>BQ-M-R33</t>
  </si>
  <si>
    <t>BQ-M-R34</t>
  </si>
  <si>
    <t>BQ-M-R35</t>
  </si>
  <si>
    <t>BQ-M-R36</t>
  </si>
  <si>
    <t>UE</t>
  </si>
  <si>
    <t>OAT</t>
  </si>
  <si>
    <t>CR-M-R1</t>
  </si>
  <si>
    <t>CR-M-R2</t>
  </si>
  <si>
    <t>CR-M-R3</t>
  </si>
  <si>
    <t>CR-M-R4</t>
  </si>
  <si>
    <t>CR-M-R5</t>
  </si>
  <si>
    <t>CR-M-R6</t>
  </si>
  <si>
    <t>CR-M-R7</t>
  </si>
  <si>
    <t>CR-M-R8</t>
  </si>
  <si>
    <t>CR-M-R9</t>
  </si>
  <si>
    <t>CR-M-R10</t>
  </si>
  <si>
    <t>CR-M-R11</t>
  </si>
  <si>
    <t>CR-M-R12</t>
  </si>
  <si>
    <t>CR-M-D3</t>
  </si>
  <si>
    <t>Achat eau mineral 16 Litres/Bureau</t>
  </si>
  <si>
    <t>Reparation de court -circuit électrique du bureau</t>
  </si>
  <si>
    <t xml:space="preserve">Achat 10 ampoules pour le bureau </t>
  </si>
  <si>
    <t xml:space="preserve">Bonus à un informateur en RDC </t>
  </si>
  <si>
    <t xml:space="preserve">ROMAIN-CONGO Ration du 04 au 08/03/2025 à Owando (04 Nuitées) </t>
  </si>
  <si>
    <t>ROMAIN - CONGO Frais d'hotel du 25/02/au 08/03/2025 à Owando</t>
  </si>
  <si>
    <t>Billet Brazzaville-Dolisie/Abraham</t>
  </si>
  <si>
    <t xml:space="preserve">Achat billet Brazzaville-Dolisie/Evariste </t>
  </si>
  <si>
    <t xml:space="preserve">Frais de transport mission maitre Marie Helène à Owando du 19 au 22/03/2025 suivi audience cas EBI </t>
  </si>
  <si>
    <t xml:space="preserve">Ration et Frais d'hôtel  mission maitre Marie Helène à Owando du 19 au 22/03/2025 suivi audience cas EBI </t>
  </si>
  <si>
    <t>Frais de transport mission à Dolisie de maitre BANZOUZI Alain du 25/03/ au 05/04/2025 suivi audience</t>
  </si>
  <si>
    <t xml:space="preserve">Cumul frais de transport local du mois de Mars  2025 /Evariste </t>
  </si>
  <si>
    <t xml:space="preserve">Billet SIBITI- Nkayi/Romain </t>
  </si>
  <si>
    <t>Cumul frais de transfert local du mois de Mars 2025/Parfaite</t>
  </si>
  <si>
    <t xml:space="preserve">Cumul frais de transport local du mois de Mars 2025/Roderlin </t>
  </si>
  <si>
    <t xml:space="preserve">Cumul trust building du mois de Mars 2025/G12 </t>
  </si>
  <si>
    <t xml:space="preserve">Achat produit d'entretien lait,sucre,javel,papier toilette,sucre,café/Bureau PALF </t>
  </si>
  <si>
    <t>Office Materials</t>
  </si>
  <si>
    <t>Règlement loyer du mois d'Avril 2025/DOVI/Coordinateur PALF</t>
  </si>
  <si>
    <t>DH-A-R1</t>
  </si>
  <si>
    <t>Cumul frais de transport local du mois d'Avril 2025/DOVI</t>
  </si>
  <si>
    <t>DH-A-D1</t>
  </si>
  <si>
    <t>CREPIN -CONGO Fais l'hôtel du 22/03/ au 05/04/2025 à Dolisie (14 nuitées)</t>
  </si>
  <si>
    <t>CR-A-R1</t>
  </si>
  <si>
    <t>Achat billet Dolisie-Brazzaville/Crépin</t>
  </si>
  <si>
    <t>CR-A-R2</t>
  </si>
  <si>
    <t>Achat billet Brazzaville-Madingou/Crépin</t>
  </si>
  <si>
    <t>CR-A-R3</t>
  </si>
  <si>
    <t>CREPIN-CONGO Ration du 11 au 18/04/2025 à Madingou</t>
  </si>
  <si>
    <t>CR-A-D1</t>
  </si>
  <si>
    <t>CREPIN-CONGO Frais l'hôtel  du 11 au 13/04/2025 à Madingou(02 Nuitées)</t>
  </si>
  <si>
    <t>CR-A-R4</t>
  </si>
  <si>
    <t>Achat billet Madingou-Brazzaville/Crepin</t>
  </si>
  <si>
    <t>CR-A-R5</t>
  </si>
  <si>
    <t>CR-A-D2</t>
  </si>
  <si>
    <t>Cumul frais de transport local du mois d'Avril 2025/Crépin</t>
  </si>
  <si>
    <t>CA-A-R10</t>
  </si>
  <si>
    <t>CA-A-R33</t>
  </si>
  <si>
    <t>CA-A-R39</t>
  </si>
  <si>
    <t>Frais de nettoyage caniveau bureau PALF</t>
  </si>
  <si>
    <t>CA-A-D15</t>
  </si>
  <si>
    <t>Achat credit  teléphonique MTN/PALF/Première partie du mois d'Avril 2025/Management</t>
  </si>
  <si>
    <t>CA-A-R3</t>
  </si>
  <si>
    <t>Achat credit  teléphonique MTN/PALF/Première partie du mois d'Avril 2025/Legal</t>
  </si>
  <si>
    <t>CA-A-R4</t>
  </si>
  <si>
    <t>Achat credit  teléphonique MTN/PALF/Première partie du mois d'Avril 2025/Investigation</t>
  </si>
  <si>
    <t>CA-A-R5</t>
  </si>
  <si>
    <t>Achat credit  teléphonique MTN/PALF/Première partie du mois d'Avril 2025/Media</t>
  </si>
  <si>
    <t>CA-A-R6</t>
  </si>
  <si>
    <t>Achat credit  teléphonique Airtel/PALF/Première partie du mois d'Avril 2025/Legal</t>
  </si>
  <si>
    <t>CA-A-R7</t>
  </si>
  <si>
    <t>Achat credit  teléphonique Airtel/PALF/Première partie du mois d'Avril 2025/Investigation</t>
  </si>
  <si>
    <t>CA-A-R8</t>
  </si>
  <si>
    <t>Achat credit  teléphonique Airtel/PALF/Première partie du mois d'Avril 2025/Media</t>
  </si>
  <si>
    <t>CA-A-R9</t>
  </si>
  <si>
    <t>Bonus du mois de Mars 2025/Crepin</t>
  </si>
  <si>
    <t>CA-A-D2</t>
  </si>
  <si>
    <t>Bonus operation du 22/03/2025 à Dolisie/Crepin</t>
  </si>
  <si>
    <t>CA-A-D3</t>
  </si>
  <si>
    <t>Bonus du mois de Mars 2025/Parfaite</t>
  </si>
  <si>
    <t>CA-A-D4</t>
  </si>
  <si>
    <t>Bonus du mois de Mars 2025/Romain</t>
  </si>
  <si>
    <t>CA-A-D5</t>
  </si>
  <si>
    <t>Bonus du mois de Mars 2025/Donal-Roméo</t>
  </si>
  <si>
    <t>CA-A-D6</t>
  </si>
  <si>
    <t>Bonus du mois de Mars 2025/Abraham</t>
  </si>
  <si>
    <t>CA-A-D7</t>
  </si>
  <si>
    <t>Bonus du mois de Mars 2025/Roderlin</t>
  </si>
  <si>
    <t>CA-A-D8</t>
  </si>
  <si>
    <t>Bonus du mois de Mars 2025/Evariste</t>
  </si>
  <si>
    <t>CA-A-D9</t>
  </si>
  <si>
    <t>Bonus opération du 22/03/2025 à Dolisie/Donald-Roméo</t>
  </si>
  <si>
    <t>CA-A-D10</t>
  </si>
  <si>
    <t>Bonus opération du 22/03/2025 à Dolisie/Romain</t>
  </si>
  <si>
    <t>CA-A-D11</t>
  </si>
  <si>
    <t>Bonus opération du 22/03/2025 à Dolisie/Abraham</t>
  </si>
  <si>
    <t>CA-A-D12</t>
  </si>
  <si>
    <t>Bonus opération du 22/03/2025 à Dolisie/Evariste</t>
  </si>
  <si>
    <t>CA-A-D13</t>
  </si>
  <si>
    <t>Bonus du mois de Mars 2025/Merveille</t>
  </si>
  <si>
    <t>CA-A-D14</t>
  </si>
  <si>
    <t>CA-A-R18</t>
  </si>
  <si>
    <t>Règlement facture d'eau du mois de Janv, Fév, Mars, Avril  2025 bureau PALF</t>
  </si>
  <si>
    <t>CA-A-R24</t>
  </si>
  <si>
    <t>CA-A-R25</t>
  </si>
  <si>
    <t>Achat credit  teléphonique MTN/PALF/Deuxième partie du mois d'Avril2025/Management</t>
  </si>
  <si>
    <t>CA-A-R26</t>
  </si>
  <si>
    <t>Achat credit  teléphonique MTN/PALF/Deuxième partie du mois d'Avril 2025/Legal</t>
  </si>
  <si>
    <t>CA-A-R27</t>
  </si>
  <si>
    <t>Achat credit  teléphonique MTN/PALF/Deuxième partie du mois d'Avril 2025/Investigation</t>
  </si>
  <si>
    <t>CA-A-R28</t>
  </si>
  <si>
    <t>Achat credit  teléphonique MTN/PALF/deuxième partie du mois d'Avril 2025/Media</t>
  </si>
  <si>
    <t>CA-A-R29</t>
  </si>
  <si>
    <t>Achat credit  teléphonique Airtel/PALF/Deuxième partie du mois d'Avril 2025/Legal</t>
  </si>
  <si>
    <t>CA-A-R30</t>
  </si>
  <si>
    <t>Achat credit  teléphonique Airtel/PALF/Deuxième partie du mois d'Avril 2025/Investigation</t>
  </si>
  <si>
    <t>CA-A-R31</t>
  </si>
  <si>
    <t>Frais de carte de travail Donald-roméo</t>
  </si>
  <si>
    <t>CA-A-R36</t>
  </si>
  <si>
    <t xml:space="preserve"> frais de ramassage Ordure Avril 2025</t>
  </si>
  <si>
    <t>CA-A-R38</t>
  </si>
  <si>
    <t xml:space="preserve"> Frais de prestation de nettoyage jardin PALF Avril 2025</t>
  </si>
  <si>
    <t>CA-A-R45</t>
  </si>
  <si>
    <t>CA-A-R46</t>
  </si>
  <si>
    <t>Cumul frais de transport local du mois d'Avril 2025/ Parfaite</t>
  </si>
  <si>
    <t>P-A-D1</t>
  </si>
  <si>
    <t>Reglement facture internet periode du 01/05 au 31/05/2025 bureau PALF</t>
  </si>
  <si>
    <t>CA-A-R48</t>
  </si>
  <si>
    <t>Team building à l'occassion du 1er Mai 2025</t>
  </si>
  <si>
    <t>CA-A-R49</t>
  </si>
  <si>
    <t>T73-A-R1</t>
  </si>
  <si>
    <t>T73-A-R2</t>
  </si>
  <si>
    <t>T73-A-D1</t>
  </si>
  <si>
    <t>T73-A-R3</t>
  </si>
  <si>
    <t>T73-A-R4</t>
  </si>
  <si>
    <t>T73-A-R5</t>
  </si>
  <si>
    <t>T73-A-R6</t>
  </si>
  <si>
    <t>T73-A-R7</t>
  </si>
  <si>
    <t>T73-A-R8</t>
  </si>
  <si>
    <t>Cumul frais de trust building du mois d'Avril 2025/T73</t>
  </si>
  <si>
    <t>T73-A-D2</t>
  </si>
  <si>
    <t>Cumul frais de transport local du mois d'Avril 2025/T73</t>
  </si>
  <si>
    <t>T73-A-D3</t>
  </si>
  <si>
    <t>IT87-A-R1</t>
  </si>
  <si>
    <t>IT87-A-D1</t>
  </si>
  <si>
    <t>Cumul frais de trust building du mois d'Avril 2025/IT87</t>
  </si>
  <si>
    <t>IT87-A-D2</t>
  </si>
  <si>
    <t>IT87-A-R2</t>
  </si>
  <si>
    <t>IT87-A-R3</t>
  </si>
  <si>
    <t>Cumul frais de transport local du mois d'Avril 2025/IT87</t>
  </si>
  <si>
    <t>IT87-A-D3</t>
  </si>
  <si>
    <t>Paiement  frais d'inscription et mensuel de la formation en informatique</t>
  </si>
  <si>
    <t>G12-A-R1</t>
  </si>
  <si>
    <t>G12-A-R2</t>
  </si>
  <si>
    <t>G12-A-D1</t>
  </si>
  <si>
    <t>G12-A-R3</t>
  </si>
  <si>
    <t>G12-A-R4</t>
  </si>
  <si>
    <t>G12-A-R5</t>
  </si>
  <si>
    <t>G12-A-R6</t>
  </si>
  <si>
    <t>G12-A-R7</t>
  </si>
  <si>
    <t>G12-A-R8</t>
  </si>
  <si>
    <t>G12-A-R9</t>
  </si>
  <si>
    <t>G12-A-R10</t>
  </si>
  <si>
    <t>Frais de transfert d'argent à crépin, Evarste,  romain, roderlin et donald-roméo</t>
  </si>
  <si>
    <t>CA-A-R32</t>
  </si>
  <si>
    <t>Cumul frais de trust building du mois d'Avril 2025/G12</t>
  </si>
  <si>
    <t>G12-A-D2</t>
  </si>
  <si>
    <t>Cumul frais de transport local du mois d'Avril 2025/G12</t>
  </si>
  <si>
    <t>G12-A-D3</t>
  </si>
  <si>
    <t>Achat billet Brazzaville-Pointe Noire/Romain</t>
  </si>
  <si>
    <t>RM-A-R1</t>
  </si>
  <si>
    <t>RM-A-D1</t>
  </si>
  <si>
    <t>Cumul frais de jail visit du mois d'Avril 2025/Romain</t>
  </si>
  <si>
    <t>RM-A-D2</t>
  </si>
  <si>
    <t>Achat  billet Pointe Noire-Madingou/Romain</t>
  </si>
  <si>
    <t>RM-A-R2</t>
  </si>
  <si>
    <t>RM-A-R3</t>
  </si>
  <si>
    <t>Achat billet Madingou-Brazzaville/Romain</t>
  </si>
  <si>
    <t>RM-A-R4</t>
  </si>
  <si>
    <t>RM-A-R5</t>
  </si>
  <si>
    <t>Cumul frais de transport local du mois d'Avril 2025/Romain</t>
  </si>
  <si>
    <t>RM-A-D3</t>
  </si>
  <si>
    <t>Achat billet Brazzaville-Owando/Abraham</t>
  </si>
  <si>
    <t>AB-A-R1</t>
  </si>
  <si>
    <t xml:space="preserve">ABRAHAM - CONGO Ration du 16 au 18/04/2025 à Owando (02 Nuitées) </t>
  </si>
  <si>
    <t>AB-A-D1</t>
  </si>
  <si>
    <t>Achat billet Owando-Brazzaville/Abraham</t>
  </si>
  <si>
    <t>AB-A-R2</t>
  </si>
  <si>
    <t>ABRAHAM - CONGO Frais d'Hôtel du 16 au 17/04/2025 à Owando (02 Nuitées)</t>
  </si>
  <si>
    <t>AB-A-R3</t>
  </si>
  <si>
    <t>Cumul frais de transport local du mois d'Avril 2025/Abraham</t>
  </si>
  <si>
    <t>AB-A-D2</t>
  </si>
  <si>
    <t>CA-A-R13</t>
  </si>
  <si>
    <t>Frais de transport mission Maitre Alain à Sibiti du 10 au 12/04/2025</t>
  </si>
  <si>
    <t>CA-A-R14</t>
  </si>
  <si>
    <t>CA-A-R15</t>
  </si>
  <si>
    <t>Frais de transfert d'argent à Romain, Donald, Roderlin,  P29 et IT87</t>
  </si>
  <si>
    <t>CA-A-R17</t>
  </si>
  <si>
    <t>Frais de transfert d'argent à Crépin, Evarste,  P29 et IT87</t>
  </si>
  <si>
    <t>CA-A-R19</t>
  </si>
  <si>
    <t>Frais de transport mission Maitre Alain à Owando du 16 au 18/04/2025</t>
  </si>
  <si>
    <t>CA-A-R20</t>
  </si>
  <si>
    <t>Ration et frais d'hotel mission maitre Alain à Owando du 16 au 18/04/2025</t>
  </si>
  <si>
    <t>CA-A-R21</t>
  </si>
  <si>
    <t>Frais de transport mission Maitre Hélene à Owando du 16 au 18/04/2025</t>
  </si>
  <si>
    <t>CA-A-R22</t>
  </si>
  <si>
    <t>Ration et frais d'hotel mission maitre Hélene à Owando du 16 au 18/04/2025</t>
  </si>
  <si>
    <t>CA-A-R23</t>
  </si>
  <si>
    <t>CA-A-R35</t>
  </si>
  <si>
    <t>Achat billet Brazzaville-Owando/ Roderlin</t>
  </si>
  <si>
    <t>RO-A-R1</t>
  </si>
  <si>
    <t>Frais de transport mission Maitre Hélene à Owando du 02 au 04/04/2025</t>
  </si>
  <si>
    <t>CA-A-R1</t>
  </si>
  <si>
    <t>Ration et frais d'hotel mission maitre Hélene à Owando du 02au 04/04/2025</t>
  </si>
  <si>
    <t>CA-A-R2</t>
  </si>
  <si>
    <t>RO-A-D1</t>
  </si>
  <si>
    <t>Achat billet Owando- Brazzaville / Roderlin</t>
  </si>
  <si>
    <t>RO-A-R2</t>
  </si>
  <si>
    <t>RO-A-R3</t>
  </si>
  <si>
    <t>CA-A-R11</t>
  </si>
  <si>
    <t>CA-A-R12</t>
  </si>
  <si>
    <t>Achat billet Brazzaville-Loudima / Roderlin</t>
  </si>
  <si>
    <t>RO-A-R4</t>
  </si>
  <si>
    <t>Achat billet Loudima-Sibiti/ Roderlin</t>
  </si>
  <si>
    <t>RO-A-R5</t>
  </si>
  <si>
    <t>RO-A-D2</t>
  </si>
  <si>
    <t>Cumul frais de jail visit du mois d'Avril 2025/Roderlin</t>
  </si>
  <si>
    <t>RO-A-D3</t>
  </si>
  <si>
    <t>RO-A-R6</t>
  </si>
  <si>
    <t>Achat billet Sibiti-Nkayi/ Roderlin</t>
  </si>
  <si>
    <t>RO-A-R7</t>
  </si>
  <si>
    <t>Achat billet Nkayi-Madingou/Roderlin</t>
  </si>
  <si>
    <t>RO-A-R8</t>
  </si>
  <si>
    <t>Achat billet Madingou-Brazzaville/ Roderlin</t>
  </si>
  <si>
    <t>RO-A-R9</t>
  </si>
  <si>
    <t>RO-A-R10</t>
  </si>
  <si>
    <t>CA-A-R34</t>
  </si>
  <si>
    <t>Frais de transport mission Maitre Alain à Owando du 28 au 30/04/2025</t>
  </si>
  <si>
    <t>CA-A-R40</t>
  </si>
  <si>
    <t>Ration et frais d'hotel mission maitre Alain à Owando du 28 au 30/04/2025</t>
  </si>
  <si>
    <t>CA-A-R41</t>
  </si>
  <si>
    <t>Frais de transport mission Maitre Hélene à Owando du 28 au 30/04/2025</t>
  </si>
  <si>
    <t>CA-A-R42</t>
  </si>
  <si>
    <t>Ration et frais d'hotel mission maitre Hélene à Owando du 28 au 30/04/2025</t>
  </si>
  <si>
    <t>CA-A-R43</t>
  </si>
  <si>
    <t>CA-A-R44</t>
  </si>
  <si>
    <t>RO-A-R11</t>
  </si>
  <si>
    <t>RO-A-D4</t>
  </si>
  <si>
    <t>Court fees</t>
  </si>
  <si>
    <t>RO-A-R12</t>
  </si>
  <si>
    <t>RO-A-R13</t>
  </si>
  <si>
    <t>RO-A-R14</t>
  </si>
  <si>
    <t>Cumul frais de transport local du mois d'Avril 2025/Roderlin</t>
  </si>
  <si>
    <t>RO-A-D5</t>
  </si>
  <si>
    <t>Achat billet Dolisie-Brazzaville/ Donald-Roméo</t>
  </si>
  <si>
    <t>DR-A-R1</t>
  </si>
  <si>
    <t>DONALD ROMEO- CONGO Frais d'hôtel  du 17/03/ au 05/04/2025 à Dolisie (19 Nuitées)</t>
  </si>
  <si>
    <t>DR-A-R2</t>
  </si>
  <si>
    <t>Achat billet Brazzaville- Pointe Noire/ Donald-Roméo</t>
  </si>
  <si>
    <t>DR-A-R3</t>
  </si>
  <si>
    <t>DONALD ROMEO-CONGO Ration  du  09 au 18/04/2025 à Pointe-Noire et Madingou</t>
  </si>
  <si>
    <t>DR-A-D1</t>
  </si>
  <si>
    <t>Achat billet Pointe Noire- Madingou/ Donald-Roméo</t>
  </si>
  <si>
    <t>DR-A-R4</t>
  </si>
  <si>
    <t>DONALD ROMEO-CONGO Frais d'hôtel du 09 au 11/04/2025 à Pointe-Noire (02 Nuitées)</t>
  </si>
  <si>
    <t>DR-A-R5</t>
  </si>
  <si>
    <t>Achat billet Madingou-Brazzaville/ Donald-Roméo</t>
  </si>
  <si>
    <t>DR-A-R6</t>
  </si>
  <si>
    <t>DONALD ROMEO- CONGO Frais d'hôtel du  11 au 18/04/2025 à Madingou (07 Nuitées)</t>
  </si>
  <si>
    <t>DR-A-R7</t>
  </si>
  <si>
    <t>Achat billet Brazzaville-Owando/ Donald-Roméo</t>
  </si>
  <si>
    <t>DR-A-R8</t>
  </si>
  <si>
    <t>DONALD ROMEO- CONGO Ration  du  28 au 30/04/2025 à Owando</t>
  </si>
  <si>
    <t>DR-A-D2</t>
  </si>
  <si>
    <t>Achat billet Owando-Brazzaville/ Donald-Roméo</t>
  </si>
  <si>
    <t>DR-A-R9</t>
  </si>
  <si>
    <t>DONALD ROMEO- CONGO Frais d'hôtel du  28 au 30/04/2025 à Owando (02 Nuitées)</t>
  </si>
  <si>
    <t>DR-A-R10</t>
  </si>
  <si>
    <t>Cumul frais de transport local du mois d'Avril 2025/ Donald-Romeo</t>
  </si>
  <si>
    <t>DR-A-D3</t>
  </si>
  <si>
    <t>Achat billet Brazzaville-Madingou/Evariste</t>
  </si>
  <si>
    <t>EV-A-R1</t>
  </si>
  <si>
    <t>EV-A-D1</t>
  </si>
  <si>
    <t>Achat Billet Madingou-Brazzaville/Evariste</t>
  </si>
  <si>
    <t>EV-A-R2</t>
  </si>
  <si>
    <t>EV-A-R3</t>
  </si>
  <si>
    <t>Cumul frais de transport local du mois d'Avril 2025/Evariste</t>
  </si>
  <si>
    <t>EV-A-D2</t>
  </si>
  <si>
    <t>Bonus media portant sur l'interpellation de 2 Présumés trafiquants le 04/04/205 à Dolisie</t>
  </si>
  <si>
    <t>CA-A-D1</t>
  </si>
  <si>
    <t>CA-A-R16</t>
  </si>
  <si>
    <t>CA-A-R37</t>
  </si>
  <si>
    <t xml:space="preserve">Bonus media portant sur l'annonce de l'audience du 29 Avril 2025 au tribunal de gande instance d'Owado </t>
  </si>
  <si>
    <t>CA-A-D16</t>
  </si>
  <si>
    <t>Frais de l'avis de recrutement  investigateurs dans le depeches de Brazzaville</t>
  </si>
  <si>
    <t>CA-A-R47</t>
  </si>
  <si>
    <t>Reason for Difference: Transfert charden farell</t>
  </si>
  <si>
    <t>Paiement Honoraire Me LOCKO/Mois de Mars 2025/3654840</t>
  </si>
  <si>
    <t>Acompte honoraire contrat n°83 Dolisie cas NDOHO et NGOMA/ Maître BANZOUZI Alain/3654850</t>
  </si>
  <si>
    <t>Paiement CNSS premier trimestre/Janvier,Février et Mars 2025/Crepin /3654848</t>
  </si>
  <si>
    <t>Paiement CNSS premier trimestre/Janvier,Février et Mars 2025/Donald-Roméo/3654848</t>
  </si>
  <si>
    <t>Paiement CNSS premier trimestre/Janvier,Février et Mars 2025/Romain/3654848</t>
  </si>
  <si>
    <t>Paiement CNSS premier trimestre/Janvier,Février et Mars 2025/Roderlin/3654848</t>
  </si>
  <si>
    <t>Paiement CNSS premier trimestre/Janvier,Février et Mars 2025/Abraham/3654848</t>
  </si>
  <si>
    <t>Paiement CNSS premier trimestre/Janvier,Février et Mars 2025/Parfaite/3654848</t>
  </si>
  <si>
    <t>Paiement CNSS premier trimestre/Janvier,Février et Mars 2025/Merveille/3654848</t>
  </si>
  <si>
    <t>Paiement CNSS premier trimestre/Janvier,Février et Mars 2025/Evariste/3654848</t>
  </si>
  <si>
    <t>Reglement honoraire du mois d'Avril 2025/IT87/3654843</t>
  </si>
  <si>
    <t>Paiement salaire du mois d'Avril 2025/Crepin IBOUILI-IBOUILI</t>
  </si>
  <si>
    <t>Paiement salaire du mois d'Avril 2025/Evariste LELOUSSI/3654857</t>
  </si>
  <si>
    <t>Paiement salaire du mois d'Avril 2025/PINDI BINGA Donald- Roméo</t>
  </si>
  <si>
    <t>Reglement loyer du mois d'Avril 2025/3654847</t>
  </si>
  <si>
    <t>Reglement honoraire du mois de d'Avril 2025/P29/3654846</t>
  </si>
  <si>
    <t>Reglement honoraire du mois d'Avril 2025/G12/3654859</t>
  </si>
  <si>
    <t>Reglement honoraire du mois d'Avril 2025/T73/365482960</t>
  </si>
  <si>
    <t>RAPATRIEME01100NRAO00010782</t>
  </si>
  <si>
    <t>BQ-A-R1</t>
  </si>
  <si>
    <t>BQ-A-R2</t>
  </si>
  <si>
    <t>BQ-A-R3</t>
  </si>
  <si>
    <t>BQ-A-R4</t>
  </si>
  <si>
    <t>BQ-A-R5</t>
  </si>
  <si>
    <t>BQ-A-R6</t>
  </si>
  <si>
    <t>BQ-A-R7</t>
  </si>
  <si>
    <t>BQ-A-R8</t>
  </si>
  <si>
    <t>BQ-A-R9</t>
  </si>
  <si>
    <t>BQ-A-R10</t>
  </si>
  <si>
    <t>BQ-A-R11</t>
  </si>
  <si>
    <t>BQ-A-R12</t>
  </si>
  <si>
    <t>BQ-A-R13</t>
  </si>
  <si>
    <t>BQ-A-R14</t>
  </si>
  <si>
    <t>BQ-A-R15</t>
  </si>
  <si>
    <t>BQ-A-R16</t>
  </si>
  <si>
    <t>BQ-A-R17</t>
  </si>
  <si>
    <t>BQ-A-R18</t>
  </si>
  <si>
    <t>BQ-A-R19</t>
  </si>
  <si>
    <t>BQ-A-R20</t>
  </si>
  <si>
    <t>BQ-A-R21</t>
  </si>
  <si>
    <t>BQ-A-R22</t>
  </si>
  <si>
    <t>BQ-A-R23</t>
  </si>
  <si>
    <t>BQ-A-R24</t>
  </si>
  <si>
    <t>BQ-A-R25</t>
  </si>
  <si>
    <t>BQ-A-G1</t>
  </si>
  <si>
    <t>Paiement Honoraire Me LOCKO/Mois d'Avril 2025/3654856</t>
  </si>
  <si>
    <t>Paiement salaire du mois d'Avril 2025/LOUNDOU JeanRomain/3654853</t>
  </si>
  <si>
    <t>P29-A-R1</t>
  </si>
  <si>
    <t>P29-A-D1</t>
  </si>
  <si>
    <t>P29-A-R2</t>
  </si>
  <si>
    <t>P29-A-R3</t>
  </si>
  <si>
    <t>P29-A-R4</t>
  </si>
  <si>
    <t>P29-A-R5</t>
  </si>
  <si>
    <t>Cumul frais de frais de transport local du mois d'Avril 2025/P29</t>
  </si>
  <si>
    <t>P29-A-D2</t>
  </si>
  <si>
    <t>Cumul frais de trust building du mois d'Avril 2025/P29</t>
  </si>
  <si>
    <t>P29-A-D3</t>
  </si>
  <si>
    <t>Frais de virement salaire du mois d'avril 2025</t>
  </si>
  <si>
    <t>Ration et frais d'hôtel mission maitre Alain à Sibiti du 10 au 12/04/2025</t>
  </si>
  <si>
    <t>Romain- CONGO  Ration du 09 au 18/04/2025 à Pointe Noire,  Madingou</t>
  </si>
  <si>
    <t>Romain-CONGO Frais  d'Hôtel du 09 au 11/04/2025 à Pointe-Noire (02 nuitées)</t>
  </si>
  <si>
    <t>Romain- CONGO Frais  d'Hôtel du 11 au 18/04//2025 à Madingou  (07 nuités)</t>
  </si>
  <si>
    <t>Evariste-CONGO Ration du 11 au 18 Avril 2025 à Madingou</t>
  </si>
  <si>
    <t>Evariste-CONGO Frais de l'hôtel du 11 au 18 Avril 2025 à Madingou ( 7 nuitées)</t>
  </si>
  <si>
    <t>Frais d'impression sur bâche</t>
  </si>
  <si>
    <t>Déjeûner des agents du PALF</t>
  </si>
  <si>
    <t>Paiement frais de formation mensuel/formation en anglais</t>
  </si>
  <si>
    <t xml:space="preserve">Roderlin-CONGO Ration du 10 au 18/04/2025 à Sibiti et Madingou </t>
  </si>
  <si>
    <t xml:space="preserve">Roderlin-CONGO Ration du 02 au 04/04/2025 à Owando </t>
  </si>
  <si>
    <t>Roderlin-CONGO frais d'hôtel du 02 au 04/04/2025 à Owando (02 nuitées)</t>
  </si>
  <si>
    <t>Roderlin-CONGO frais d'hôtel du 10 au 12/04/2025 à Sibiti (02 nuitées)</t>
  </si>
  <si>
    <t>Roderlin-CONGO frais d'hôtel du 12 au 18/04/2025 à Madingou (06 nuitées)</t>
  </si>
  <si>
    <t>Achat carburant groupe élèctrogène Bureau</t>
  </si>
  <si>
    <t xml:space="preserve">Roderlin-CONGO Ration du 28 au 30/04/2025 à Owando </t>
  </si>
  <si>
    <t>Roderlin-CONGO frais d'hôtel du 28 au 30/04/2025 à Owando (02 nuitées)</t>
  </si>
  <si>
    <t>Paiement salaire du mois d'Avril 2025/Homéfa DOVI/3654855</t>
  </si>
  <si>
    <t>Paiement salaire du mois d'Avril 2025/BAVOUMINA NZOUSSI Dina Parfaite/365854</t>
  </si>
  <si>
    <t>Paiement salaire du mois d'Avril 2025/BOUNGOU MAKOSSO Abraham/3654851</t>
  </si>
  <si>
    <t>Solde  honoraire contrat n°55 Brazzaville cas / Maître MALONGA Marie Hélène/3654844</t>
  </si>
  <si>
    <t>Solde  honoraire contrat n°83 Dolisie cas NDOHO et NGOMA/ Maître BANZOUZI Alain/3654845</t>
  </si>
  <si>
    <t>Frais de la matérialisation de décisions de justice/Frais d'expédition/Paiement de l'acte d'appel</t>
  </si>
  <si>
    <t>Achat billet Owando-Brazzaville/ Roderlin</t>
  </si>
  <si>
    <t>Training</t>
  </si>
  <si>
    <t>Wildcat  2025</t>
  </si>
  <si>
    <t>Crepin</t>
  </si>
  <si>
    <t>phone credit received</t>
  </si>
  <si>
    <t>phone credit bought</t>
  </si>
  <si>
    <t>distributed</t>
  </si>
  <si>
    <t>name</t>
  </si>
  <si>
    <t>balance</t>
  </si>
  <si>
    <t>Date+A1:E38</t>
  </si>
  <si>
    <t>Solde  honoraire contrat n°82 Owando cas NGASSAKI et ELOMBO/ Maître BANZOUZI Alain/3654862</t>
  </si>
  <si>
    <t>Reglement Facture Gardiennage Mois d'Avril 2025/3654863</t>
  </si>
  <si>
    <t>Paiement salaire du mois de Mai 2025/Homéfa DOVI/3654869</t>
  </si>
  <si>
    <t>Paiement salaire du mois de Mai 2025/BAVOUMINA NZOUSSI Dina Parfaite/365873</t>
  </si>
  <si>
    <t>Paiement salaire du mois de Mai 2025/FOUMBA Roderlin/3654872</t>
  </si>
  <si>
    <t>Paiement salaire du mois de Mai 2025/BOUNGOU MAKOSSO Abraham/3654870</t>
  </si>
  <si>
    <t>Paiement salaire du mois de Mai 2025/LOUNDOU JeanRomain/3654871</t>
  </si>
  <si>
    <t>Paiement salaire du mois de Mai 2025/Crepin IBOUILI-IBOUILI</t>
  </si>
  <si>
    <t>Paiement salaire du mois de  Mai 2025/Evariste LELOUSSI</t>
  </si>
  <si>
    <t>Paiement salaire du mois de Mai 2025/PINDI BINGA Donald- Roméo</t>
  </si>
  <si>
    <t>Paiement Honoraire Me LOCKO/Mois de Mai 2025/3654877</t>
  </si>
  <si>
    <t>Reglement honoraire du mois de Mai 2025/G12/3654842</t>
  </si>
  <si>
    <t>RAPATRIEME01100 RAO00010812</t>
  </si>
  <si>
    <t>Paiement salaire du mois d'Avril 2025/FOUMBA Roderlin/36552</t>
  </si>
  <si>
    <t>Reglement loyer du mois de Mars 2025/3654865</t>
  </si>
  <si>
    <t>Frais de virement salaire du mois de Mai 2025/Evariste</t>
  </si>
  <si>
    <t>Frais de virement salaire du mois de Mai 2025/Crepin IBOUILI</t>
  </si>
  <si>
    <t>Frais de virement salaire du mois de Mai 2025/Donald-Roméo</t>
  </si>
  <si>
    <t>Oui</t>
  </si>
  <si>
    <t xml:space="preserve">Frais de transfert d'argent à P29 </t>
  </si>
  <si>
    <t>Frais de transfert d'argent à G12 et T73</t>
  </si>
  <si>
    <t>Frais de transport mission Maitre Alain à Dolisie du 07 au 10/05/2025</t>
  </si>
  <si>
    <t>Ration et frais d'hotel mission maitre Alain à Dolisie du 07 au 10/05/2025</t>
  </si>
  <si>
    <t>Frais de transfert d'argent à Donald-Roméo ,Me Alain et  Romain</t>
  </si>
  <si>
    <t>Réglement facture électricité periode Mars-Avril 2025/bureau PALF</t>
  </si>
  <si>
    <t>Entretien palmier bureau PALF</t>
  </si>
  <si>
    <t>Frais de tansfert d'argent à P29, T73, G12, Crépin et Donald roméo</t>
  </si>
  <si>
    <t>Fabricarion de cachet numériquebureau PALF</t>
  </si>
  <si>
    <t>Equipment</t>
  </si>
  <si>
    <t>Bonus du mois d'Avril 2025/Evariste</t>
  </si>
  <si>
    <t>Achat de 04 power Bank 20000mAh</t>
  </si>
  <si>
    <t>Reglement frais de réparation d'ordunateur</t>
  </si>
  <si>
    <t>Frais de tansfert d'argent à IT87</t>
  </si>
  <si>
    <t xml:space="preserve">Frais de tansfert d'argent à Evariste et  P29 </t>
  </si>
  <si>
    <t>Achat encre HP Laser noir et couleur 216A</t>
  </si>
  <si>
    <t>Paiement frais d'impression carte de visite coordinateur</t>
  </si>
  <si>
    <t>Frais de tansfert d'argent à P29 et Evariste</t>
  </si>
  <si>
    <t xml:space="preserve"> Frais de prestation de nettoyage jardin PALF Mai 2025</t>
  </si>
  <si>
    <t>Paiement Certificats d'hébergement  de martina et valentina</t>
  </si>
  <si>
    <t>Travel Expenses</t>
  </si>
  <si>
    <t>Reglement prestation de nettoyage  PALF du mois de Mai 2025</t>
  </si>
  <si>
    <t xml:space="preserve"> frais de ramassage Ordure Mai 2025</t>
  </si>
  <si>
    <t>Reglement facture internet periode du 01/05 au 30/06/2025 bureau PALF</t>
  </si>
  <si>
    <t>Frais de tansfert d'argent à Crepin, Donald-Roméo et Evariste</t>
  </si>
  <si>
    <t>Frais de tansfert d'argent à P29 et T73</t>
  </si>
  <si>
    <t>Frais de transport mission Maitre Alain à Impfondo du 01 au 06/06/2025</t>
  </si>
  <si>
    <t>Ration et frais d'hotel mission maitre Alain à Impfondo du 01 au 06/06/2025</t>
  </si>
  <si>
    <t>Bonus media portant sur l'interpellation de 2 Présumés trafiquants le 29/04/2025 à Owando</t>
  </si>
  <si>
    <t>credit  teléphonique MTN/PALF/Première partie du mois de mai 2025/Investigation</t>
  </si>
  <si>
    <t>credit  teléphonique MTN/PALF/Première partie du mois de Mai 2025/Investigation</t>
  </si>
  <si>
    <t>credit  teléphonique Airtel/PALF/Première partie du mois de mai 2025/Legal</t>
  </si>
  <si>
    <t>credit  teléphonique Airtel/PALF/Première partie du mois de mai 2025/Investigation</t>
  </si>
  <si>
    <t>office</t>
  </si>
  <si>
    <t>credit  teléphonique  du mois de mai 2025/Media</t>
  </si>
  <si>
    <t>credit  teléphonique du mois de Mai 2025/Investigation</t>
  </si>
  <si>
    <t>credit  teléphonique MTN/PALF/ Deuxième partie du mois de mai 2025/Investigation</t>
  </si>
  <si>
    <t>credit  teléphonique MTN/PALF/ Deuxième partie du mois de mai 2025/Legal</t>
  </si>
  <si>
    <t>credit  teléphonique Airtel/PALF/Deuxième  partie du mois de Mail 2025/Legal</t>
  </si>
  <si>
    <t>credit  teléphonique Airtel/PALF/Deuxième partie du mois de mai 2025/Investigation</t>
  </si>
  <si>
    <t>credit  teléphonique MTN/PALF/ Deuxième partie du mois de mai 2025/Management</t>
  </si>
  <si>
    <t>credit  teléphonique MTN/PALF/ Deuxième partie du mois de mai 2025/Office</t>
  </si>
  <si>
    <t>credit  teléphonique MTN/PALF/Première partie du mois de Juin 2025/Investigation</t>
  </si>
  <si>
    <t>credit  teléphonique MTN/PALF/Première partie du mois de JUIN 2025/Legal</t>
  </si>
  <si>
    <t>credit  teléphonique MTN/PALF/Première partie du mois de Juin 2025/Management</t>
  </si>
  <si>
    <t>credit  teléphonique MTN/PALF/Première partie du mois de Juin 2025/Office</t>
  </si>
  <si>
    <t>credit  teléphonique MTN/PALF/Première partie du mois de Mai 2025/Legal</t>
  </si>
  <si>
    <t>credit  teléphonique MTN/PALF/Première partie du mois de Mai 2025/Management</t>
  </si>
  <si>
    <t>credit  teléphonique MTN/PALF/Première partie du mois de Mai 2025/Office</t>
  </si>
  <si>
    <t>credit  teléphonique Airtel/PALF/Première partie du mois de Mai 2025/Legal</t>
  </si>
  <si>
    <t>credit  teléphonique Airtel/PALF/Première partie du mois de Juin 2025/Legal</t>
  </si>
  <si>
    <t>credit  teléphonique Airtel/PALF/Première partie du mois de Juin 2025/Investigation</t>
  </si>
  <si>
    <t>credit  teléphonique Airtel/PALF/Première partie du mois de Juin 2025/Media</t>
  </si>
  <si>
    <t>credit  teléphonique MTN/PALF/Première partie du mois de Juin 2025/Media</t>
  </si>
  <si>
    <t>IT87-MA-R1</t>
  </si>
  <si>
    <t>IT87-MA-D1</t>
  </si>
  <si>
    <t>IT87-MA-R2</t>
  </si>
  <si>
    <t>IT87-MA-R3</t>
  </si>
  <si>
    <t>IT87-MA-R4</t>
  </si>
  <si>
    <t>IT87-MA-R5</t>
  </si>
  <si>
    <t>Cumul frais de trust building du mois de Mai 2025/ IT87</t>
  </si>
  <si>
    <t>IT87-MA-D2</t>
  </si>
  <si>
    <t>IT87-MA-R6</t>
  </si>
  <si>
    <t>IT87-MA-R7</t>
  </si>
  <si>
    <t>IT87-MA-R8</t>
  </si>
  <si>
    <t>IT87-MA-R9</t>
  </si>
  <si>
    <t>Cumul frais de transport local du mois de Mai 2025/ IT87</t>
  </si>
  <si>
    <t>IT87-MA-D3</t>
  </si>
  <si>
    <t>IT87-MA-R10</t>
  </si>
  <si>
    <t>IT87-MA-R11</t>
  </si>
  <si>
    <t>P29-MA-R1</t>
  </si>
  <si>
    <t>P29-MA-D1</t>
  </si>
  <si>
    <t>P29-MA-R2</t>
  </si>
  <si>
    <t>P29-MA-R3</t>
  </si>
  <si>
    <t>P29-MA-R4</t>
  </si>
  <si>
    <t>P29-MA-R5</t>
  </si>
  <si>
    <t>P29-MA-R6</t>
  </si>
  <si>
    <t>P29-MA-R7</t>
  </si>
  <si>
    <t>P29-MA-R8</t>
  </si>
  <si>
    <t>P29-MA-D2</t>
  </si>
  <si>
    <t>P29-MA-R9</t>
  </si>
  <si>
    <t>P29-MA-R10</t>
  </si>
  <si>
    <t>P29-MA-R11</t>
  </si>
  <si>
    <t>P29-MA-R12</t>
  </si>
  <si>
    <t>P29-MA-R13</t>
  </si>
  <si>
    <t>P29-MA-R14</t>
  </si>
  <si>
    <t>Cumul frais de transport local du mois de Mai 2025/P29</t>
  </si>
  <si>
    <t>P29-MA-D3</t>
  </si>
  <si>
    <t>P29-MA-R15</t>
  </si>
  <si>
    <t>Cumul frais de trust building du mois de Mai 2025/P29</t>
  </si>
  <si>
    <t>P29-MA-D4</t>
  </si>
  <si>
    <t>P29-MA-R16</t>
  </si>
  <si>
    <t>P29-MA-R17</t>
  </si>
  <si>
    <t>P29-MA-R18</t>
  </si>
  <si>
    <t>P29-MA-R19</t>
  </si>
  <si>
    <t>P29-MA-R20</t>
  </si>
  <si>
    <t>P29-MA-R21</t>
  </si>
  <si>
    <t>P29-MA-R22</t>
  </si>
  <si>
    <t>P29-MA-R23</t>
  </si>
  <si>
    <t>P29-MA-R24</t>
  </si>
  <si>
    <t>T73-MA-R1</t>
  </si>
  <si>
    <t>T73-MA-D1</t>
  </si>
  <si>
    <t>T73-MA-R2</t>
  </si>
  <si>
    <t>T73-MA-R3</t>
  </si>
  <si>
    <t>T73-MA-R4</t>
  </si>
  <si>
    <t>T73-MA-R5</t>
  </si>
  <si>
    <t>T73-MA-R6</t>
  </si>
  <si>
    <t>T73-MA-R7</t>
  </si>
  <si>
    <t>T73-MA-R8</t>
  </si>
  <si>
    <t>T73-MA-D2</t>
  </si>
  <si>
    <t>T73-MA-R9</t>
  </si>
  <si>
    <t>T73-MA-R10</t>
  </si>
  <si>
    <t>T73-MA-R11</t>
  </si>
  <si>
    <t>Cumul frais de trust building du mois de Mai 2025/T73</t>
  </si>
  <si>
    <t>T73-MA-D3</t>
  </si>
  <si>
    <t>T73-MA-R12</t>
  </si>
  <si>
    <t>T73-MA-R13</t>
  </si>
  <si>
    <t>T73-MA-R14</t>
  </si>
  <si>
    <t>T73-MA-R15</t>
  </si>
  <si>
    <t>T73-MA-R16</t>
  </si>
  <si>
    <t>Cumul frais de transport local du mois de Mai 2025/T73</t>
  </si>
  <si>
    <t>T73-MA-D4</t>
  </si>
  <si>
    <t>T73-MA-R17</t>
  </si>
  <si>
    <t>T73-MA-R18</t>
  </si>
  <si>
    <t>T73-MA-R19</t>
  </si>
  <si>
    <t>G12-MA-R1</t>
  </si>
  <si>
    <t>G12-MA-D1</t>
  </si>
  <si>
    <t>G12-MA-R2</t>
  </si>
  <si>
    <t>G12-MA-R3</t>
  </si>
  <si>
    <t>G12-MA-R4</t>
  </si>
  <si>
    <t>G12-MA-R5</t>
  </si>
  <si>
    <t>G12-MA-R6</t>
  </si>
  <si>
    <t>G12-MA-R7</t>
  </si>
  <si>
    <t>G12-MA-R8</t>
  </si>
  <si>
    <t>G12-MA-R9</t>
  </si>
  <si>
    <t>G12-MA-R10</t>
  </si>
  <si>
    <t>G12-MA-D2</t>
  </si>
  <si>
    <t>G12-MA-R11</t>
  </si>
  <si>
    <t>G12-MA-R12</t>
  </si>
  <si>
    <t>G12-MA-R13</t>
  </si>
  <si>
    <t>G12-MA-R14</t>
  </si>
  <si>
    <t>G12-MA-R15</t>
  </si>
  <si>
    <t>G12-MA-R16</t>
  </si>
  <si>
    <t>G12-MA-R17</t>
  </si>
  <si>
    <t>G12-MA-R18</t>
  </si>
  <si>
    <t>Cumul Frais de trust building du mois de Mai 2025/G12</t>
  </si>
  <si>
    <t>G12-MA-D3</t>
  </si>
  <si>
    <t>Cumul frais de transport local du mois de Mai 2025/G12</t>
  </si>
  <si>
    <t>G12-MA-D4</t>
  </si>
  <si>
    <t>G12-MA-R19</t>
  </si>
  <si>
    <t>G12-MA-R20</t>
  </si>
  <si>
    <t>G12-MA-R21</t>
  </si>
  <si>
    <t>G12-MA-R22</t>
  </si>
  <si>
    <t>DH-MA-R2</t>
  </si>
  <si>
    <t>Règlement loyer/Avril 2025 (Coordinateur)</t>
  </si>
  <si>
    <t>DH-MA-R1</t>
  </si>
  <si>
    <t>DH-MA-R3</t>
  </si>
  <si>
    <t>Cumul frais de transport local du mois de Mai 2025/DOVI</t>
  </si>
  <si>
    <t>DH-MA-D1</t>
  </si>
  <si>
    <t>DH-MA-R4</t>
  </si>
  <si>
    <t>CA-MA-D7</t>
  </si>
  <si>
    <t>CR-MA-R12</t>
  </si>
  <si>
    <t>CR-MA-R13</t>
  </si>
  <si>
    <t>Bonus du mois de Avril 2025/Crépin</t>
  </si>
  <si>
    <t>Achat billet Brazzaville-Impfondo/ Crepin</t>
  </si>
  <si>
    <t>CR-MA-R1</t>
  </si>
  <si>
    <t>CREPIN-CONGO Ration  du 15/05/ au 04/06/2025 à Ouesso et Impfondo</t>
  </si>
  <si>
    <t>CR-MA-D1</t>
  </si>
  <si>
    <t>CR-MA-R14</t>
  </si>
  <si>
    <t>CR-MA-R15</t>
  </si>
  <si>
    <t xml:space="preserve"> CREPIN-CONGO Frais d'hotel  à Ouesso du 15 au 16/05/2025 (01 Nuitée)</t>
  </si>
  <si>
    <t>CR-MA-R2</t>
  </si>
  <si>
    <t>CREPIN-CONGO Frais d'hôtel  du 16 au 26/05/2025 à Impfondo (10 Nuites)/Crepin</t>
  </si>
  <si>
    <t>CR-MA-R3</t>
  </si>
  <si>
    <t>Raffraichissements pendant l'attente de l'opération avec 04 gendarmes en civile</t>
  </si>
  <si>
    <t>CR-MA-R4</t>
  </si>
  <si>
    <t>Raffraichissement pendant la mission sur EPENA</t>
  </si>
  <si>
    <t>CR-MA-R5</t>
  </si>
  <si>
    <t>Ration pendant la mission sur EPENA  avec 10 gendarmes, Evariste et Roméo</t>
  </si>
  <si>
    <t>CR-MA-R6</t>
  </si>
  <si>
    <t>Achat de 100 litres de carburant aller et retour Impfondo-EPENA</t>
  </si>
  <si>
    <t>Bonus pour 03 gendarmes d'EPENA ayant aidé pour l'interpellation de Parfait</t>
  </si>
  <si>
    <t>Bonus de 16 gendarmes ayant participé à l'opération d'Impfondo, le 27/05/2025</t>
  </si>
  <si>
    <t>CR-MA-R9</t>
  </si>
  <si>
    <t>Bonus de 10 gendarmes ayant effectué la mission d'EPENA le 27/05/2025</t>
  </si>
  <si>
    <t>CR-MA-R10</t>
  </si>
  <si>
    <t>Bonus de 02 EF pour l'opération du 27/05/2025 à Impfondo</t>
  </si>
  <si>
    <t>CR-MA-R11</t>
  </si>
  <si>
    <t xml:space="preserve">Cumul frais de transport local du mois de Mai 2025/Crepin </t>
  </si>
  <si>
    <t>CR-MA-D2</t>
  </si>
  <si>
    <t>CR-MA-R16</t>
  </si>
  <si>
    <t>CR-MA-R17</t>
  </si>
  <si>
    <t>CA-MA-R1</t>
  </si>
  <si>
    <t>CA-MA-D2</t>
  </si>
  <si>
    <t>CA-MA-R5</t>
  </si>
  <si>
    <t>CA-MA-R14</t>
  </si>
  <si>
    <t>CA-MA-R15</t>
  </si>
  <si>
    <t>CA-MA-R16</t>
  </si>
  <si>
    <t>CA-MA-R17</t>
  </si>
  <si>
    <t>CA-MA-R19</t>
  </si>
  <si>
    <t>CA-MA-R21</t>
  </si>
  <si>
    <t>CA-MA-R22</t>
  </si>
  <si>
    <t>CA-MA-R25</t>
  </si>
  <si>
    <t>CA-MA-R26</t>
  </si>
  <si>
    <t>CA-MA-R27</t>
  </si>
  <si>
    <t>CA-MA-R29</t>
  </si>
  <si>
    <t>Bonus du mois d'Avril 2025/Parfaite</t>
  </si>
  <si>
    <t>P-MA-R1</t>
  </si>
  <si>
    <t>P-MA-R2</t>
  </si>
  <si>
    <t>Cumul frais de transport local du mois de Mai 2025/ Parfaite</t>
  </si>
  <si>
    <t>P-MA-D1</t>
  </si>
  <si>
    <t>P-MA-R3</t>
  </si>
  <si>
    <t>CA-MA-R2</t>
  </si>
  <si>
    <t>CA-MA-D5</t>
  </si>
  <si>
    <t>CA-MA-R8</t>
  </si>
  <si>
    <t>CA-MA-R10</t>
  </si>
  <si>
    <t>CA-MA-R18</t>
  </si>
  <si>
    <t>CA-MA-R24</t>
  </si>
  <si>
    <t>CA-MA-R28</t>
  </si>
  <si>
    <t>AB-MA-R3</t>
  </si>
  <si>
    <t>AB-MA-R4</t>
  </si>
  <si>
    <t>AB-MA-R5</t>
  </si>
  <si>
    <t>AB-MA-R6</t>
  </si>
  <si>
    <t>Achat billet Brazzaville-Dolisie/Abraham</t>
  </si>
  <si>
    <t>AB-MA-R1</t>
  </si>
  <si>
    <t>ABRAHAM - CONGO Ration du 21 au 23/05/2025 à Dolisie (02 Nuitées)</t>
  </si>
  <si>
    <t>AB-MA-D1</t>
  </si>
  <si>
    <t>Achat billet Dolisie-Brazzaville /Abraham</t>
  </si>
  <si>
    <t>AB-MA-R2</t>
  </si>
  <si>
    <t>Cumul frais de Jail visits du mois de Mai 2025/ Abraham</t>
  </si>
  <si>
    <t>AB-MA-D2</t>
  </si>
  <si>
    <t>ABRAHAM - CONGO frais d'Hôtel  du 21 au 23/05/2025 à Dolisie (02 Nuitées)</t>
  </si>
  <si>
    <t>AB-MA-R7</t>
  </si>
  <si>
    <t>AB-MA-R8</t>
  </si>
  <si>
    <t>Cumul frais de transport local du mois de Mai 2025/ Abraham</t>
  </si>
  <si>
    <t>AB-MA-D3</t>
  </si>
  <si>
    <t>CA-MA-D3</t>
  </si>
  <si>
    <t>CA-MA-R11</t>
  </si>
  <si>
    <t>CA-MA-R20</t>
  </si>
  <si>
    <t>Bonus du mois d'Avril 2025/Romain</t>
  </si>
  <si>
    <t>CA-MA-D6</t>
  </si>
  <si>
    <t>CA-MA-R6</t>
  </si>
  <si>
    <t>CA-MA-R7</t>
  </si>
  <si>
    <t>CA-MA-R23</t>
  </si>
  <si>
    <t>RO-MA-R6</t>
  </si>
  <si>
    <t>RO-MA-R7</t>
  </si>
  <si>
    <t>Achat billet Brazzaville-Loudima/ Roderlin</t>
  </si>
  <si>
    <t>RO-MA-R1</t>
  </si>
  <si>
    <t>RO-MA-R2</t>
  </si>
  <si>
    <t>RODERLIN-CONGO Ration du 21 au 23/05/2025 à Sibiti (02 nuitées)</t>
  </si>
  <si>
    <t>RO-MA-D1</t>
  </si>
  <si>
    <t>Cumul Frais de Jail visits du mois de Mai 2025/Roderlin</t>
  </si>
  <si>
    <t>RO-MA-D2</t>
  </si>
  <si>
    <t>RODERLIN-CONGO frais d'hôtel du 21 au 23/05/2025 à Sibiti (02 nuitées)</t>
  </si>
  <si>
    <t>RO-MA-R3</t>
  </si>
  <si>
    <t>RO-MA-R4</t>
  </si>
  <si>
    <t>Achat billet Nkayi-Brazzaville/ Roderlin</t>
  </si>
  <si>
    <t>RO-MA-R5</t>
  </si>
  <si>
    <t>Cumul Frais de transport local  du mois de Mai 2025/Roderlin</t>
  </si>
  <si>
    <t>RO-MA-D3</t>
  </si>
  <si>
    <t>RO-MA-R8</t>
  </si>
  <si>
    <t>DR-MA-R9</t>
  </si>
  <si>
    <t>DR-MA-R1</t>
  </si>
  <si>
    <t>DONALD-ROMEO/ CONGO Ration  du  07 au 10/05/2025 à Dolisie</t>
  </si>
  <si>
    <t>DR-MA-D1</t>
  </si>
  <si>
    <t>Achat billet Dolisie-Brazzaville/Donald-Roméo</t>
  </si>
  <si>
    <t>DR-MA-R2</t>
  </si>
  <si>
    <t>DONALD-ROMEO/CONGO Frais d'hôtel du 07 au 10/05/2025 à Dolisie (03 Nuitées)</t>
  </si>
  <si>
    <t>DR-MA-R3</t>
  </si>
  <si>
    <t>Achat billet Brazzaville-Impfondo/Donald-Roméo</t>
  </si>
  <si>
    <t>DR-MA-R4</t>
  </si>
  <si>
    <t>DONALD-ROMEO/CONGO Ration  du  15/05 au 04/06/2025 à Ouesso/ Impfondo</t>
  </si>
  <si>
    <t>DR-MA-D2</t>
  </si>
  <si>
    <t>DR-MA-R10</t>
  </si>
  <si>
    <t>Frais d'hôtel/  01 Nuitée du 15 au 16/05/2025 à Ouesso (Hôtel  Divine)</t>
  </si>
  <si>
    <t>DR-MA-R5</t>
  </si>
  <si>
    <t>Frais d'impression de la photo et du mandat</t>
  </si>
  <si>
    <t>Court Fees</t>
  </si>
  <si>
    <t>DR-MA-R6</t>
  </si>
  <si>
    <t>DR-MA-R7</t>
  </si>
  <si>
    <t>Raffraichissement OP  à Impfondo/10  gendarmes et moi</t>
  </si>
  <si>
    <t>DR-MA-R8</t>
  </si>
  <si>
    <t>DR-MA-R11</t>
  </si>
  <si>
    <t>cumul frais de Jail visits du mois de Mai 2025/Donald-Romeo</t>
  </si>
  <si>
    <t>DR-MA-D3</t>
  </si>
  <si>
    <t>Cumul frais de transport local du mois de Mai 2025/Donald-Romeo</t>
  </si>
  <si>
    <t>DR-MA-D4</t>
  </si>
  <si>
    <t>COMPTA Romain-Juriste</t>
  </si>
  <si>
    <t>COMPTA Donald-Roméo - Juriste</t>
  </si>
  <si>
    <t>CA-MA-D1</t>
  </si>
  <si>
    <t>CA-MA-D8</t>
  </si>
  <si>
    <t>Achat Billet Brazzaville-Impfondo/ Evariste</t>
  </si>
  <si>
    <t>EV-MA-R1</t>
  </si>
  <si>
    <t>EVARISTE-CONGO Ration du 22 mai au 04 juin 2025 à d'Impfondo ( 13 nuitées )</t>
  </si>
  <si>
    <t>EV-MA-D1</t>
  </si>
  <si>
    <t>EVARISTE-CONGO Frais de l'hôtel à Ouesso du 22 au 23 mai 2025 (Une nuitée)</t>
  </si>
  <si>
    <t>EV-MA-R2</t>
  </si>
  <si>
    <t xml:space="preserve">EVARISTE-CONGO Frais  d'hôtel  du 23 au 24 mai 2025 à Enyellé (Une nuitée) </t>
  </si>
  <si>
    <t>EV-MA-R3</t>
  </si>
  <si>
    <t>EV-MA-R4</t>
  </si>
  <si>
    <t>Cumul frais de transport local du mois de Mai 2025/ Evariste</t>
  </si>
  <si>
    <t>EV-MA-D2</t>
  </si>
  <si>
    <t>EV-MA-R5</t>
  </si>
  <si>
    <t>EV-MA-R6</t>
  </si>
  <si>
    <t>EV-MA-R7</t>
  </si>
  <si>
    <t>CA-MA-R30</t>
  </si>
  <si>
    <t>CA-MA-R31</t>
  </si>
  <si>
    <t>CA-MA-R3</t>
  </si>
  <si>
    <t>CA-MA-R12</t>
  </si>
  <si>
    <t>CA-MA-R13</t>
  </si>
  <si>
    <t>CA-MA-R4</t>
  </si>
  <si>
    <t>Bonus du mois d'Avril 2025/Abraham</t>
  </si>
  <si>
    <t>Frais de transport mission Maitre Alain à Dolisie du 21 au 23/05/2025</t>
  </si>
  <si>
    <t>Ration et frais d'hotel mission maitre Alain à Dolisie du 21 au 23/05/2025</t>
  </si>
  <si>
    <t>RM-MA-R8</t>
  </si>
  <si>
    <t>Achat billet:Brazzaville-Dolisie/ Romain</t>
  </si>
  <si>
    <t>RM-MA-R1</t>
  </si>
  <si>
    <t>ROMAIN-CONGO Ration du 07 au 10/05/2025 à Dolisie</t>
  </si>
  <si>
    <t>RM-MA-D1</t>
  </si>
  <si>
    <t>Frais d'expédition</t>
  </si>
  <si>
    <t>RM-MA-R2</t>
  </si>
  <si>
    <t>Achat billet  Dolisie-Brazzaville/ Romain</t>
  </si>
  <si>
    <t>RM-MA-R3</t>
  </si>
  <si>
    <t>ROMAIN-CONGO Frais d'Hotel du 07 au 10/05/2025 à Dolisie (03nuitées)</t>
  </si>
  <si>
    <t>RM-MA-R4</t>
  </si>
  <si>
    <t>RM-MA-R9</t>
  </si>
  <si>
    <t>Achat billet Brazzaville-Owando/ Romain</t>
  </si>
  <si>
    <t>RM-MA-R5</t>
  </si>
  <si>
    <t>ROMAIN-CONGO  Ration du 21 au 23/05/2025 à Owando</t>
  </si>
  <si>
    <t>RM-MA-D2</t>
  </si>
  <si>
    <t>Achat billet  Owando-Brazzaville/ Romain</t>
  </si>
  <si>
    <t>RM-MA-R6</t>
  </si>
  <si>
    <t>cumul frais de Jail visits du mois de Mai 2025/Romain</t>
  </si>
  <si>
    <t>RM-MA-D3</t>
  </si>
  <si>
    <t>ROMAIN-CONGO Frais d'hotel du 21 au 23 Mai 2025 à Owando (02 Nuitées)</t>
  </si>
  <si>
    <t>RM-MA-R7</t>
  </si>
  <si>
    <t>Cumul frais de transport local du mois de Mai 2025/Romain</t>
  </si>
  <si>
    <t>RM-MA-D4</t>
  </si>
  <si>
    <t>RM-MA-R10</t>
  </si>
  <si>
    <t>CA-MA-D4</t>
  </si>
  <si>
    <t>BQ-MA-R13</t>
  </si>
  <si>
    <t>BQ-MA-R1</t>
  </si>
  <si>
    <t>BQ-MA-R2</t>
  </si>
  <si>
    <t>BQ-MA-R14</t>
  </si>
  <si>
    <t>BQ-MA-R12</t>
  </si>
  <si>
    <t>BQ-MA-G1</t>
  </si>
  <si>
    <t>BQ-MA-R3</t>
  </si>
  <si>
    <t>BQ-MA-R4</t>
  </si>
  <si>
    <t>BQ-MA-R5</t>
  </si>
  <si>
    <t>BQ-MA-R6</t>
  </si>
  <si>
    <t>BQ-MA-R7</t>
  </si>
  <si>
    <t>BQ-MA-R8</t>
  </si>
  <si>
    <t>BQ-MA-R9</t>
  </si>
  <si>
    <t>BQ-MA-R10</t>
  </si>
  <si>
    <t>BQ-MA-R15</t>
  </si>
  <si>
    <t>BQ-MA-R16</t>
  </si>
  <si>
    <t>BQ-MA-R17</t>
  </si>
  <si>
    <t>BQ-MA-R11</t>
  </si>
  <si>
    <t>Bonus du mois de d'avril 2025/Roderlin</t>
  </si>
  <si>
    <t>Bonus du mois d'Avril 2025/Donal-Roméo</t>
  </si>
  <si>
    <t>(vide)</t>
  </si>
  <si>
    <t>Parfaire BAVOUMINA</t>
  </si>
  <si>
    <t>Étiquettes de colonnes</t>
  </si>
  <si>
    <t>Somme de distributed</t>
  </si>
  <si>
    <t>G12-MA-R23</t>
  </si>
  <si>
    <t>CA-MA-R9</t>
  </si>
  <si>
    <t>Reglement prestation de nettoyage  PALF du mois d'Avril 2025</t>
  </si>
  <si>
    <t>Wildcat 2024</t>
  </si>
  <si>
    <t>Wildcat 2025</t>
  </si>
  <si>
    <t>Reglement honoraire du mois de Mai 2025/IT87/3654878</t>
  </si>
  <si>
    <t>Reglement Facture Gardiennage Mois de Mai 2025/3654876</t>
  </si>
  <si>
    <t>Reglement loyer du mois de Mai 2025/3654864</t>
  </si>
  <si>
    <t>Reglement honoraire du mois de de Mai 2025/P29/3654880</t>
  </si>
  <si>
    <t>Reglement honoraire du mois de Mai 2025/T73/3654881</t>
  </si>
  <si>
    <t>Paiement salaire du mois de Mai 2025/LOUNDOU JeanRomain/3654891</t>
  </si>
  <si>
    <t>Acompte honoraire contrat N°84 Impfondo cas MBEKELE, MOUANDOLA et EBOUZI/Maitre Marie Alain BAZOUNZI/ 3654883</t>
  </si>
  <si>
    <t>Solde  honoraire contrat n°78 Sibiti cas BOUTSANA et KAMBOU/ Maître BANZOUZI Alain/3654882</t>
  </si>
  <si>
    <t>Acompte honoraire contrat N°60_Brazzaville cas NZETSI BIMOKO et Consorts/Maitre Marie Hélène NANITELAMIO MALONGA/ 3654884</t>
  </si>
  <si>
    <t>Reglement loyer du mois de Juin 2025/3654885</t>
  </si>
  <si>
    <t>Frais de tansfert d'argent à  Evariste</t>
  </si>
  <si>
    <t>Frais de tansfert d'argent à  Evariste, Crepin, Romain et Donald-Roméo</t>
  </si>
  <si>
    <t>Achat fournitures de bureau marqueurs, chemise cartonée, enveloppe , facturier/Bureau PALF</t>
  </si>
  <si>
    <t>Frais de transport mission Maitre Alain à Impfondo du 01 au 15/06/2025</t>
  </si>
  <si>
    <t>Ration et frais d'hotel mission maitre Alain à Impfondo du 01 au 15/06/2025</t>
  </si>
  <si>
    <t>Frais de tansfert d'argent à Romain et Me Alain</t>
  </si>
  <si>
    <t>Frais de tansfert d'argent à Roderlin</t>
  </si>
  <si>
    <t>Bonus du mois de Mai 2025/Abraham</t>
  </si>
  <si>
    <t>Frais de tansfert d'argent à Crépin et Donald-Roméo</t>
  </si>
  <si>
    <t>Bonus du mois de Mai 2025/Evariste</t>
  </si>
  <si>
    <t>Bonus opération du 27/05/2025 à Impfondo/Evariste</t>
  </si>
  <si>
    <t>Bonus du mois de Mai 2025/Romain</t>
  </si>
  <si>
    <t>CA-J-D6</t>
  </si>
  <si>
    <t>CA-J-D7</t>
  </si>
  <si>
    <t>Achat de 02 petit telephone bureau PALF</t>
  </si>
  <si>
    <t>Bonus du mois de Mai 2025/Parfaite</t>
  </si>
  <si>
    <t>CA-J-D8</t>
  </si>
  <si>
    <t>Frais de tansfert d'argent à Roderlin et Abraham</t>
  </si>
  <si>
    <t>Bonus du mois de Mai 2025/Crepin</t>
  </si>
  <si>
    <t>CA-J-D9</t>
  </si>
  <si>
    <t>Bonus operation du 27/05/2025 à Impfondo/Crepin</t>
  </si>
  <si>
    <t>CA-J-D10</t>
  </si>
  <si>
    <t>Bonus du mois de Mai 2025/Donald-Roméo</t>
  </si>
  <si>
    <t>CA-J-D11</t>
  </si>
  <si>
    <t>Bonus operation du 27/05/2025 à Impfondo/Donald-Roméo</t>
  </si>
  <si>
    <t>CA-J-D12</t>
  </si>
  <si>
    <t>Bonus du mois de Mai 2025/Roderlin</t>
  </si>
  <si>
    <t>CA-J-D13</t>
  </si>
  <si>
    <t>Frais de transport mission Maitre Alain à Dolisie du 18 au 20/06/2025</t>
  </si>
  <si>
    <t>Ration et frais d'hotel mission maitre Alain à Dolisie du 18 au 20/06/2025</t>
  </si>
  <si>
    <t>CA-J-D14</t>
  </si>
  <si>
    <t>Frais de transport mission Maitre Alain à Impfondo du 22 au 29/06/2025</t>
  </si>
  <si>
    <t>Ration et frais d'hotel mission maitre Alain à Impfondo du 22 au 29/06/2025</t>
  </si>
  <si>
    <t>Maintenance groupe electrogène bureau PALF</t>
  </si>
  <si>
    <t>Frais de tansfert d'argent à Donald roméo</t>
  </si>
  <si>
    <t>Rent et Utilities</t>
  </si>
  <si>
    <t>Reglement prestation de nettoyage  PALF du mois de Juin 2025</t>
  </si>
  <si>
    <t>Reglement facture internet periode du 01/07 au 31/07/2025 bureau PALF</t>
  </si>
  <si>
    <t>Règlement Loyer Mai 2025/Coordinateur</t>
  </si>
  <si>
    <t>Credit telephonique MTN PALF/Deuxième partie du mois de Juin 2025/DOVI</t>
  </si>
  <si>
    <t>Cumul frais de transport local du mois de Juin 2025/DOVI</t>
  </si>
  <si>
    <t>CREPIN-CONGO Ration du 04 au 15/06/2025 à Impfondo</t>
  </si>
  <si>
    <t>Achat Billet Impfondo-Brazzaville/ Crepin</t>
  </si>
  <si>
    <t xml:space="preserve"> Crepin-CONGO Frais d'hôtel du 27/05 au 13/06 2025  à Impfondo (17 Nuitées)</t>
  </si>
  <si>
    <t>Crépin-CONGO Frais d'hôtel du 13 au 14/06/2025 à Enyele (01 nuitée)</t>
  </si>
  <si>
    <t>Frais d'Hôtel, Crépin-CONGO Frais d'hôtel du 14 au 15/06/2025 à Oyo (01 Nuitée )</t>
  </si>
  <si>
    <t>Credit teléphonique MTN PALF/Deuxième partie du mois de Juin 2025/Crepin</t>
  </si>
  <si>
    <t>Credit teléphonique AIRTEL PALF/Deuxième partie du mois de Juin 2025/Crepin</t>
  </si>
  <si>
    <t>Cumul frais de transport local du mois de Juin 2025/Crepin</t>
  </si>
  <si>
    <t>Credit teléphonique MTN PALF/Deuxième partie du mois de Juin 2025/ Parfaite</t>
  </si>
  <si>
    <t>P-J-R1</t>
  </si>
  <si>
    <t>Cumul frais de transport local du mois de Juin 2025/Parfaite</t>
  </si>
  <si>
    <t>P-J-D1</t>
  </si>
  <si>
    <t>Frais de ramassage Ordure Juin 2025</t>
  </si>
  <si>
    <t>P19-J-R1</t>
  </si>
  <si>
    <t>P19-J-R2</t>
  </si>
  <si>
    <t>P19-J-R3</t>
  </si>
  <si>
    <t>Credit teléphonique MTN PALF/Deuxième partie du mois de Juin 2025/P29</t>
  </si>
  <si>
    <t>P19-J-R4</t>
  </si>
  <si>
    <t>credit teléphonique AIRTEL PALF/Deuxième partie du mois de Juin 2025/P29</t>
  </si>
  <si>
    <t>P19-J-R5</t>
  </si>
  <si>
    <t>Cumul frais de transport local du mois de Juin  2025/P29</t>
  </si>
  <si>
    <t>Cumul frais de trust builfing du mois de Juin  2025/P29</t>
  </si>
  <si>
    <t>Paiement frais de formation</t>
  </si>
  <si>
    <t>Crédit teléphonique MTN PALF/Deuxième partie du mois de Juin 2025</t>
  </si>
  <si>
    <t>cumul frais de trust building du mois de Juin 2025/T73</t>
  </si>
  <si>
    <t>Cumul frais de transport local du mois de Juin 2025/T73</t>
  </si>
  <si>
    <t>Cumul frais de trust building du mois de Juin 2025/IT87</t>
  </si>
  <si>
    <t>Credit teléphonique MTN PALF / Deuxième partie du mois de Juin 2025/ IT87</t>
  </si>
  <si>
    <t>Cumul frais de transport local du mois de Juin 2025/IT87</t>
  </si>
  <si>
    <t>Credit télephonique MTN PALF/Deuxième partie du mois de Juin 2025/G12</t>
  </si>
  <si>
    <t>Credit télephonique AIRTEL PALF/Deuxième partie du mois de Juin 2025/G12</t>
  </si>
  <si>
    <t>Cumul frais de transport local du mois Juin 2025/G12</t>
  </si>
  <si>
    <t>Achat billet Brazzaville-Loudima/Abraham</t>
  </si>
  <si>
    <t>ABRAHAM - CONGO Ration du 11 au 13/06/2025 à Sibiti (02 Nuitées)</t>
  </si>
  <si>
    <t>Taxi: Loudima-Sibiti</t>
  </si>
  <si>
    <t>ABRAHAM - CONGO frais d'Hôtel (Hôtel Le Papyrus) du 11 au 14/06/2025 à Sibiti (03 Nuitées)</t>
  </si>
  <si>
    <t>Taxi: Sibiti-Nkayi</t>
  </si>
  <si>
    <t>Achat Billet Nkayi-Brazzaville</t>
  </si>
  <si>
    <t>Credit teléphonique MTN PALF/ Deuxième partie du mois de Juin 2025/ Abraham</t>
  </si>
  <si>
    <t>AB-J-R6</t>
  </si>
  <si>
    <t>Credit teléphonique AIRTEL PALF/ Deuxième partie du mois de Juin 2025/ Abraham</t>
  </si>
  <si>
    <t>AB-J-R7</t>
  </si>
  <si>
    <t>AB-J-R8</t>
  </si>
  <si>
    <t>ABRAHAM - CONGO Ration du 18 au 20/06/2025 à Dolisie (02 Nuitées)</t>
  </si>
  <si>
    <t>Cumul frais de Jail visits du mois de Juin 2025/Abraham</t>
  </si>
  <si>
    <t>AB-J-D3</t>
  </si>
  <si>
    <t>ABRAHAM - CONGO Frais d'Hôtel (Hôtel La Gloire) du 18 au 20/06/2025 à Dolisie (02 Nuitées)</t>
  </si>
  <si>
    <t>AB-J-R9</t>
  </si>
  <si>
    <t>Cumul frais de transport local du mois de Juin 2025/ Abraham</t>
  </si>
  <si>
    <t>AB-J-D4</t>
  </si>
  <si>
    <t>Frais de transport mission Maitre Helene du 04 au 06/06/2025 à Owando</t>
  </si>
  <si>
    <t>Ration et frais d'hotel mission maitre Helène du 04 au 06/06/2025 à Owando</t>
  </si>
  <si>
    <t>Achat billet Brazzaville-Owando</t>
  </si>
  <si>
    <t>RODERLIN-CONGO Ration du 04 au 06/06/2025 à Owando (02 nuitées)</t>
  </si>
  <si>
    <t xml:space="preserve">Achat billet Owando- Brazzaville </t>
  </si>
  <si>
    <t xml:space="preserve">Paiement des frais de notification de l'ordonnance de règlement definitif du cas EBI Aimé </t>
  </si>
  <si>
    <t>RODERLIN-CONGO frais d'hôtel du 04 au 06/06/2025 à Owando (02 nuitées)</t>
  </si>
  <si>
    <t>RO-J-R4</t>
  </si>
  <si>
    <t>RO-J-R5</t>
  </si>
  <si>
    <t>Frais de transport mission Maitre Hélene  du 11 au 14/06/2025 à Owando</t>
  </si>
  <si>
    <t>Ration et frais d'hotel mission maitre Hélène du 11 au 14/06/2025 à Owando</t>
  </si>
  <si>
    <t>RODERLIN-CONGO Ration du 11 au 14/06/2025 à Owando (03 nuitées)</t>
  </si>
  <si>
    <t>RO-J-R6</t>
  </si>
  <si>
    <t>RODERLIN-CONGO frais d'hôtel du 11 au 14/06/2025 à Owando (03 nuitées)</t>
  </si>
  <si>
    <t>RO-J-R7</t>
  </si>
  <si>
    <t>Credit teléphonique MTN PALF/Deuxième partie du mois de Juin 2025/Roderlin</t>
  </si>
  <si>
    <t>RO-J-R8</t>
  </si>
  <si>
    <t>RO-J-R9</t>
  </si>
  <si>
    <t>RODERLIN-CONGO Ration du 24 au 26/06/2025 à Owando (02 nuitées)</t>
  </si>
  <si>
    <t>Frais de transport mission Maitre Hélene  du 25 au 27/06/2025 à Owando</t>
  </si>
  <si>
    <t>Ration et frais d'hotel mission maitre Hélène  du 25 au 27/06/2025 à Owando</t>
  </si>
  <si>
    <t>RO-J-R10</t>
  </si>
  <si>
    <t>cumul frais de Jail visits du mois de Juin 2025/Roderlin</t>
  </si>
  <si>
    <t>RO-J-D4</t>
  </si>
  <si>
    <t>RODERLIN-CONGO Frais d'hôtel du 25 au 27/06/2025 à Owando (02 nuitées)</t>
  </si>
  <si>
    <t>RO-J-R11</t>
  </si>
  <si>
    <t>Cumul frais de transport local du mois de Juin 2025/Roderlin</t>
  </si>
  <si>
    <t>RO-J-D5</t>
  </si>
  <si>
    <t>Achat Billet Brazzaville-Impfondo/ Romain</t>
  </si>
  <si>
    <t>ROMAIN-CONGO: Ration du 01 au 08/2025 à Impfondo</t>
  </si>
  <si>
    <t>Romain-CONGO: Frais d'hotel du 01 au 02/06/2025 à Ouesso (01 Nuitée)</t>
  </si>
  <si>
    <t>Romain-CONGO: Frais d'hotel du 02 au 03/06/2025 à Enyele (01 Nuitée)</t>
  </si>
  <si>
    <t>Achat billet Impfondo- Brazzaville/ Romain</t>
  </si>
  <si>
    <t>Romain-CONGO: Frais d'hotel du 03 au 06/06/2025 à Impfondo (03 Nuitée)</t>
  </si>
  <si>
    <t>ROMAIN-CONGO: Frais d'hotel  du 06 au 07/06/2025 à Enyele (01nuitées)</t>
  </si>
  <si>
    <t>RM-J-R6</t>
  </si>
  <si>
    <t>ROMAIN-CONGO: Frais d'hotel  du 07 au 08/06/2025 Gamboma (01nuitées)</t>
  </si>
  <si>
    <t>Cumul frais de transport local du mois de Juin 2025/Romain</t>
  </si>
  <si>
    <t>Prime du 13 eme Mois 2024/Romain</t>
  </si>
  <si>
    <t>Donald-Roméo-CONGO Ration du 04 au 15/06/2025 à Impfondo</t>
  </si>
  <si>
    <t>Achat billet Impfondo-Brazzaville/Donald-Roméo</t>
  </si>
  <si>
    <t>Donald Roméo-CONGO Frais d'hôtel du 16/05 au 13/06/2025 à Impfondo ( 28 Nuitées )</t>
  </si>
  <si>
    <t>Donald Roméo- CONGO Frais d'hôtel du 13 au 14/06/2025 à Enyele ( 01 Nuitée)</t>
  </si>
  <si>
    <t>Donald Roméo- CONGO Frais d'hôtel du 14 au 15/06/2025 à Oyo  01 Nuitée)</t>
  </si>
  <si>
    <t>Credit teléphonique MTN PALF/Dexième partie du mois de Juin 2025/Donald-Roméo</t>
  </si>
  <si>
    <t>DR-J-R6</t>
  </si>
  <si>
    <t>Achat billet Brazzaville-Imfondo/Donald-Roméo</t>
  </si>
  <si>
    <t>DR-J-R7</t>
  </si>
  <si>
    <t>Donald Roméo-CONGO Ration  du  22 au 29/06/2025 à Impfondo</t>
  </si>
  <si>
    <t>Donald Roméo-CONGO Frais d'hôtel du 22 au 23/06/2025 à Ouesso (  01 Nuitée)</t>
  </si>
  <si>
    <t>DR-J-R8</t>
  </si>
  <si>
    <t>Donald Roméo-CONGO Frais d'hôtedu 23 au 24/06/2025 à Enyele (  01 Nuitée)</t>
  </si>
  <si>
    <t>DR-J-R9</t>
  </si>
  <si>
    <t>Cumul frais de Jail visits du mois de Juin 2025/Donald-Romeo</t>
  </si>
  <si>
    <t>DR-J-D3</t>
  </si>
  <si>
    <t>Achat billet Imfondo-Brazzaville</t>
  </si>
  <si>
    <t>DR-J-R10</t>
  </si>
  <si>
    <t>Donald Roméo-CONGO Frais d'hôtel du 24 au 27/06/2025 à Impfondo ( 03 Nuitées )</t>
  </si>
  <si>
    <t>DR-J-R11</t>
  </si>
  <si>
    <t>Donald Roméo- CONGO Frais d'hôtel du 27 au 28/06/2025 à Enyele (01 Nuitée)</t>
  </si>
  <si>
    <t>DR-J-R12</t>
  </si>
  <si>
    <t>Donald Roméo-CONGO Frais d'hôtel du 28 au 29/06/2025 à Oyo ( 01 Nuitée)</t>
  </si>
  <si>
    <t>DR-J-R13</t>
  </si>
  <si>
    <t>Cumul frais de transport local du mois de Juin 2025/Donald-Romeo</t>
  </si>
  <si>
    <t>DR-J-D4</t>
  </si>
  <si>
    <t>Achat billet Impfondo-Brazzaville/ Evariste</t>
  </si>
  <si>
    <t>Evariste-CONGO Ration  du 04 au 08 /06/ 2025 à Impfondo</t>
  </si>
  <si>
    <t xml:space="preserve">Evariste- CONGO Frais de l'hôtel du 24/05 au 06/06/2025 à Impfondo  ( 13 nuitées) </t>
  </si>
  <si>
    <t xml:space="preserve">Evariste- CONGO Frais de l'hôtel du 06 au 07/06/ 2025 à Enyele (01 nuitée) </t>
  </si>
  <si>
    <t>Evariste- CONGO Frais de l'hôtel du 07 au 08/06/2025 à Gamboma (01 nuitée)</t>
  </si>
  <si>
    <t>Credit teléphonique MTN PALF/ Deuxième partie du mois de Juin 2025</t>
  </si>
  <si>
    <t>EV-J-R5</t>
  </si>
  <si>
    <t>media</t>
  </si>
  <si>
    <t>Cumul frais de transport local du mois de Juin 2025/ Evariste</t>
  </si>
  <si>
    <t>Somme de Receved in XAF</t>
  </si>
  <si>
    <t>Somme de Receved  $</t>
  </si>
  <si>
    <t>Achat eau mineral 10 Litres/Bureau</t>
  </si>
  <si>
    <t>Frais de transfert d'argent à  Evariste</t>
  </si>
  <si>
    <t>Bonus media portant sur l'interpallation de 03 trafiquants à Impfondo(Tele congo chaine nationale en langues françcaisn, Kituba et lingala</t>
  </si>
  <si>
    <t>Bonus media portant sur l'interpallation de 03 trafiquants à Impfondo ( Pièces presse internet, pièces presse papier et radio)</t>
  </si>
  <si>
    <t>Bonus media portant sur l'annonce de laudience du 19 Juin 2025 à Brazzaville et à Dolisie( Pièces presse internet, Pièces presse papier et radio)</t>
  </si>
  <si>
    <t>Congo</t>
  </si>
  <si>
    <t>Transfer Fees</t>
  </si>
  <si>
    <t>Operations</t>
  </si>
  <si>
    <t>Bonus to media officer</t>
  </si>
  <si>
    <t>ABRAHAM - CONGO food allowance du 12/02 au 01/03/2025 à Owando (02 Nuitées)</t>
  </si>
  <si>
    <t>ROMAIN - CONGO Ration du 15/02/ au 04/03/2025 à Owando(14 Nuitées)</t>
  </si>
  <si>
    <r>
      <t>Règlement loyer du mois de Février 2025/DOVI Coordinateur PALF</t>
    </r>
    <r>
      <rPr>
        <sz val="11"/>
        <color rgb="FFFF0000"/>
        <rFont val="Calibri"/>
        <family val="2"/>
        <charset val="238"/>
      </rPr>
      <t xml:space="preserve"> </t>
    </r>
  </si>
  <si>
    <r>
      <t>Ration et Frais d'hôtel mission à Owando de maitre Alain du 19 au 21/03/2025 suivi audience à Owando</t>
    </r>
    <r>
      <rPr>
        <sz val="11"/>
        <color rgb="FFFF0000"/>
        <rFont val="Calibri"/>
        <family val="2"/>
        <charset val="238"/>
      </rPr>
      <t xml:space="preserve"> </t>
    </r>
  </si>
  <si>
    <r>
      <t>achat carte sim</t>
    </r>
    <r>
      <rPr>
        <sz val="11"/>
        <color rgb="FFFF0000"/>
        <rFont val="Calibri"/>
        <family val="2"/>
        <charset val="238"/>
      </rPr>
      <t xml:space="preserve"> </t>
    </r>
  </si>
  <si>
    <r>
      <t>Cumul frais de transport local du mois de Mars 2025/Romain</t>
    </r>
    <r>
      <rPr>
        <sz val="11"/>
        <color rgb="FFFF0000"/>
        <rFont val="Calibri"/>
        <family val="2"/>
        <charset val="238"/>
      </rPr>
      <t xml:space="preserve"> </t>
    </r>
  </si>
  <si>
    <t>Publication</t>
  </si>
  <si>
    <t>closed grants from 2024</t>
  </si>
  <si>
    <t>Elonga</t>
  </si>
  <si>
    <t>Dahan</t>
  </si>
  <si>
    <t>Maison-Bureau</t>
  </si>
  <si>
    <t>Bureau-Maison</t>
  </si>
  <si>
    <t>Règlement loyer Juin 2025/Coordinateur</t>
  </si>
  <si>
    <t>Maison- Bureau</t>
  </si>
  <si>
    <t>Maison-Cabinet d'huissier</t>
  </si>
  <si>
    <t>Cabinet - Bureau</t>
  </si>
  <si>
    <t>Maison- Cabinet d'huissier</t>
  </si>
  <si>
    <t>Bureau- Interpol</t>
  </si>
  <si>
    <t>Interpol-Bureau</t>
  </si>
  <si>
    <t>Bureau-Cabinet d'huissier</t>
  </si>
  <si>
    <t>Cabinet d'huissier - Bureau</t>
  </si>
  <si>
    <t>Bureau-Hôtel PEFACO (rendez vous)</t>
  </si>
  <si>
    <t>Hôtel PEFACO -Bureau</t>
  </si>
  <si>
    <t>Bureau - Maison</t>
  </si>
  <si>
    <t>Bureau-Hyppocampe</t>
  </si>
  <si>
    <t>Aspinall-Bureau</t>
  </si>
  <si>
    <t>DH-JU-D1</t>
  </si>
  <si>
    <t>DH-JU-R1</t>
  </si>
  <si>
    <t>Taxi: Bureau-Domicile/crépin</t>
  </si>
  <si>
    <t>Taxi: Domicile-Bureau pour la signature des chèques des salaires/crépin</t>
  </si>
  <si>
    <t>Taxi: Ecole de police-Bureau/crépin</t>
  </si>
  <si>
    <t>Taxi: Domicile Mayanga-Marché Total pour le bureau après l'appel du Coordinateur/crépin</t>
  </si>
  <si>
    <t>Taxi: Marché Total-Bureau/crépin</t>
  </si>
  <si>
    <t>Taxi: Bureau-Marché Total/crépin</t>
  </si>
  <si>
    <t>Marché Total-Domicile Mayanga/crépin</t>
  </si>
  <si>
    <t>Taxi: Domicile-Marché Total pour rencontre avec la comptable/crépin</t>
  </si>
  <si>
    <t>Taxi: Marché Total-Domicile/crépin</t>
  </si>
  <si>
    <t>CR-JU-D1</t>
  </si>
  <si>
    <t>Taxi:  Bureau-Banque BCI/ Retrait relevé de compte bancaire du mois de Juin 2025</t>
  </si>
  <si>
    <t>Taxi:  Banque BCI - Bureau/ Retrait relevé de compte bancaire du mois de Juin 2025</t>
  </si>
  <si>
    <t>Taxi:  Bureau- Société de gardiennage/remis de chèque du mois de Juin 2025</t>
  </si>
  <si>
    <t>Taxi:  Societé de gardiennage  - Bureau/remis de chèque du mois de Juin 2025</t>
  </si>
  <si>
    <t xml:space="preserve">Taxi:  Domicile-Banque BCI/ Vérification des fonds dans le compte </t>
  </si>
  <si>
    <t xml:space="preserve">Taxi:  Banque BCI - Bureau/  Vérification des fonds dans le compte </t>
  </si>
  <si>
    <t>Taxi:  Bureau-Banque BCI/ Dépôt ordre de virement salaire du mois de Juin 2025</t>
  </si>
  <si>
    <t>Taxi:  Banque BCI - Bureau/ Dépôt ordre de virement salaire du mois de Juin 2025</t>
  </si>
  <si>
    <t>Taxi:  Bureau-Banque BCI</t>
  </si>
  <si>
    <t>Taxi:  Banque BCI - CNSS/Paiement CNSS deuxième  trimestre de l'année 2025</t>
  </si>
  <si>
    <t>Taxi: CNSS-Bureau</t>
  </si>
  <si>
    <t>Taxi:  Bureau- Direction MTN/Achat crédits  departement management</t>
  </si>
  <si>
    <t>Taxi:   Direction MTN- Domicile/Achat crédits  departement management</t>
  </si>
  <si>
    <t>Taxi:  Bureau-Banque BCI/ Verification de fonds dans le compte</t>
  </si>
  <si>
    <t>Taxi:  Banque BCI - CNSS/ vérification des cotisations dans les comptes des agents PALF</t>
  </si>
  <si>
    <t>Taxi: CNSS- Bureau/Pour les cours Banque et CNSS</t>
  </si>
  <si>
    <t>Taxi:  Bureau- Direction MTN/Achat crédits  departement legal/ Donald-Roméo</t>
  </si>
  <si>
    <t>Taxi:   Direction MTN- Domicile/Achat crédits  departement Legal/Donald-Roméo</t>
  </si>
  <si>
    <t>Taxi:  Banque BCI - Bureau/ Aprro caisse</t>
  </si>
  <si>
    <t>Taxi:  Bureau- Direction MTN/Transfert d'argent à Donald-Roméo</t>
  </si>
  <si>
    <t>Taxi:   Direction MTN- Bureau/ Transfert d'argent et Appros caisse</t>
  </si>
  <si>
    <t>Taxi:  Bureau- Cabinet d'avocat/Paiement des frais de notification cas Mervielle</t>
  </si>
  <si>
    <t>Taxi:  Cabinet d'Avocat - Bureau/Paiement des frais de notification cas Mervielle</t>
  </si>
  <si>
    <t>Taxi:  Bureau-Banque BCI/ Dépôt ordre de virement salaire du mois de Juillet 2025</t>
  </si>
  <si>
    <t>Taxi:  Banque BCI - Direction Energie Electrique du congo / Paiement facture d'Electricité du mois de Mai et Juin 2025</t>
  </si>
  <si>
    <t xml:space="preserve">Taxi: Direction Energie Electrique du congo-Bureau/ Paiement facture d'Electricité du mois de Mai et Juin 2025 </t>
  </si>
  <si>
    <t>Taxi:  Bureau- Cabinet maitre LOCKO/remis de chèque du mois de Juin 2025</t>
  </si>
  <si>
    <t>Taxi:  Cabinet maitre LOCKO - Domicile/remis de chèque du mois de Juin  2025</t>
  </si>
  <si>
    <t>Reglement prestation de nettoyage  PALF du mois de Juillet 2025</t>
  </si>
  <si>
    <t>Taxi: Bureau -Marché / Achat des Ampoules bureau PALF</t>
  </si>
  <si>
    <t>Taxi: Marché  - Bureau/ Achat de Ampoules bureau PALF</t>
  </si>
  <si>
    <t>Frais de notification affaire de merveille/ Maître OKEMBA NGABOMBA</t>
  </si>
  <si>
    <t>Taxi:Bureau- Direction Canal Box/ Paiement internet du mois de Juin 2025</t>
  </si>
  <si>
    <t>Taxi: Direction Canal Box-Bureau/ Paiement internet du mois de Juin 2025</t>
  </si>
  <si>
    <t>Reglement facture internet periode du 01/08 au 31/08/2025 bureau PALF</t>
  </si>
  <si>
    <t>Taxi:  Bureau- Direction MTN/Achat crédits  departement legal/ Romain; Roderlin et Abraham</t>
  </si>
  <si>
    <t>Taxi:   Direction MTN- Domicile/Achat crédits  departement Legal/Romain, Roderlin et Abraham</t>
  </si>
  <si>
    <t>P-JU-D1</t>
  </si>
  <si>
    <t>CA-JU-R1</t>
  </si>
  <si>
    <t>CA-JU-D1</t>
  </si>
  <si>
    <t>P-JU-R1</t>
  </si>
  <si>
    <t>CA-JU-R5</t>
  </si>
  <si>
    <t>CA-JU-R6</t>
  </si>
  <si>
    <t>CA-JU-R7</t>
  </si>
  <si>
    <t>CA-JU-R8</t>
  </si>
  <si>
    <t>CA-JU-R9</t>
  </si>
  <si>
    <t>CA-JU-R10</t>
  </si>
  <si>
    <t>CA-JU-R11</t>
  </si>
  <si>
    <t>CA-JU-R12</t>
  </si>
  <si>
    <t>CA-JU-R14</t>
  </si>
  <si>
    <t>Taxi:Bureau-Station SNPC Total/Achat carburant/Abraham</t>
  </si>
  <si>
    <t>Taxi:Station SNPC Total-Station X-oil Plateau Ville/Achat carburant/Abraham</t>
  </si>
  <si>
    <t>Taxi:Station X-oil Plateau Ville-Station SNPC Centre Ville/Achat carburant/Abraham</t>
  </si>
  <si>
    <t>Taxi:Station SNPC Ville-Station Total Matsoua/Achat carburant/Abraham</t>
  </si>
  <si>
    <t>Taxi:Station Total Matsoua-Station X-oil Patte d'oie/Achat carburant/Abraham</t>
  </si>
  <si>
    <t>Taxi: Station X-oil Patte d'oie-Bureau/Achat carburant/Abraham</t>
  </si>
  <si>
    <t>Credit teléphonique MTN PALF/ du 01 au 15 Août 2025/ Abraham</t>
  </si>
  <si>
    <t>AB-JU-D1</t>
  </si>
  <si>
    <t>CA-JU-R3</t>
  </si>
  <si>
    <t>CA-JU-R13</t>
  </si>
  <si>
    <t>AB-JU-R1</t>
  </si>
  <si>
    <t>COMPTA Roderlin-Juriste</t>
  </si>
  <si>
    <t>Taxi:Bureau-Centre ville pour la rencontrer maître Hélene</t>
  </si>
  <si>
    <t>Taxi:Centre ville-Bureau</t>
  </si>
  <si>
    <t xml:space="preserve">Taxi:Bureau-Cabinet BANZOUZI pour la rémise du chèque </t>
  </si>
  <si>
    <t>Taxi:Cabinet BANZOUZI-Domicile</t>
  </si>
  <si>
    <t>Achat eau mineral 10 Petite bouteille 0,6L/Bureau</t>
  </si>
  <si>
    <t>Taxi:Station marché total-Station rond-point moungali</t>
  </si>
  <si>
    <t>Taxi:Station rond point Moungali-Station 31 juillet Marché Moungali</t>
  </si>
  <si>
    <t>Taxi:Station marché moungali-Station 10 maisons</t>
  </si>
  <si>
    <t>Credit teléphonique MTN PALF du 01 au 15/Août 2025 /Roderlin</t>
  </si>
  <si>
    <t xml:space="preserve">Taxi:Bureau-TGI pour le suivi d'audience </t>
  </si>
  <si>
    <t>Taxii:TGI-Bureau</t>
  </si>
  <si>
    <t>RO-JU-D1</t>
  </si>
  <si>
    <t>CA-JU-R2</t>
  </si>
  <si>
    <t>CA-JU-R4</t>
  </si>
  <si>
    <t>RO-JU-R1</t>
  </si>
  <si>
    <t>Taxi Bureau-Agence trans Bony/ Reservation du billet</t>
  </si>
  <si>
    <t>Taxi agence Trans Bony-Domicile</t>
  </si>
  <si>
    <t>Taxi Domicile-Agence trans Bony/ Pour Owando</t>
  </si>
  <si>
    <t>Taxi Agence Trans Bony d'Owando-Hôtel case mbali</t>
  </si>
  <si>
    <t>Donald-Roméo CONGO Ration  du  23 au 25/07/2025 à Owando</t>
  </si>
  <si>
    <t>Taxi moto Hôtel Case Mbali-TGI</t>
  </si>
  <si>
    <t>Taxi moto TGI- Agence Trans Bony/ Reserver les billets retour</t>
  </si>
  <si>
    <t>Taxi moto Agence trans Bony- Hôtel Case Mbali</t>
  </si>
  <si>
    <t>Donald Roméo-CONGO Frais d'hôtel du  23 au 25/07/2025 à Owando (02 Nuitées)</t>
  </si>
  <si>
    <t xml:space="preserve">Taxi moto Hôtel Case mbali-Agens trans Bony </t>
  </si>
  <si>
    <t>Taxi bureau-Section de Recherches</t>
  </si>
  <si>
    <t>Taxi Section de Recherches-bureau</t>
  </si>
  <si>
    <t>DR-JU-R1</t>
  </si>
  <si>
    <t>DR-JU-D2</t>
  </si>
  <si>
    <t>DR-JU-R2</t>
  </si>
  <si>
    <t>DR-JU-D1</t>
  </si>
  <si>
    <t>DR-JU-R3</t>
  </si>
  <si>
    <t>DR-JU-R4</t>
  </si>
  <si>
    <t>Taxi, Bureau PALF-CNSS</t>
  </si>
  <si>
    <t>Taxi, Bureau PALF-Les Dépêches de Brazzaville</t>
  </si>
  <si>
    <t>Taxi, Les Dépêches de Brazzaville-Radio Citoyenne des Jeunes</t>
  </si>
  <si>
    <t>Bonus media portant sur la condamnation ferme de 03 trafiquants de produits de la faune le 26 Juin 2025 à Impfondo presse Radio citoyenne des jeunes</t>
  </si>
  <si>
    <t>Taxi, groupecongomedias.com-panoramik-atu.com</t>
  </si>
  <si>
    <t>Taxi, panoramik-actu.com-tribune-eco.com</t>
  </si>
  <si>
    <t>Taxi, tribune-eco.com-firstmediac.com</t>
  </si>
  <si>
    <t>Taxi, firstmediac.com-lesechos-congobrazza.com</t>
  </si>
  <si>
    <t>Taxi, lesechos-congobrazza.com-Agence Congolaise de l'Information</t>
  </si>
  <si>
    <t>Taxi, Agence Congolaise de l'Information-opinionpublique.cg</t>
  </si>
  <si>
    <t>Taxi, opinionpublique.cg-Bureau PALF</t>
  </si>
  <si>
    <t>EV-JU-D1</t>
  </si>
  <si>
    <t>CA-JU-D2</t>
  </si>
  <si>
    <t>CA-JU-D3</t>
  </si>
  <si>
    <t>CA-JU-D4</t>
  </si>
  <si>
    <t>Taxi: Bureau-marché Total/ à la rencontre de maître Hélène</t>
  </si>
  <si>
    <t>Taxi: Marché Total-Domicile</t>
  </si>
  <si>
    <t>RM-JU-D1</t>
  </si>
  <si>
    <t>RM-JU-R1</t>
  </si>
  <si>
    <t xml:space="preserve">Office </t>
  </si>
  <si>
    <t>Solde  honoraire contrat n°84 Impfondo cas MBEKELE ET CONSORTS/ Maître BANZOUZI Alain/3654886</t>
  </si>
  <si>
    <t>BQ-JU-R1</t>
  </si>
  <si>
    <t>Solde honoraire contrat N°49_Brazzaville cas BIHONDA Jean-LeBOUCK/Maitre Marie Hélène NANITELAMIO MALONGA/ 3654887</t>
  </si>
  <si>
    <t>BQ-JU-R2</t>
  </si>
  <si>
    <t>Reglement Facture Gardiennage Mois de Juin 2025/3654888</t>
  </si>
  <si>
    <t>BQ-JU-R3</t>
  </si>
  <si>
    <t>BQ-JU-R4</t>
  </si>
  <si>
    <t>RAPATRIEME01100 RAO00010859/OAT</t>
  </si>
  <si>
    <t>BQ-JU-G1</t>
  </si>
  <si>
    <t>Reglement honoraire du mois de de Juin 2025/P29/36548890</t>
  </si>
  <si>
    <t>BQ-JU-R5</t>
  </si>
  <si>
    <t>Reglement honoraire du mois de Juin 2025/T73/3654892</t>
  </si>
  <si>
    <t>BQ-JU-R6</t>
  </si>
  <si>
    <t>Reglement honoraire du mois de Juin 2025/IT87/3654895</t>
  </si>
  <si>
    <t>BQ-JU-R7</t>
  </si>
  <si>
    <t>Reglement honoraire du mois de Juin 2025/G12/3654894</t>
  </si>
  <si>
    <t>BQ-JU-R8</t>
  </si>
  <si>
    <t>BQ-JU-R9</t>
  </si>
  <si>
    <t>BQ-JU-R10</t>
  </si>
  <si>
    <t>Paiement salaire du mois de Juin 2025/Crepin IBOUILI-IBOUILI</t>
  </si>
  <si>
    <t>BQ-JU-R11</t>
  </si>
  <si>
    <t>Paiement salaire du mois de Juin 2025/PINDI BINGA Donald- Roméo</t>
  </si>
  <si>
    <t>BQ-JU-R12</t>
  </si>
  <si>
    <t>Paiement salaire du mois de  Juin 2025/Evariste LELOUSSI</t>
  </si>
  <si>
    <t>BQ-JU-R13</t>
  </si>
  <si>
    <t>BQ-JU-R14</t>
  </si>
  <si>
    <t>BQ-JU-R15</t>
  </si>
  <si>
    <t>Frais de virement des salaire du mois Juillet 2025</t>
  </si>
  <si>
    <t>BQ-JU-R16</t>
  </si>
  <si>
    <t>BQ-JU-R17</t>
  </si>
  <si>
    <t>Paiement CNSS deuxième trimestre/Avril, Mai et Juin 2025/Crepin /3654899</t>
  </si>
  <si>
    <t>BQ-JU-R18</t>
  </si>
  <si>
    <t>Paiement CNSS deuxième trimestre/Avril, Mai et Juin 2025/Donald-Roméo/3654899</t>
  </si>
  <si>
    <t>BQ-JU-R19</t>
  </si>
  <si>
    <t>Paiement CNSS deuxième trimestre/Avril, Mai et Juin 2025/Romain/3654899</t>
  </si>
  <si>
    <t>BQ-JU-R20</t>
  </si>
  <si>
    <t>Paiement CNSS deuxième trimestre/Avril, Mai et Juin 2025/Roderlin/3654899</t>
  </si>
  <si>
    <t>BQ-JU-R21</t>
  </si>
  <si>
    <t>Paiement CNSS deuxième trimestre/Avril, Mai et Juin 2025/Abraham/3654899</t>
  </si>
  <si>
    <t>BQ-JU-R22</t>
  </si>
  <si>
    <t>Paiement CNSS deuxième trimestre/Avril, Mai et Juin 2025/Parfaite/3654899</t>
  </si>
  <si>
    <t>BQ-JU-R23</t>
  </si>
  <si>
    <t>Paiement CNSS deuxième trimestre/Avril, Mai et Juin 2025/Evariste/3654899</t>
  </si>
  <si>
    <t>BQ-JU-R24</t>
  </si>
  <si>
    <t>RAPATRIEME01100 RAO00010768/Fondation Elonga</t>
  </si>
  <si>
    <t>Paiement salaire du mois de Juillet 2025/BAVOUMINA NZOUSSI Dina Parfaite/3654406</t>
  </si>
  <si>
    <t>BQ-JU-R26</t>
  </si>
  <si>
    <t>Paiement salaire du mois de Juillet 2025/FOUMBA Roderlin/3654404</t>
  </si>
  <si>
    <t>BQ-JU-R27</t>
  </si>
  <si>
    <t>Paiement salaire du mois de Juillet 2025/BOUNGOU MAKOSSO Abraham/3654403</t>
  </si>
  <si>
    <t>BQ-JU-R28</t>
  </si>
  <si>
    <t>Paiement salaire du mois de Juillet 2025/Crepin IBOUILI-IBOUILI</t>
  </si>
  <si>
    <t>BQ-JU-R29</t>
  </si>
  <si>
    <t>Paiement salaire du mois de Juillet 2025/PINDI BINGA Donald- Roméo</t>
  </si>
  <si>
    <t>BQ-JU-R30</t>
  </si>
  <si>
    <t>Paiement salaire du mois de  Juillet 2025/Evariste LELOUSSI</t>
  </si>
  <si>
    <t>BQ-JU-R31</t>
  </si>
  <si>
    <t>Paiement salaire du mois de Juillet 2025/LOUNDOU JeanRomain/3654405</t>
  </si>
  <si>
    <t>BQ-JU-R32</t>
  </si>
  <si>
    <t>Frais de virement des salaire du mois Juin 2025</t>
  </si>
  <si>
    <t>BQ-JU-R33</t>
  </si>
  <si>
    <t>Solde honoraire contrat N°76_Owando cas EBI Aimé brichly/Maitre Marie Hélène NANITELAMIO MALONGA/ 3654408</t>
  </si>
  <si>
    <t>BQ-JU-R34</t>
  </si>
  <si>
    <t>Reglement honoraire du mois de de Juin 2025/P29/3654409</t>
  </si>
  <si>
    <t>BQ-JU-R35</t>
  </si>
  <si>
    <t>Reglement honoraire du mois de Juin 2025/T73/3654410</t>
  </si>
  <si>
    <t>BQ-JU-R36</t>
  </si>
  <si>
    <t>BQ-JU-G2</t>
  </si>
  <si>
    <t>ELONGA</t>
  </si>
  <si>
    <t>févr</t>
  </si>
  <si>
    <t>mars</t>
  </si>
  <si>
    <t>avr</t>
  </si>
  <si>
    <t>mai</t>
  </si>
  <si>
    <t>juin</t>
  </si>
  <si>
    <t>janv</t>
  </si>
  <si>
    <t>juil</t>
  </si>
  <si>
    <t>Credit teléphonique MTN PALF/ du 16 au 31 Juillet 2025/ DOVI</t>
  </si>
  <si>
    <t>DH-JU-R2</t>
  </si>
  <si>
    <t>Credit teléphonique MTN PALF/du 01au 08 Août  2025/Romain</t>
  </si>
  <si>
    <t xml:space="preserve"> Frais de prestation de nettoyage du jardin PALF/ Juin 2025</t>
  </si>
  <si>
    <t>Remboursement frais de certificat d'Hébergement(Valentina et Martina) du 27/06/2025</t>
  </si>
  <si>
    <t>Credit téléphonique MTN PALF/ du 16 au 31 Juillet 2025/ Parfaite</t>
  </si>
  <si>
    <t>Frais de transfert d'argent à  Donald-Roméo</t>
  </si>
  <si>
    <t>Réglement facture électricité de la période Mai-Juin 2025/bureau PALF</t>
  </si>
  <si>
    <t xml:space="preserve"> Frais de prestation de nettoyage du jardin PALF Juillet 2025</t>
  </si>
  <si>
    <t>Frais de ramassage d' ordures Juillet 2025</t>
  </si>
  <si>
    <t>Achat de 05 ampoules à crochet</t>
  </si>
  <si>
    <t>Bonus média portant sur la condamnation ferme de 03 trafiquants de produits de la faune le 26 Juin 2025 à Impfondo pièces presse Internet</t>
  </si>
  <si>
    <t>Bonus média portant sur la condamnation ferme de 03 trafiquants de produits de la faune le 26 Juin 2025 à Impfondo pièces presse papier(les depêches de brazzaville, l'horizon africain, l'agence congolaise de l'information</t>
  </si>
  <si>
    <t>Credit téléphonique MTN PALF/du 22 au 31 Juillet 2025/Donald-Roméo</t>
  </si>
  <si>
    <t>Taxi: Domicile-Bureau pour signature des pièces comptables/crépin</t>
  </si>
  <si>
    <t>Paiement salaire du mois de Juin 2025/FOUMBA Roderlin/3654900</t>
  </si>
  <si>
    <t>Paiement salaire du mois de Juin 2025/BAVOUMINA NZOUSSI Dina Parfaite/365897</t>
  </si>
  <si>
    <t>Paiement salaire du mois de Juin 2025/BOUNGOU MAKOSSO Abraham/3654896</t>
  </si>
  <si>
    <t>Paiement salaire du  01 au 18 Juin 2025/Homéfa DOVI/3654898</t>
  </si>
  <si>
    <t>Paiement salaire du 19 au 30 Juin 2025/Homéfa DOVI/3654898</t>
  </si>
  <si>
    <t>Achat de 10 ampoule à crochet</t>
  </si>
  <si>
    <t>CA-AU-R1</t>
  </si>
  <si>
    <t>Frais de tansfert d'argent à crépin, Donald-Roméo, Evariste, P29 et T73</t>
  </si>
  <si>
    <t>CA-AU-R2</t>
  </si>
  <si>
    <t>Reglement assurance retraite Coordinateur periode Janvier-Février- Mars- Avril-Mai - Juin 2025</t>
  </si>
  <si>
    <t>CA-AU-R3</t>
  </si>
  <si>
    <t>Frais de notification contrat Romain</t>
  </si>
  <si>
    <t>CA-AU-R4</t>
  </si>
  <si>
    <t>CA-AU-R5</t>
  </si>
  <si>
    <t>Frais de tansfert d'argent à G12 et IT87</t>
  </si>
  <si>
    <t>CA-AU-R6</t>
  </si>
  <si>
    <t>Achat carburant groupe electrogène Bureau et le frais de recharge</t>
  </si>
  <si>
    <t>CA-AU-R7</t>
  </si>
  <si>
    <t>Frais de tansfert d'argent à crépin, Donald-Roméo, Evariste et P29</t>
  </si>
  <si>
    <t>CA-AU-R8</t>
  </si>
  <si>
    <t>Achat chaise  bureau PALF</t>
  </si>
  <si>
    <t>CA-AU-R9</t>
  </si>
  <si>
    <t>Frais de reparation chaise bureau PALF</t>
  </si>
  <si>
    <t>CA-AU-R10</t>
  </si>
  <si>
    <t>Frais de tansfert d'argent à T73 et P29</t>
  </si>
  <si>
    <t>CA-AU-R11</t>
  </si>
  <si>
    <t>CA-AU-D1</t>
  </si>
  <si>
    <t>CA-AU-D2</t>
  </si>
  <si>
    <t>CA-AU-D3</t>
  </si>
  <si>
    <t>Frais de tansfert d'argent à Evariste</t>
  </si>
  <si>
    <t>CA-AU-R12</t>
  </si>
  <si>
    <t>Achat eau mineral 10 LITRES/Bureau</t>
  </si>
  <si>
    <t>CA-AU-R13</t>
  </si>
  <si>
    <t>Frais de transport mission Maitre Alain à Impfondo du 28 /08au 01/09/2025</t>
  </si>
  <si>
    <t>CA-AU-R14</t>
  </si>
  <si>
    <t>Ration et frais d'hotel mission maitre Alain à Impfondo du 28/08 au 01/09/2025</t>
  </si>
  <si>
    <t>CA-AU-R15</t>
  </si>
  <si>
    <t xml:space="preserve"> Frais de prestation de nettoyage jardin PALF Août 2025</t>
  </si>
  <si>
    <t>CA-AU-R16</t>
  </si>
  <si>
    <t>Reglement prestation de nettoyage  PALF du mois de Août 2025</t>
  </si>
  <si>
    <t>CA-AU-R17</t>
  </si>
  <si>
    <t xml:space="preserve">Frais de tansfert d'argent à crépin, Donald-Roméo et Evariste </t>
  </si>
  <si>
    <t>CA-AU-R18</t>
  </si>
  <si>
    <t>Frais de ramassage Ordure d'Août 2025</t>
  </si>
  <si>
    <t>CA-AU-R19</t>
  </si>
  <si>
    <t>Reglement facture internet periode du 01/09 au 30/09/2025 bureau PALF</t>
  </si>
  <si>
    <t>CA-AU-R20</t>
  </si>
  <si>
    <t>CA-AU-D4</t>
  </si>
  <si>
    <t>CA-AU-R21</t>
  </si>
  <si>
    <t>Maison - Bureau</t>
  </si>
  <si>
    <t>Bureau -Maison</t>
  </si>
  <si>
    <t>Règlement loyer Juillet 2025/Coordinateur</t>
  </si>
  <si>
    <t>Credit telephonique MTN/PALF/ du 18 au 31 Aout 2025/DOVI</t>
  </si>
  <si>
    <t>Billet: Brazzaville-Impfondo</t>
  </si>
  <si>
    <t>Taxi: Mfilou Camp Militaire-Agence Océan du Nord Talangai</t>
  </si>
  <si>
    <t>Taxi moto: Agence Océan du Nord Oyo-Hôtel Saint Bénoit</t>
  </si>
  <si>
    <t>CREPIN-CONGO Ration du 14/08 au 02/09/2025 à  Impfondo</t>
  </si>
  <si>
    <t>Travel subsistence</t>
  </si>
  <si>
    <t>CREPIN-CONGO-Frais d'hôtel du 14 au 15/08/2025 à Oyo (01 Nuitée)</t>
  </si>
  <si>
    <t>Taxi moto: Hôtel Saint Bénoit-Agence Océan</t>
  </si>
  <si>
    <t>Taxi moto: Agence Océan Enyéllé-Hôtel La Paulina</t>
  </si>
  <si>
    <t>Credit telephonique MTN PALF/du 14 au 17 Août 2025</t>
  </si>
  <si>
    <t>CREPIN-CONGO-Frais d'hôtel  du 15 au 16/08/2025 à Enyellé (01 Nuitée)</t>
  </si>
  <si>
    <t>Taxi moto: Hôtel Polina-Agence Océan du nord</t>
  </si>
  <si>
    <t>Taxi moto: Agence Océan d'Impfondo-Hôtel Mithé</t>
  </si>
  <si>
    <t>Credit telephonique MTN PALF/ du 18 au 31 Août 2025</t>
  </si>
  <si>
    <t>Credit telephonique Airtel PALF/ du 18 au 31 Août 2025</t>
  </si>
  <si>
    <t>Taxi moto: Hôtel Mithé-DDEF pour rencontre avec le DD par intérim</t>
  </si>
  <si>
    <t>Taxi moto: DDEF-Parquet pour rencontre avec le Procureur.</t>
  </si>
  <si>
    <t>Taxi moto: Gendarmerie-Hôtel Mithé</t>
  </si>
  <si>
    <t>Taxi moto: Hôtel Mithé-Hôtel Tropicana pour repérage</t>
  </si>
  <si>
    <t>Taxi moto: Environs Hôtel Tropicana-DDEF pour la lettre de sollicitude de concours de la gendarmerie</t>
  </si>
  <si>
    <t>Taxi moto: DDEF-Gendarmerie pour dépôt de la demande de concours</t>
  </si>
  <si>
    <t>CREPIN-CONGO Frais d'hôtel du 16 au 23/08/2025 à Impfondo (07 Nuitées)</t>
  </si>
  <si>
    <t>Taxi moto: Hôtel Mithé-Hôtel Tropicana pour occupation de la chambre pour opération</t>
  </si>
  <si>
    <t>Taxi moto: Hôtel Tropicana-Hôtel Mithé pour briefing équipe PALF.</t>
  </si>
  <si>
    <t>Taxi moto: Hôtel Mithé-Hôtel Tropicana</t>
  </si>
  <si>
    <t>Taxi moto: Hôtel Tropicana-Gendarmerie pour briefing autorités</t>
  </si>
  <si>
    <t>05 Taxis motos pour 04 gendarmes et moi: Gendarmerie-Hôtel Tropicana pour positionnement</t>
  </si>
  <si>
    <t>Raffraichissements pendant l'attente de l'opération avec 04 gendarmes en civli</t>
  </si>
  <si>
    <t>Operation</t>
  </si>
  <si>
    <t>Taxi moto: Hôtel Mithé-Gendarmerie</t>
  </si>
  <si>
    <t>Bonus pour 16 gendarmes ayant participé à l'opération</t>
  </si>
  <si>
    <t>Bonus pour 02 EF ayant participé à l'opération</t>
  </si>
  <si>
    <t>Taxi moto: Gendarmerie-Hôtel</t>
  </si>
  <si>
    <t>Taxi moto: Hôtel-Gendarmerie</t>
  </si>
  <si>
    <t>Taxi moto: Hôtel-Parquet</t>
  </si>
  <si>
    <t>Taxi moto: Parquet-Hôtel</t>
  </si>
  <si>
    <t>CR-AU-R1</t>
  </si>
  <si>
    <t>CR-AU-D1</t>
  </si>
  <si>
    <t>CR-AU-D2</t>
  </si>
  <si>
    <t>DH-AU-D1</t>
  </si>
  <si>
    <t>DH-AU-R1</t>
  </si>
  <si>
    <t>DH-AU-R2</t>
  </si>
  <si>
    <t>Taxi:  Bureau-Banque BCI/ Retrait relevé de compte bancaire du mois de Juillet 2025</t>
  </si>
  <si>
    <t>Taxi:  Banque BCI - Bureau/ Retrait relevé de compte bancaire du mois de Juillet 2025</t>
  </si>
  <si>
    <t>Taxi:  Bureau-Banque BCI/ Vérification des fonds dans le compte bancaire PALF</t>
  </si>
  <si>
    <t>Taxi:  Banque BCI - Bureau/Verification des fonds dans le compte bancaire PALF</t>
  </si>
  <si>
    <t>Taxi:  Bureau- Société de gardiennage/remis de chèque du mois de Juillet 2025</t>
  </si>
  <si>
    <t>Taxi:  Societé de gardiennage  - Bureau/remis de chèque du mois de Juillet 2025</t>
  </si>
  <si>
    <t>Taxi:  Bureau- Direction MTN/Achat crédits  departement Investigation</t>
  </si>
  <si>
    <t>Taxi:   Direction MTN- Domicile/Achat crédits  departement Investigation</t>
  </si>
  <si>
    <t>Taxi:  Bureau-Banque BCI/ Appro caisse PALF</t>
  </si>
  <si>
    <t>Taxi:  Banque BCI - Bureau/Appro caisse  PALF</t>
  </si>
  <si>
    <t>Taxi: Bureau -Marché Moungali/ Achat des Ampoules bureau PALF</t>
  </si>
  <si>
    <t>Taxi: Marché Moungali - Bureau/ Achat de Ampoules bureau PALF</t>
  </si>
  <si>
    <t>Taxi:  Domicile- Direction MTN/Achat crédits  pour les agents en mission d'Impfondo</t>
  </si>
  <si>
    <t>Taxi:   Direction MTN- Domicile/Achat crédits Achat crédits pour les agents en mission d'Impfondo</t>
  </si>
  <si>
    <t>Taxi:  Bureau-Banque BCI/ Aprro caisse</t>
  </si>
  <si>
    <t>Taxi:  Banque- Direction MTN/Achat credit de l'equipe PALF</t>
  </si>
  <si>
    <t>Taxi:   Direction MTN- Bureau/Achat credit de l'equipe PALF</t>
  </si>
  <si>
    <t>Credit teléphonique MTN PALF/ du 18 au 31 Août 2025/ Parfaite</t>
  </si>
  <si>
    <t>Taxi:  Bureau- Cabinet d'avocat/Depot  de notification de suspension contat Mervielle</t>
  </si>
  <si>
    <t>Taxi:  Cabinet d'Avocat - Banque/Paiement frais de notification contrat romain ACPE</t>
  </si>
  <si>
    <t xml:space="preserve">Taxi:  Banque-Bureau /Paiement frais de notification contrat romain ACPE </t>
  </si>
  <si>
    <t>Taxi: Bureau - Super Marché / Achat produit d'entretien  bureau PALF</t>
  </si>
  <si>
    <t>Taxi: Super Marché  - Bureau/ Achat produit d'entretien  bureau PALF</t>
  </si>
  <si>
    <t>Taxi: Bureau - Charden Farell/transfert d'argent à G12 et IT87</t>
  </si>
  <si>
    <t>Taxi: Charden Farell- Bureau/transferft d'argent</t>
  </si>
  <si>
    <t>Taxi:  Bureau-Banque BCI/Appro caisse</t>
  </si>
  <si>
    <t xml:space="preserve">Taxi: Banque BCI- Charden farell/ transfert d'argent </t>
  </si>
  <si>
    <t>Taxi: Charden Farell- Bureau/ Transfert d'argent</t>
  </si>
  <si>
    <t>Taxi: Bureau - Charden Farell/ verification des fonds envoyer a impfondo</t>
  </si>
  <si>
    <t>Taxi: Charden Farell- Bureau/verification de fond envoyer à Impfondo</t>
  </si>
  <si>
    <t>Taxi:  Bureau-Banque BCI/ Dépôt ordre de virement salaire du mois d'Août 2025</t>
  </si>
  <si>
    <t>Taxi:  Banque BCI - Direction MTN /Transfert d'argent à P29 et T73</t>
  </si>
  <si>
    <t xml:space="preserve">Taxi: Direction MTN-Bureau/ </t>
  </si>
  <si>
    <t>Taxi: Bureau - Charden Farell/transfert d'argent à Crépin , Evariste et Donald-Roméo</t>
  </si>
  <si>
    <t>Taxi:Bureau- Direction Canal Box/ Paiement internet du mois deSeptembre2025</t>
  </si>
  <si>
    <t>Taxi: Direction Canal Box-Bureau/ Paiement internet du mois de Septembre 2025</t>
  </si>
  <si>
    <t>P-AU-D1</t>
  </si>
  <si>
    <t>P-AU-R1</t>
  </si>
  <si>
    <t>Taxi la fleur -domicile</t>
  </si>
  <si>
    <t>Taxi sai sai -bureau</t>
  </si>
  <si>
    <t>Credit telephonique MTN PALF/ du 07 au 10 Août 2025/ Investigation/P29</t>
  </si>
  <si>
    <t>investigation</t>
  </si>
  <si>
    <t>Achat boisson à un cible</t>
  </si>
  <si>
    <t>Credit telephonique MTN PALF/ du 18 au 31 Août 2025/ Investigation/P29</t>
  </si>
  <si>
    <t>Credit telephonique Airtel PALF/ du18 au 31 Août 2025/ Investigation/P29</t>
  </si>
  <si>
    <t>P29-AU-R1</t>
  </si>
  <si>
    <t>P29-AU-D1</t>
  </si>
  <si>
    <t>P29-AU-D2</t>
  </si>
  <si>
    <t>P29-AU-R2</t>
  </si>
  <si>
    <t>P29-AU-D3</t>
  </si>
  <si>
    <t>P29-AU-R3</t>
  </si>
  <si>
    <t>P29-AU-R4</t>
  </si>
  <si>
    <t>P29-AU-R5</t>
  </si>
  <si>
    <t>P29-AU-R6</t>
  </si>
  <si>
    <t>P29-AU-R7</t>
  </si>
  <si>
    <t>P29-AU-R8</t>
  </si>
  <si>
    <t>P29-AU-R9</t>
  </si>
  <si>
    <t>P29-AU-R10</t>
  </si>
  <si>
    <t>P29-AU-R11</t>
  </si>
  <si>
    <t>P29-AU-R12</t>
  </si>
  <si>
    <t>P29-AU-R13</t>
  </si>
  <si>
    <t>Credit telephonique MTN PALF/ du 07 au 10 Août 2025/ Investigation/T73</t>
  </si>
  <si>
    <t>achat boisson ( une cible)</t>
  </si>
  <si>
    <t>Credit telephonique MTN PALF/ du 14 au 17 Août 2025/ Investigation/T73</t>
  </si>
  <si>
    <t>T73-AU-R1</t>
  </si>
  <si>
    <t>T73-AU-D1</t>
  </si>
  <si>
    <t>T73-AU-D2</t>
  </si>
  <si>
    <t>T73-AU-R2</t>
  </si>
  <si>
    <t>T73-AU-D3</t>
  </si>
  <si>
    <t>T73-AU-R3</t>
  </si>
  <si>
    <t>T73-AU-R4</t>
  </si>
  <si>
    <t>T73-AU-R5</t>
  </si>
  <si>
    <t>T73-AU-R6</t>
  </si>
  <si>
    <t>T73-AU-R7</t>
  </si>
  <si>
    <t>T73-AU-R8</t>
  </si>
  <si>
    <t>T73-AU-R9</t>
  </si>
  <si>
    <t>T73-AU-R10</t>
  </si>
  <si>
    <t>T73-AU-R11</t>
  </si>
  <si>
    <t>Taxi : bureau - centre ville (prospection à Brazzaville)</t>
  </si>
  <si>
    <t>Credit telephonique MTN PALF/du 07au 10 Aout 2025/IT87</t>
  </si>
  <si>
    <t>Reçu de caisse/ IT87</t>
  </si>
  <si>
    <t>Credit telephonique MTN PALF/du 18au 31 Aout 2025/IT87</t>
  </si>
  <si>
    <t>Achat boissons avec une cible</t>
  </si>
  <si>
    <t>IT87-AU-R1</t>
  </si>
  <si>
    <t>IT87-AU-D1</t>
  </si>
  <si>
    <t>IT87-AU-R2</t>
  </si>
  <si>
    <t>IT87-AU-R3</t>
  </si>
  <si>
    <t>IT87-AU-D2</t>
  </si>
  <si>
    <t>IT87-AU-R4</t>
  </si>
  <si>
    <t>IT87-AU-D3</t>
  </si>
  <si>
    <t>IT87-AU-R5</t>
  </si>
  <si>
    <t>IT87-AU-R6</t>
  </si>
  <si>
    <t>IT87-AU-R7</t>
  </si>
  <si>
    <t>IT87-AU-R8</t>
  </si>
  <si>
    <t>IT87-AU-R9</t>
  </si>
  <si>
    <t>IT87-AU-R10</t>
  </si>
  <si>
    <t>Credit telephonique MTN PALF/du 07au 10 Aout 2025/G12</t>
  </si>
  <si>
    <t>Taxi :Mikalou - domicile</t>
  </si>
  <si>
    <t>Credit telephonique MTN PALF/du 18 au 31 Aout 2025/G12</t>
  </si>
  <si>
    <t>Credit telephonique Airtel PALF/du 18 au 31 Aout 2025/G12</t>
  </si>
  <si>
    <t>G12-AU-R1</t>
  </si>
  <si>
    <t>G12-AU-D1</t>
  </si>
  <si>
    <t>G12-AU-R2</t>
  </si>
  <si>
    <t>G12-AU-R3</t>
  </si>
  <si>
    <t>G12-AU-R4</t>
  </si>
  <si>
    <t>G12-AU-D2</t>
  </si>
  <si>
    <t>G12-AU-D3</t>
  </si>
  <si>
    <t>G12-AU-R5</t>
  </si>
  <si>
    <t>G12-AU-R6</t>
  </si>
  <si>
    <t>G12-AU-R7</t>
  </si>
  <si>
    <t>G12-AU-R8</t>
  </si>
  <si>
    <t>G12-AU-R9</t>
  </si>
  <si>
    <t>G12-AU-R10</t>
  </si>
  <si>
    <t>Taxi: Bureau- Agence Charden Farell/ Transfert d'argent</t>
  </si>
  <si>
    <t>Taxi: Agence Charden Farell-Bureau/Transfert d'argent</t>
  </si>
  <si>
    <t>Credit telephonique MTN PALF/ du 18 au 31 Août 2025/Abraham</t>
  </si>
  <si>
    <t>Credit telephonique Airtel PALF/ du 18 au 31 Août 2025/Abraham</t>
  </si>
  <si>
    <t>Achat billet Brazzaville-Dolisie (Au nom de LOUNDOU Jean Romain)</t>
  </si>
  <si>
    <t>ABRAHAM - CONGO Ration du 20 au 22/08/2025 à Dolisie (02 Nuitées)</t>
  </si>
  <si>
    <t>Taxi:Domicile-Agence Tranbony de La frontière/ Prendre le depart pour Dolisie</t>
  </si>
  <si>
    <t>Taxi:Agence Transbony de Dolisie-Auberge Moukondo</t>
  </si>
  <si>
    <t>Taxi:Auberge Moukondo-Maison d'arrêt de Dolisie</t>
  </si>
  <si>
    <t>Ration/ Soir 5 détenus à la maison d'arrêt de Dolisie/ détenus visités: MBOUNGOU Dropsy, KISSAMBOU Yvon, PAMBOU Alain, BALENDA Jean Jacques, IVOUVOU</t>
  </si>
  <si>
    <t>Taxi:Maison d'arrêt de Dolisie-Auberge Moukondo</t>
  </si>
  <si>
    <t>Taxi: Auberge Moukondo-Maison d'arrêt de Dolisie</t>
  </si>
  <si>
    <t>Ration/matin 5 détenus à la maison d'arrêt de Dolisie/ détenus visités: MBOUNGOU Dropsy, KISSAMBOU Yvon, PAMBOU Alain, BALENDA Jean Jacques, IVOUVOU</t>
  </si>
  <si>
    <t>Ration/soir 5 détenus à la maison d'arrêt de Dolisie/ détenus visités: MBOUNGOU Dropsy, KISSAMBOU Yvon, PAMBOU Alain, BALENDA Jean Jacques, IVOUVOU</t>
  </si>
  <si>
    <t>Taxi:Maison d'arrêt de Dolisie-Agence Transbony de Dolisie/Achat billet Dolisie-Brazzaville</t>
  </si>
  <si>
    <t>ABRAHAM - CONGO frais d'Hôtel du 20 au 22/08/2025 à Dolisie (02 Nuitées)</t>
  </si>
  <si>
    <t>Taxi:Auberge Moukondo-Agence Transbony Dolisie</t>
  </si>
  <si>
    <t>Taxi:Agence Transbony Moungali-Domicile</t>
  </si>
  <si>
    <t>Taxi: Bureau-Charden Farel/Transfert des fonds</t>
  </si>
  <si>
    <t>Taxi: Charden-Farel Bureau</t>
  </si>
  <si>
    <t>AB-AU-D1</t>
  </si>
  <si>
    <t>AB-AU-R1</t>
  </si>
  <si>
    <t>AB-AU-R2</t>
  </si>
  <si>
    <t>AB-AU-R3</t>
  </si>
  <si>
    <t>AB-AU-D2</t>
  </si>
  <si>
    <t>AB-AU-D3</t>
  </si>
  <si>
    <t>AB-AU-R4</t>
  </si>
  <si>
    <t>AB-AU-R5</t>
  </si>
  <si>
    <t>Taxi:Bureau-Agence Trans bony de la frontiere pour la réservation du billet</t>
  </si>
  <si>
    <t xml:space="preserve"> Achat billet Brazzaville-Loudima/ Roderlin</t>
  </si>
  <si>
    <t>Taxi:Agence trans bony de la frontiere-Bureau</t>
  </si>
  <si>
    <t>Credit telephonique MTN PALF/du 18 au 31 Août 2025/Roderlin</t>
  </si>
  <si>
    <t>Taxi:Domicile-Agence Trans bony de kintélé</t>
  </si>
  <si>
    <t xml:space="preserve"> Achat billet Loudima-Sibiti/ Roderlin</t>
  </si>
  <si>
    <t xml:space="preserve">Taxi-moto: La gare routiere de Sibiti-Hôtel le papyrus </t>
  </si>
  <si>
    <t>Taxi-moto:Hôtel le papyrus-Marché pour l'achat de la ration du  prevenu</t>
  </si>
  <si>
    <t>Ration  du prevenu MANKOUSSOU Auzere à la maison d'arrêt de Sibiti/soir</t>
  </si>
  <si>
    <t>Taxi-moto:Marché-Maison d'arrêt de Sibiti</t>
  </si>
  <si>
    <t>Taxi-moto:Maison d'arrêt de Sibiti-Hôtel le papyrus</t>
  </si>
  <si>
    <t>RODERLIN-CONGO Ration du 19 au 21/08/2025 à Sibiti (02 nuitées)</t>
  </si>
  <si>
    <t>Tation du prevenu MANKOUSSOU Auzere à la maison d'arrêt de Sibiti/matin</t>
  </si>
  <si>
    <t xml:space="preserve">Taxi-moto:Maison d'arrêt de Sibiti-tGI pour la vérification des des expéditions </t>
  </si>
  <si>
    <t xml:space="preserve">Taxi-moto:TGI-Hotel le papyrus </t>
  </si>
  <si>
    <t>Ration du prevenu MANKOUSSOU Auzere à la maison d'arrêt de Sibiti/soir</t>
  </si>
  <si>
    <t>RODERLIN-CONGO Frais d'hôtel du 19 au 21/08/2025 à Sibiti (02 nuitées)</t>
  </si>
  <si>
    <t>Taxi-moto:Hôtel le papyrus-La garre de Sibiti</t>
  </si>
  <si>
    <t xml:space="preserve"> Achat billet Sibiti-Nkayi/ Roderlin</t>
  </si>
  <si>
    <t xml:space="preserve"> Achat billet Nkayi-Brazzaville/ Roderlin </t>
  </si>
  <si>
    <t xml:space="preserve">Taxi:Agence trans bony de Kintélé-Domicile </t>
  </si>
  <si>
    <t xml:space="preserve">Taxi:Bureau-Agence océan du nord de la liberté pour la reservation des billets </t>
  </si>
  <si>
    <t xml:space="preserve"> Achat billet Brazzaville-Impfondo / Roderlin</t>
  </si>
  <si>
    <t>Taxi:Agence Océan du nord de la liberté-Bureau</t>
  </si>
  <si>
    <t>Taxi:Bureau-Cabinet BANZOUZI pour la rémise du budget</t>
  </si>
  <si>
    <t>Taxi:Cabinet BANZOUZI-Bureau</t>
  </si>
  <si>
    <t xml:space="preserve">Taxi:Domicile-Agence Océan du nord de Talangaî </t>
  </si>
  <si>
    <t xml:space="preserve">Taxi:Agence Océan du nord de Ouesso-Hôtel Divine </t>
  </si>
  <si>
    <t>RODERLIN-CONGO Ration du 28/08/ au 01/09/2025 à Ouesso/Enyele/ Impfondo (04 nuitées)</t>
  </si>
  <si>
    <t>RODERLIN-CONGO Frais d'hôtel du 28 au 29/08/2025 à Ouesso (01 nuitée)</t>
  </si>
  <si>
    <t>Taxi:Hôtel Divine-Agence Océan du nord de Ouesso</t>
  </si>
  <si>
    <t xml:space="preserve">Taxi-moto:Agence Océan du nord de Enyele-Hôtel Paulina </t>
  </si>
  <si>
    <t>RODERLIN-CONGO Frais d'hôtel du 29 au 30/08/2025 à Enyele (01 nuitée)</t>
  </si>
  <si>
    <t xml:space="preserve">Taxi:Hôtel Paulina-Agence Océan du nord de Enyele </t>
  </si>
  <si>
    <t>Taxi-moto:Agence Océan du nord d'Impfondo-Hôtel Mithe</t>
  </si>
  <si>
    <t>RO-AU-D1</t>
  </si>
  <si>
    <t>RO-AU-R1</t>
  </si>
  <si>
    <t>RO-AU-R2</t>
  </si>
  <si>
    <t>RO-AU-R3</t>
  </si>
  <si>
    <t>RO-AU-D3</t>
  </si>
  <si>
    <t>RO-AU-D2</t>
  </si>
  <si>
    <t>RO-AU-R4</t>
  </si>
  <si>
    <t>RO-AU-R5</t>
  </si>
  <si>
    <t>RO-AU-R6</t>
  </si>
  <si>
    <t>RO-AU-R7</t>
  </si>
  <si>
    <t>RO-AU-D4</t>
  </si>
  <si>
    <t>RO-AU-R8</t>
  </si>
  <si>
    <t>RO-AU-R9</t>
  </si>
  <si>
    <t>Achat billet Brazzaville-Imfondo/ Donald-Roméo</t>
  </si>
  <si>
    <t>Taxi Domicile-Agence Océan du Nord de Talangaï</t>
  </si>
  <si>
    <t>Taxi agence Océan du Nord d'Oyo-Hôtel Saint Benoit</t>
  </si>
  <si>
    <t>Ration  du  14/08 au 02/09/2025 à Oyo, Impfondo et  Enyellé/ Donald-Roméo</t>
  </si>
  <si>
    <t>Donald Roméo- CONGO Frais d'hôtel du 14 au 15/08/2025 à Oyo (01 Nuitée)</t>
  </si>
  <si>
    <t>Taxi Hôtel Saint Benoit-agence Océan du Nord d'Oyo</t>
  </si>
  <si>
    <t>Taxi Hôtel agence Océan du Nord d'Enyelé-Hôtel Paulina</t>
  </si>
  <si>
    <t>Donald Roméo -CONGO Frais d'hôtel/ du 15 au 16/08/2025 à Enyelé (01 Nuitée)</t>
  </si>
  <si>
    <t>Taxi Hôtel Paulina-agence Océan du Nord d'Enylé</t>
  </si>
  <si>
    <t>Taxi agence Océan du Nord d'Impfondo-Hôtel Mithé</t>
  </si>
  <si>
    <t>Reçu caisse/Donald-Roméo</t>
  </si>
  <si>
    <t>Taxi Hôtel Mithé-Charden farell/ Retrait des fonds</t>
  </si>
  <si>
    <t>Taxi Charden farell-Hôtel Mithé</t>
  </si>
  <si>
    <t>Credit telephonique MTN PALF/du 18 au 31 Août 2025</t>
  </si>
  <si>
    <t>Taxi moto Hôtel-DDEF/ Rencontrer le DD</t>
  </si>
  <si>
    <t xml:space="preserve">Taxi moto DDEF-TGI/ Rencontrer le Procureur </t>
  </si>
  <si>
    <t>Taxi moto Région de gendarmerie-Hôtel Mithé</t>
  </si>
  <si>
    <t>Taxi moto Hôtel Mithé- Hôtel Tropicana/ Reperage</t>
  </si>
  <si>
    <t>Taxi moto Hôtel Tropicana- Aeroport d'Impfondo</t>
  </si>
  <si>
    <t>Taxi moto Aeroport d'Impfondo-Charden farell/ Retrait des fonds</t>
  </si>
  <si>
    <t>Taxi moto Hôtel Mithé- Cyber / Faire imprimer la photo et le mandat</t>
  </si>
  <si>
    <t>Taxi moto Cyber-Hôtel Mithé</t>
  </si>
  <si>
    <t>Taxi moto Hôtel Mithé- Gendarmerie/ Opération</t>
  </si>
  <si>
    <t>Taxi moto Region de Gendarmerie- Hôtel Mithé</t>
  </si>
  <si>
    <t>Taxi moto Hôtel Mithé-La Brigade de Recherche/ Pour la visite geôle du 25/08/2025 à 20h</t>
  </si>
  <si>
    <t>Ration d'une prevenue/ MOUKAHOU Clarisse/ A la gandarmerie d'Impfondo/Soir</t>
  </si>
  <si>
    <t>Taxi moto La Brigade de Recherche- Hôtel Mithé</t>
  </si>
  <si>
    <t>Taxi moto Hôtel Mithé-La Brigade de Recherche/ Pour la visite geôle du 26/08/2025 à 07h</t>
  </si>
  <si>
    <t>Ration d'une prevenue/ MOUKAHOU Clarisse/ A la gandarmerie d'Impfondo/Matin</t>
  </si>
  <si>
    <t>Taxi moto Hôtel Mithé-La gendarmerie/ Auditions</t>
  </si>
  <si>
    <t>Taxi moto La gendarmerie- Hôtel Mithé</t>
  </si>
  <si>
    <t>Taxi moto Hôtel Mithé-La Brigade de Recherche/ Pour la visite geôle du 26/08/2025 à 20h</t>
  </si>
  <si>
    <t>Taxi moto Hôtel Mithé-La Brigade de Recherche/ Pour la visite geôle du 27/08/2025 à 07h</t>
  </si>
  <si>
    <t>Taxi moto Hôtel Mithé-La gendarmerie/ Comptages des écailles</t>
  </si>
  <si>
    <t>Taxi moto La gendarmerie- DDEF/ Saisie de la procédure</t>
  </si>
  <si>
    <t>Taxi moto DDEF-Charden farell/ Retrait de fonds</t>
  </si>
  <si>
    <t>Taxi moto Charden farell-Hôtel Mithé</t>
  </si>
  <si>
    <t>Taxi moto Hôtel Mithé-La Brigade de Recherche/ Pour la visite geôle du 27/08/2025 à 20h</t>
  </si>
  <si>
    <t>Taxi moto Hôtel Mithé-La Brigade de Recherche/ Pour la visite geôle du 28/08/2025 à 07h</t>
  </si>
  <si>
    <t>Taxi moto DDEF-Hôtel Mithé</t>
  </si>
  <si>
    <t>Taxi moto Hôtel Mithé-La Brigade de Recherche/ Pour la visite geôle du 28/08/2025 à 20h</t>
  </si>
  <si>
    <t>Taxi moto Hôtel Mithé-La Brigade de Recherche/ Pour la visite geôle du 29/08/2025 à 07h</t>
  </si>
  <si>
    <t>Taxi moto Hôtel Mithé-Cyber café/ Faire imprimer la procédure de la Gendarmerie</t>
  </si>
  <si>
    <t>Office materials</t>
  </si>
  <si>
    <t>Taxi moto Cyber café-Region de gendarmerie/ Faire signer les PV aux prévenus</t>
  </si>
  <si>
    <t>Taxi moto TGI- Hôtel Mithé</t>
  </si>
  <si>
    <t>DR-AU-R1</t>
  </si>
  <si>
    <t>DR-AU-D1</t>
  </si>
  <si>
    <t>DR-AU-D2</t>
  </si>
  <si>
    <t>DR-AU-R2</t>
  </si>
  <si>
    <t>DR-AU-R3</t>
  </si>
  <si>
    <t>DR-AU-R4</t>
  </si>
  <si>
    <t>DR-AU-R5</t>
  </si>
  <si>
    <t>DR-AU-R6</t>
  </si>
  <si>
    <t>DR-AU-R7</t>
  </si>
  <si>
    <t>DR-AU-R8</t>
  </si>
  <si>
    <t>DR-AU-D3</t>
  </si>
  <si>
    <t>DR-AU-R9</t>
  </si>
  <si>
    <t>Taxi, Domicile-Bureau PALF</t>
  </si>
  <si>
    <t>Achat Billet Brazzaville-Impfondo/Evariste</t>
  </si>
  <si>
    <t>Taxi, Bureau PALF-Domicile</t>
  </si>
  <si>
    <t>Taxi, Domicile-Agence Océan du Nord de Talangai</t>
  </si>
  <si>
    <t>Taxi moto, Agence Océan du Nord d'Oyo-Hôtel Saint Benoit</t>
  </si>
  <si>
    <t>Evariste-CONGO Ration du 14 août au 03 septembre 2025 à Impfondo ( 20 nuitées )</t>
  </si>
  <si>
    <t>Taxi moto, Hôtel Saint Benoit-Agence Océan du Nord d'Oyo</t>
  </si>
  <si>
    <t xml:space="preserve">Evariste-CONGO Frais de l'hôtel du 15 au 16/08/2025 à Enyelé ( 01 nuitée) </t>
  </si>
  <si>
    <t>Taxi moto, Agence Océan du Nord d'Impfondo-Hôtel Mité 2</t>
  </si>
  <si>
    <t>Taxi moto, Hôtel Mithé2-les environs de l'hôtel Tropicana</t>
  </si>
  <si>
    <t>Taxi moto, Hôtel Tropicana-Hôtel Mithé2</t>
  </si>
  <si>
    <t>Taxi moto, Hôtel Mithé2-Région de Gendarmerie</t>
  </si>
  <si>
    <t>Taxi moto, Région de Gendarmerie-Le Bar en face de l'hôtel Tropicana</t>
  </si>
  <si>
    <t>Rafraichissement de mon équipe lors de l'opération/ Evariste</t>
  </si>
  <si>
    <t>Taxi moto, Région de Gendarmerie-Hôtel Mithé2</t>
  </si>
  <si>
    <t>Taxi moto, Hôtel Mithé2-Region de gendarmerie</t>
  </si>
  <si>
    <t>Taxi moto, Région de gendarmerie-Charden Farell</t>
  </si>
  <si>
    <t>Taxi moto, Charden Farell-Region de gendarmerie</t>
  </si>
  <si>
    <t>Taxi moto, Hôtel Mithé2-Agence Océan du Nord d'Impfondo</t>
  </si>
  <si>
    <t>Taxi moto, Hôtel Mithé2-Charden Farell</t>
  </si>
  <si>
    <t>Taxi moto, Charden Farell-Hôtel Mithé2</t>
  </si>
  <si>
    <t>EV-AU-D1</t>
  </si>
  <si>
    <t>EV-AU-R1</t>
  </si>
  <si>
    <t>EV-AU-D2</t>
  </si>
  <si>
    <t>EV-AU-R2</t>
  </si>
  <si>
    <t>EV-AU-R3</t>
  </si>
  <si>
    <t>EV-AU-R4</t>
  </si>
  <si>
    <t>EV-AU-R5</t>
  </si>
  <si>
    <t>EV-AU-R6</t>
  </si>
  <si>
    <t>Taxi: Bureau-Imprimérie DL/ pour retirer les cartes de visite du Coordo</t>
  </si>
  <si>
    <t>Taxi: Imprimérie DL -Bureau</t>
  </si>
  <si>
    <t>Credit telephonique MTN PALF/du 18 au 31 Août2025/Romain</t>
  </si>
  <si>
    <t>Taxi: Bureau Agence Trans Bony de la Frontière</t>
  </si>
  <si>
    <t>Taxi: Agence Trans Bony de la Frontière-Agence Trans Bony de Diata</t>
  </si>
  <si>
    <t>Taxi: Agence Trans Bony de Diata-Bureau</t>
  </si>
  <si>
    <t>Taxi: Domicile-Agence Trans Bony de Diata</t>
  </si>
  <si>
    <t>Taxi: Bureau-Agence Océan du Nord de Talangai</t>
  </si>
  <si>
    <t>Taxi: Agence Océan du Nord de Talangai-Bureau</t>
  </si>
  <si>
    <t>Taxi: Bureau-Charden Farell(Pour le transfert d'argent)</t>
  </si>
  <si>
    <t>Taxi: Charden Farell-Bureau</t>
  </si>
  <si>
    <t>Taxi: Bureau-Charden Farell/Pour le transfert d'argent</t>
  </si>
  <si>
    <t>RM-AU-D1</t>
  </si>
  <si>
    <t>RM-AU-R1</t>
  </si>
  <si>
    <t>Evariste-CONGO Frais de l'hôtel du 14 au 15/08/2025 à Oyo ( 01 nuitée)</t>
  </si>
  <si>
    <t>Reglement honoraire du mois de Juillet 2025/IT87/3654411</t>
  </si>
  <si>
    <t>Reglement Facture Gardiennage Mois Juillet 2025/3654414</t>
  </si>
  <si>
    <t>RAPATRIEME01100 RAO00010886/Fondation de la Famille Dahan(DFF)</t>
  </si>
  <si>
    <t>RAPATRIEME01100 RAO00010886/Fondation Wildcat</t>
  </si>
  <si>
    <t>Paiement salaire du mois de Juillet 2025/Homéfa DOVI/3654413</t>
  </si>
  <si>
    <t>Solde honoraire contrat N°63_Brazzaville cas IBAMBOU ATEMBO Delmand Ferréol/Maitre Marie Hélène NANITELAMIO MALONGA/ 3654416</t>
  </si>
  <si>
    <t>Paiement Honoraire Me LOCKO/Mois de Juin 2025/36544889</t>
  </si>
  <si>
    <t>Paiement salaire du mois d'Août 2025/BAVOUMINA NZOUSSI Dina Parfaite/3654421</t>
  </si>
  <si>
    <t>Paiement salaire du mois d'Août 2025/FOUMBA Roderlin/3654424</t>
  </si>
  <si>
    <t>Paiement salaire du mois d'Août 2025/BOUNGOU MAKOSSO Abraham/3654423</t>
  </si>
  <si>
    <t>Paiement salaire du mois d'Août 2025/Crepin IBOUILI-IBOUILI</t>
  </si>
  <si>
    <t>Paiement salaire du mois d'Août 2025/PINDI BINGA Donald- Roméo</t>
  </si>
  <si>
    <t>Paiement salaire du mois d'Août 2025/Evariste LELOUSSI</t>
  </si>
  <si>
    <t>Paiement salaire du mois d'Août 2025/LOUNDOU JeanRomain/3654422</t>
  </si>
  <si>
    <t>Paiement salaire du mois d'Août 2025/Homéfa DOVI/3654425</t>
  </si>
  <si>
    <t>Reglement loyer du mois d'Août 2025/3654420</t>
  </si>
  <si>
    <t>Frais de virement salaire du mois d'Août 2025</t>
  </si>
  <si>
    <t>Reglement honoraire du mois d'Août 2025/G12/3654427</t>
  </si>
  <si>
    <t>Reglement honoraire du mois d'Août 2025/IT87/3654426</t>
  </si>
  <si>
    <t>BQ-AU-R2</t>
  </si>
  <si>
    <t>BQ-AU-R3</t>
  </si>
  <si>
    <t>BQ-AU-R4</t>
  </si>
  <si>
    <t>BQ-AU-R5</t>
  </si>
  <si>
    <t>BQ-AU-R6</t>
  </si>
  <si>
    <t>BQ-AU-R7</t>
  </si>
  <si>
    <t>BQ-AU-R8</t>
  </si>
  <si>
    <t>BQ-AU-R9</t>
  </si>
  <si>
    <t>BQ-AU-R10</t>
  </si>
  <si>
    <t>BQ-AU-R11</t>
  </si>
  <si>
    <t>BQ-AU-R12</t>
  </si>
  <si>
    <t>BQ-AU-R13</t>
  </si>
  <si>
    <t>BQ-AU-R14</t>
  </si>
  <si>
    <t>BQ-AU-R15</t>
  </si>
  <si>
    <t>BQ-AU-R16</t>
  </si>
  <si>
    <t>BQ-AU-R17</t>
  </si>
  <si>
    <t>BQ-AU-R18</t>
  </si>
  <si>
    <t>Reglement loyer du mois de Juillet 2025/3654407+C31C21CC3:C27</t>
  </si>
  <si>
    <t>BQ-AU-G1</t>
  </si>
  <si>
    <t>BQ-AU-G2</t>
  </si>
  <si>
    <t>août</t>
  </si>
  <si>
    <t>Achat produit d'entretien laits /Bureau PALF</t>
  </si>
  <si>
    <t>Achat produit d'entretien javel /Bureau PALF</t>
  </si>
  <si>
    <t>Achat produit d'entretien Nettoyant menage /Bureau PALF</t>
  </si>
  <si>
    <t>Achat produit d'entretien bloc WC /Bureau PALF</t>
  </si>
  <si>
    <t>Achat produit d'entretienBoite Matinal /Bureau PALF</t>
  </si>
  <si>
    <t>Achat produit d'entretien paquet Lipton/Bureau PALF</t>
  </si>
  <si>
    <t>Achat produit d'entretien Liquide vaiselle /Bureau PALF</t>
  </si>
  <si>
    <t>Achat produit d'entretien Savon/Bureau PALF</t>
  </si>
  <si>
    <t>Achat produit d'entretien proclin detergent/Bureau PALF</t>
  </si>
  <si>
    <t>Achat produit d'entretien Sucre /Bureau PALF</t>
  </si>
  <si>
    <t>Achat produit d'entretienPapier toilette/Bureau PALF</t>
  </si>
  <si>
    <t>Achat produit d'entretien Sac poubelle /Bureau PALF</t>
  </si>
  <si>
    <t>Bonus media portant sur le bilan des activités PALF de Janvier à Juillet pièces presse Internet (https://www.panoramik-actu.com)</t>
  </si>
  <si>
    <t>Bonus media portant sur le bilan des activités PALF de Janvier à Juillet pièces presse Internet (https://www.tribune-eco.cg)</t>
  </si>
  <si>
    <t>Bonus media portant sur le bilan des activités PALF de Janvier à Juillet pièces presse Internet (https://www.groupecongomedias.com)</t>
  </si>
  <si>
    <t>Bonus media portant sur le bilan des activités PALF de Janvier à Juillet pièces presse Internet (https://www.labreveonline.com)</t>
  </si>
  <si>
    <t>Bonus media portant sur le bilan des activités PALF de Janvier à Juillet pièces presse Internet (https://www.adiac-congo.com)</t>
  </si>
  <si>
    <t>Bonus media portant sur le bilan des activités PALF de Janvier à Juillet pièces presse Internet (https://www.lasemaineafricaine.info)</t>
  </si>
  <si>
    <t>Bonus media portant sur le bilan des activités PALF de Janvier à Juillet pièces presse Internet (https://www.matinlibre.cg)</t>
  </si>
  <si>
    <t>Bonus media portant sur le bilan des activités PALF de Janvier à Juillet pièces presse Internet (https://www.firstmediac.com)</t>
  </si>
  <si>
    <t>Bonus media portant sur le bilan des activités PALF de Janvier à Juillet pièces presse Internet (https://www.journaldebrazza.com)</t>
  </si>
  <si>
    <t>Bonus media portant sur le bilan des activités PALF de Janvier à Juillet pièces presse Internet (https://vmmedias.info)</t>
  </si>
  <si>
    <t>Bonus media portant sur le bilan des activités PALF de Janvier à Juillet pièces presse Internet (https://aci.cg)</t>
  </si>
  <si>
    <t>Bonus media portant sur le bilan des activités PALF de Janvier à Juillet pièces presse Internet (https://lesechos-congobrazza.com/)</t>
  </si>
  <si>
    <t>Bonus media portant sur le bilan des activités PALF de Janvier à Juillet pièces presse Internet (https://opinionpublique.cg)</t>
  </si>
  <si>
    <t>Bonus media portant sur le bilan des activités PALF de Janvier à Juillet pièces presse Internet (https://www.lhorizonafricain.com)</t>
  </si>
  <si>
    <t>Bonus media portant sur le bilan des activités PALF de Janvier à Juillet pièces presse Papier (Dépêches de Brazzaville)</t>
  </si>
  <si>
    <t>Bonus media portant sur le bilan des activités PALF de Janvier à Juillet pièces presse Papier (la semaine Africaine)</t>
  </si>
  <si>
    <t>Bonus media portant sur le bilan des activités PALF de Janvier à Juillet pièces presse Papier( l'horizon Africain)</t>
  </si>
  <si>
    <t>Bonus media portant sur le bilan des activités PALF de Janvier à Juillet pièces presse Papier (l'Agence congolaise de l'information)</t>
  </si>
  <si>
    <t>Bonus media portant sur le bilan des activités PALF de Janvier à Juillet pièces Radio, (Radio Citoyenne des Jeunes)</t>
  </si>
  <si>
    <t>Bonus medias(TV Congo) portant sur l'interpetation d'une trafiquante de produit de  faune le 25 Août Août 2025 à Impfondo pieces( télé Congo montages)</t>
  </si>
  <si>
    <t>Bonus medias(TV Congo) portant sur l'interpetation d'une trafiquante de produit de  faune le 25 Août Août 2025 à Impfondo pieces (télé Congo, lingala )</t>
  </si>
  <si>
    <t>Bonus medias(TV Congo) portant sur l'interpetation d'une trafiquante de produit de  faune le 25 Août Août 2025 à Impfondo pieces (télé Congo kituba)</t>
  </si>
  <si>
    <t>Bonus medias(TV Congo) portant sur l'interpetation d'une trafiquante de produit de  faune le 25 Août Août 2025 à Impfondo (pieces télé Congo français)</t>
  </si>
  <si>
    <t>CR-AU-R1-2</t>
  </si>
  <si>
    <t>CR-AU-R1-3</t>
  </si>
  <si>
    <t>CR-AU-R1-4</t>
  </si>
  <si>
    <t>CR-AU-R1-5</t>
  </si>
  <si>
    <t>CR-AU-R1-6</t>
  </si>
  <si>
    <t>CR-AU-R1-7</t>
  </si>
  <si>
    <t>CR-AU-R1-8</t>
  </si>
  <si>
    <t>CR-AU-R1-9</t>
  </si>
  <si>
    <t>CR-AU-R1-10</t>
  </si>
  <si>
    <t>Credit telephonique MTN/PALF/ du 01 au 07 Septembre 2025/DOVI</t>
  </si>
  <si>
    <t>Règlement Loyer Août/Coordinateur</t>
  </si>
  <si>
    <t>Credit telephonique MTN/PALF/ du 08 au 14 Septembre 2025/DOVI</t>
  </si>
  <si>
    <t>Bureau-Ambassade de France</t>
  </si>
  <si>
    <t>Ambassade de France - PNUD</t>
  </si>
  <si>
    <t>PNUD -Bureau</t>
  </si>
  <si>
    <t>Maison -Bureau</t>
  </si>
  <si>
    <t>Bureau -maison</t>
  </si>
  <si>
    <t>Parc Zoologique - Bureau</t>
  </si>
  <si>
    <t>Maison-Parc Zoologique (rendez vous avec le nouveau avec DGEF)</t>
  </si>
  <si>
    <t>Credit telephonique MTN/PALF/ du 15 au 21 Septembre 2025/DOVI</t>
  </si>
  <si>
    <t>Bureau-Banque BCI</t>
  </si>
  <si>
    <t>Banque BCI -Bureau</t>
  </si>
  <si>
    <t>Bureau- Maison</t>
  </si>
  <si>
    <t>Achat billet Brazzaville- Dolisie/ DOVI</t>
  </si>
  <si>
    <t>Maison-Transbony (Départ pour Dolisie)</t>
  </si>
  <si>
    <t>Credit telephonique MTN/PALF/ du 29 septembre au 05 octobre 2025/DOVI</t>
  </si>
  <si>
    <t>Ration du 29/09 au 02/ 10/ 2025 à Dolisie</t>
  </si>
  <si>
    <t>DH-S-D1</t>
  </si>
  <si>
    <t>DH-S-R1</t>
  </si>
  <si>
    <t>DH-S-R2</t>
  </si>
  <si>
    <t>DH-S-R3</t>
  </si>
  <si>
    <t>DH-S-R4</t>
  </si>
  <si>
    <t>DH-S-R5</t>
  </si>
  <si>
    <t>DH-S-R6</t>
  </si>
  <si>
    <t>CREPIN-CONGO Ration du 02 au 14/09/2025 à Impfondo</t>
  </si>
  <si>
    <t>Credit telephonique MTN PALF/du 01 au 07 septembre 2025/ crepin</t>
  </si>
  <si>
    <t>Achat Carburant de la BJ aller-retour Impfondo-Dangou</t>
  </si>
  <si>
    <t>plats pour les éléments pendant la mission de Dangou</t>
  </si>
  <si>
    <t>Credit telephonique MTN PALF/du 08 au 14 septembre 2025/ crepin</t>
  </si>
  <si>
    <t>Taxi moto: Hôtel-Gendamerie</t>
  </si>
  <si>
    <t>Taxi moto: Hôtel-Agence Océan pour les formalités</t>
  </si>
  <si>
    <t>Taxi moto: Agence Océan-Hôtel</t>
  </si>
  <si>
    <t>Taxi moto: Hôtel-Agence Océan du Nord</t>
  </si>
  <si>
    <t>Achat Billet Impfondo-Brazzaville/ CREPIN</t>
  </si>
  <si>
    <t>Taxi: Agence Océan de Talangai liberté-Camp militaire Mfilou</t>
  </si>
  <si>
    <t>Taxi: Domicile-Bureau pour signature des pièces comptables après l'appel de la comptable (Jour de recupération).</t>
  </si>
  <si>
    <t>Taxi: Bureau-Domicile</t>
  </si>
  <si>
    <t>Credit telephonique MTN PALF/du 17 au 21 septembre 2025/ crepin</t>
  </si>
  <si>
    <t>Bonus opération du 25/08/2025 à Impfondo/Crépin</t>
  </si>
  <si>
    <t>Taxi: Domicile Mayanga-Marché Total pour le bureau préparatifs mission Dolisie.</t>
  </si>
  <si>
    <t>Taxi: Marché Total-Bureau</t>
  </si>
  <si>
    <t>Taxi: Bureau-Marché Total</t>
  </si>
  <si>
    <t>Taxi: Domicile Mayanga-Marché Total</t>
  </si>
  <si>
    <t>Taxi: Bureau-Agence trans bony achat billets</t>
  </si>
  <si>
    <t xml:space="preserve">Taxi: Agence trans bony la frontière-Bureau </t>
  </si>
  <si>
    <t>Taxi: Marché Total-Domicile Mayanga.</t>
  </si>
  <si>
    <t>Achat Billet Brazzaville-Dolisie/ CREPIN</t>
  </si>
  <si>
    <t>Credit telephonique MTN PALF/du 29 septembre au 05 octobre 2025/ crepin</t>
  </si>
  <si>
    <t>CREPIN-CONGO Ration du 29 /09 au 05/10/2025 à Dolisie</t>
  </si>
  <si>
    <t>Taxi: Domicile Mayanga-Agence Trans Bony la Frontière</t>
  </si>
  <si>
    <t>CR-S-D2</t>
  </si>
  <si>
    <t>CR-S-R1</t>
  </si>
  <si>
    <t>CR-S-D1</t>
  </si>
  <si>
    <t>CR-S-R2</t>
  </si>
  <si>
    <t>CR-S-R3</t>
  </si>
  <si>
    <t>CR-S-R4</t>
  </si>
  <si>
    <t>CR-S-R5</t>
  </si>
  <si>
    <t>CR-S-R6</t>
  </si>
  <si>
    <t>CR-S-R7</t>
  </si>
  <si>
    <t>CR-S-R8</t>
  </si>
  <si>
    <t>CR-S-R9</t>
  </si>
  <si>
    <t>CR-S-R10</t>
  </si>
  <si>
    <t>CA-S-D5</t>
  </si>
  <si>
    <t>CR-S-R11</t>
  </si>
  <si>
    <t>CR-S-R12</t>
  </si>
  <si>
    <t>CR-S-D3</t>
  </si>
  <si>
    <t>Taxi:  Bureau-Banque BCI/ Retrait espece</t>
  </si>
  <si>
    <t>Taxi:  Banque BCI - Direction MTN /Achat crédit bureau PALF</t>
  </si>
  <si>
    <t>Taxi: Direction MTN-Bureau/</t>
  </si>
  <si>
    <t>Ration et frais d'hotel mission maitre Alain à Impfondo du 01 au 07/09/2025</t>
  </si>
  <si>
    <t>Frais de transport mission Maitre Alain à Impfondo du 01 au 07/09/2025</t>
  </si>
  <si>
    <t>Taxi: Bureau - Charden Farell/transfert d'argent à Roderlin et Maitre Alain</t>
  </si>
  <si>
    <t>Credit teléphonique MTN PALF/ du 01 au 07 septembre 2025/ Parfaite</t>
  </si>
  <si>
    <t>Taxi:  Banque BCI - Direction MTN /Complement Achat crédit bureau PALF</t>
  </si>
  <si>
    <t>Taxi: Direction MTN-Bureau</t>
  </si>
  <si>
    <t>Credit teléphonique MTN PALF/ du 08 au 14 septembre 2025/ Parfaite</t>
  </si>
  <si>
    <t>Taxi:  Bureau-Banque BCI/ Recuperation le reçu  Appro caisse du 08/09/2025PALF</t>
  </si>
  <si>
    <t>Taxi:  Banque BCI - Bureau</t>
  </si>
  <si>
    <t>Taxi:  Bureau-Banque BCI/Accusé reception de la lettre de justificatif de fond PALF</t>
  </si>
  <si>
    <t>Taxi:  Bureau-Banque BCI/ Retrait espèce</t>
  </si>
  <si>
    <t>Taxi:Bureau - Direction MTN / Achat crédit bureau PALF</t>
  </si>
  <si>
    <t>Credit teléphonique MTN PALF/ du 15 au 21 septembre 2025/ Parfaite</t>
  </si>
  <si>
    <t>Taxi: Bureau - Charden Farell/transfert d'argent à P29 et T73</t>
  </si>
  <si>
    <t>Taxi: Charden Farell- Bureau</t>
  </si>
  <si>
    <t>Taxi:  Bureau- Cabinet d'avocat/Depot  du chèque du mois d'aout 2025 Me LOCKO</t>
  </si>
  <si>
    <t>Taxi:  Cabinet d'Avocat - Domicile</t>
  </si>
  <si>
    <t>Frais de tansfert d'argent  a P29 et T73</t>
  </si>
  <si>
    <t>Taxi:  Bureau- Direction MTN/Transfert d'argent à P29 et T73</t>
  </si>
  <si>
    <t>Taxi:   Direction MTN- Domicile</t>
  </si>
  <si>
    <t>Frais de réparation d'imprimante bureau PALF</t>
  </si>
  <si>
    <t>Frais de ramassage Ordure de Septembre 2025</t>
  </si>
  <si>
    <t>Taxi:Domicile -Bureau</t>
  </si>
  <si>
    <t>Taxi:  Bureau- WESTERN UNION Moungali</t>
  </si>
  <si>
    <t>Taxi:  WESTERN UNION Moungali-WESTERN UNION Mapassi</t>
  </si>
  <si>
    <t>Taxi: WESTERN UNION Mapassi- WESTERN UNION Plateau</t>
  </si>
  <si>
    <t>Taxi:  WESTERN UNION Plateau- Bureau</t>
  </si>
  <si>
    <t>Taxi:   Bureau- Domicile</t>
  </si>
  <si>
    <t>Taxi:  Domicile- Western Union Plateau</t>
  </si>
  <si>
    <t>Taxi:  Domicile- Direction MTN/Achat crédits  Bureau PALF</t>
  </si>
  <si>
    <t>Taxi:   Direction MTN- Banque/Demande de positionnement de fond dans le compte PALF</t>
  </si>
  <si>
    <t>Credit teléphonique MTN PALF/ du 29  septembre au 05 octobre 2025/ Parfaite</t>
  </si>
  <si>
    <t>Taxi:  Banque BCI -Agence western union/ transfert d'argent à Jana et Lydia</t>
  </si>
  <si>
    <t>Taxi: Agence western union-Bureau</t>
  </si>
  <si>
    <t>Taxi:Bureau- Direction Canal Box/ Paiement internet du mois d'octobre 2025</t>
  </si>
  <si>
    <t>Frais de tansfert d'argent  à Jana et Lydia</t>
  </si>
  <si>
    <t>Reglement facture internet periode du 01/10 au 31/10/2025 bureau PALF</t>
  </si>
  <si>
    <t>Taxi: Direction Canal Box-Bureau/ Paiement internet du mois d'octobre 2025</t>
  </si>
  <si>
    <t>P-S-D1</t>
  </si>
  <si>
    <t>CA-S-R1</t>
  </si>
  <si>
    <t>CA-S-R2</t>
  </si>
  <si>
    <t>CA-S-R3</t>
  </si>
  <si>
    <t>P-S-R1</t>
  </si>
  <si>
    <t>CA-S-R5</t>
  </si>
  <si>
    <t>P-S-R2</t>
  </si>
  <si>
    <t>P-S-R3</t>
  </si>
  <si>
    <t>CA-S-R14</t>
  </si>
  <si>
    <t>CA-S-R18</t>
  </si>
  <si>
    <t>CA-S-R20</t>
  </si>
  <si>
    <t>CA-S-R21</t>
  </si>
  <si>
    <t>CA-S-R22</t>
  </si>
  <si>
    <t>P-S-R4</t>
  </si>
  <si>
    <t>CA-S-R24</t>
  </si>
  <si>
    <t>CA-S-R25</t>
  </si>
  <si>
    <t>Credit telephonique MTN PALF/ du 01 au 07 Septembre 2025/ Investigation/P29</t>
  </si>
  <si>
    <t>Credit telephonique MTN PALF/ du 08 au 14 Septembre 2025/ Investigation/P29</t>
  </si>
  <si>
    <t>Achat boisson</t>
  </si>
  <si>
    <t>Credit telephonique MTN PALF/ du 15 au 21 Septembre 2025/ Investigation/P29</t>
  </si>
  <si>
    <t>Credit telephonique MTN PALF/ du 29 Septembre  au 05 octobre 2025/ Investigation/P29</t>
  </si>
  <si>
    <t>P29-S-R1</t>
  </si>
  <si>
    <t>P29-S-D1</t>
  </si>
  <si>
    <t>P29-S-R2</t>
  </si>
  <si>
    <t>P29-S-R3</t>
  </si>
  <si>
    <t>P29-S-D2</t>
  </si>
  <si>
    <t>P29-S-D3</t>
  </si>
  <si>
    <t>P29-S-R4</t>
  </si>
  <si>
    <t>P29-S-R5</t>
  </si>
  <si>
    <t>P29-S-R6</t>
  </si>
  <si>
    <t>P29-S-R7</t>
  </si>
  <si>
    <t>P29-S-R8</t>
  </si>
  <si>
    <t>P29-S-R9</t>
  </si>
  <si>
    <t>P29-S-R10</t>
  </si>
  <si>
    <t>P29-S-R11</t>
  </si>
  <si>
    <t>travel subsistence</t>
  </si>
  <si>
    <t>Credit telephonique MTN PALF/ du 01 au 07 septembre 2025/ Investigation/T73</t>
  </si>
  <si>
    <t>Achat carte Sim MTN /T73</t>
  </si>
  <si>
    <t>réçu de caisse/T73</t>
  </si>
  <si>
    <t>Credit telephonique MTN PALF/ du 08 au 14 septembre 2025/ Investigation/T73</t>
  </si>
  <si>
    <t>achat boisson</t>
  </si>
  <si>
    <t>Credit telephonique MTN PALF/ du 15 au 21 septembre 2025/ Investigation/T73</t>
  </si>
  <si>
    <t>Credit telephonique MTN PALF/ du 29 septembre au 05 octobre 2025/ Investigation/T73</t>
  </si>
  <si>
    <t>T73-S-R1</t>
  </si>
  <si>
    <t>T73-S-R2</t>
  </si>
  <si>
    <t>T73-S-D1</t>
  </si>
  <si>
    <t>T73-S-R3</t>
  </si>
  <si>
    <t>CA-S-R6</t>
  </si>
  <si>
    <t>T73-S-D2</t>
  </si>
  <si>
    <t>T73-S-D3</t>
  </si>
  <si>
    <t>T73-S-R4</t>
  </si>
  <si>
    <t>T73-S-R5</t>
  </si>
  <si>
    <t>T73-S-R6</t>
  </si>
  <si>
    <t>T73-S-R7</t>
  </si>
  <si>
    <t>T73-S-R8</t>
  </si>
  <si>
    <t>T73-S-R9</t>
  </si>
  <si>
    <t>T73-S-R10</t>
  </si>
  <si>
    <t>Credit telephonique MTN PALF/du 01 au 07 septembre 2025/IT87</t>
  </si>
  <si>
    <t>Credit telephonique MTN PALF/du 08 au 14 septembre 2025/IT87</t>
  </si>
  <si>
    <t>Credit telephonique MTN PALF/du 15 au 21 septembre 2025/IT87</t>
  </si>
  <si>
    <t>Credit telephonique MTN PALF/du 29 septembre au 05 octobre 2025/IT87</t>
  </si>
  <si>
    <t>IT87-S-R1</t>
  </si>
  <si>
    <t>IT87-S-D1</t>
  </si>
  <si>
    <t>IT87-S-R2</t>
  </si>
  <si>
    <t>IT87-S-D3</t>
  </si>
  <si>
    <t>IT87-S-D2</t>
  </si>
  <si>
    <t>IT87-S-R3</t>
  </si>
  <si>
    <t>IT87-S-R4</t>
  </si>
  <si>
    <t>IT87-S-R5</t>
  </si>
  <si>
    <t>IT87-S-R6</t>
  </si>
  <si>
    <t>IT87-S-R7</t>
  </si>
  <si>
    <t>IT87-S-R8</t>
  </si>
  <si>
    <t>IT87-S-R9</t>
  </si>
  <si>
    <t>IT87-S-R10</t>
  </si>
  <si>
    <t>Credit telephonique MTN PALF/du 01 au 07 septembre 2025/G12</t>
  </si>
  <si>
    <t>Credit telephonique MTN PALF/du 08 au 14 septembre 2025/G12</t>
  </si>
  <si>
    <t>Credit telephonique MTN PALF/du 15 au 21 septembre 2025/G12</t>
  </si>
  <si>
    <t>Credit telephonique MTN PALF/du 29 septembre au 05 octobre 2025/G12</t>
  </si>
  <si>
    <t>G12-S-R1</t>
  </si>
  <si>
    <t>G12-S-R2</t>
  </si>
  <si>
    <t>G12-S-D1</t>
  </si>
  <si>
    <t>G12-S-R3</t>
  </si>
  <si>
    <t>G12-S-R4</t>
  </si>
  <si>
    <t>Credit telephonique MTN PALF/ du 01 au 07 septembre 2025/Abraham</t>
  </si>
  <si>
    <t>Taxi: Bureau-Charden Farell/Transfert de fonds</t>
  </si>
  <si>
    <t>Frais de tansfert d'argent à Donald-Roméo et Crepin</t>
  </si>
  <si>
    <t>Taxi: Charden Farel-Bureau</t>
  </si>
  <si>
    <t>Taxi: Bureau-DGEF Dépôt des contrats</t>
  </si>
  <si>
    <t>Taxi: DGEF-Bureau</t>
  </si>
  <si>
    <t>Frais de tansfert d'argent à P29, Crepin,T73, IT87 et Donald-Roméo</t>
  </si>
  <si>
    <t>Taxi: Bureau-Station Total Energies Loutassi/Achat carburant</t>
  </si>
  <si>
    <t>Taxi: Station Total Energies Loutassi-Bureau</t>
  </si>
  <si>
    <t>Credit telephonique MTN PALF/ du 08 au 14 septembre 2025/Abraham</t>
  </si>
  <si>
    <t xml:space="preserve">Achat carburant groupe electrogène Bureau </t>
  </si>
  <si>
    <t>Credit telephonique MTN PALF/ du 15 au 21 septembre 2025/Abraham</t>
  </si>
  <si>
    <t>Taxi: Bureau-Cabinet Me. BANZOUZI</t>
  </si>
  <si>
    <t>Taxi: Cabinet Me. BANZOUZI-Domicile</t>
  </si>
  <si>
    <t>Taxi: Domicile-Cabinet Me. BANZOUZI</t>
  </si>
  <si>
    <t>Taxi: Cabinet Me. BANZOUZI- Bureau</t>
  </si>
  <si>
    <t>Taxi: Bureau-DGEF</t>
  </si>
  <si>
    <t>Credit telephonique MTN PALF/ du 29 septembre au 05 octobre 2025/Abraham</t>
  </si>
  <si>
    <t>AB-S-R1</t>
  </si>
  <si>
    <t>AB-S-D1</t>
  </si>
  <si>
    <t>CA-S-R4</t>
  </si>
  <si>
    <t>CA-S-R7</t>
  </si>
  <si>
    <t>AB-S-R2</t>
  </si>
  <si>
    <t>CA-S-R8</t>
  </si>
  <si>
    <t>CA-S-R13</t>
  </si>
  <si>
    <t>AB-S-R3</t>
  </si>
  <si>
    <t>CA-S-R19</t>
  </si>
  <si>
    <t>AB-S-R4</t>
  </si>
  <si>
    <t>Taxi-moto:Hôtel Mithe-TGI de Ouesso</t>
  </si>
  <si>
    <t>Taxi-moto:TGI-Hôtel Mithe</t>
  </si>
  <si>
    <t>Achat billet Impfondo-Brazzaville/ Roderlin</t>
  </si>
  <si>
    <t>RODERLIN-CONGO Ration du 01 au 07/09/2025 à Impfondo (06 nuitées)</t>
  </si>
  <si>
    <t>Credit telephonique MTN PALF/du 01 au 07 Septembre 2025/Roderlin</t>
  </si>
  <si>
    <t>Taxi-moto:Hôtel Mithe-Charden Farrel</t>
  </si>
  <si>
    <t xml:space="preserve">Taxi-moto:Charden Farrel-Hôtel Mithe </t>
  </si>
  <si>
    <t>RODERLIN-CONGO Frais d'hôtel du 30/08/ au 05/09/2025 à Impfondo (06 nuitée)</t>
  </si>
  <si>
    <t xml:space="preserve">Tax-moto:Hôtel Mithe-Agence Océan du nord </t>
  </si>
  <si>
    <t>RODERLIN-CONGO Frais d'hôtel du 05 au 06/09/2025 à Enyele (01 nuitée)</t>
  </si>
  <si>
    <t>Taxi-moto:Agence Océan du nord de Gamboma-Hôtel Baobab</t>
  </si>
  <si>
    <t>RODERLIN-CONGO Frais d'hôtel du 06 au 07/09/2025 à Gamboma (01 nuitée)</t>
  </si>
  <si>
    <t xml:space="preserve">Taxi-moto:Hôtel Baobab-Agence Océan du nord </t>
  </si>
  <si>
    <t xml:space="preserve">Taxi:Agence Océan du nord de la liberté-Domicile </t>
  </si>
  <si>
    <t>Credit telephonique MTN PALF/du 08 au 14 Septembre 2025/Roderlin</t>
  </si>
  <si>
    <t>Taxi:Bureau-Cabinet BANZOUZI pour la vérification de la disponibilité du rapport de mission</t>
  </si>
  <si>
    <t>Taxi:Bureau-Cabinet BANZOUZI pour le rétrait du rapport de mission</t>
  </si>
  <si>
    <t>Taxi:Bureau-Agence énergie électrique du Congo</t>
  </si>
  <si>
    <t>Taxi:Agence énergie électrique du Congo-Bureau</t>
  </si>
  <si>
    <t>Réglement facture électricité periode Juillet-Aôut 2025/bureau PALF</t>
  </si>
  <si>
    <t>Credit telephonique MTN PALF/du 15 au 21 Septembre 2025/Roderlin</t>
  </si>
  <si>
    <t>Taxi:Bureau-Station 10 maisons pour achat du carburant</t>
  </si>
  <si>
    <t xml:space="preserve">Taxi:Station 10 maisons- Station NGANGA Edouard </t>
  </si>
  <si>
    <t>Station NGANGA Edouard-Station Rond-point de moungali</t>
  </si>
  <si>
    <t>Taxi:Station rond-point moungali-Station marché moungali</t>
  </si>
  <si>
    <t>Taxi:Marché moungali-Bureau</t>
  </si>
  <si>
    <t>Credit telephonique MTN PALF/du 29 Septembre au 05 octobre 2025/Roderlin</t>
  </si>
  <si>
    <t>RO-S-D1</t>
  </si>
  <si>
    <t>RO-S-R1</t>
  </si>
  <si>
    <t>RO-S-D2</t>
  </si>
  <si>
    <t>RO-S-R2</t>
  </si>
  <si>
    <t>RO-S-R3</t>
  </si>
  <si>
    <t>RO-S-R4</t>
  </si>
  <si>
    <t>RO-S-R5</t>
  </si>
  <si>
    <t>RO-S-R6</t>
  </si>
  <si>
    <t>CA-S-R12</t>
  </si>
  <si>
    <t>RO-S-R7</t>
  </si>
  <si>
    <t>CA-S-R15</t>
  </si>
  <si>
    <t>RO-S-R8</t>
  </si>
  <si>
    <t>Taxi moto Hôtel Mithé-TGI/ Suivi d'audience</t>
  </si>
  <si>
    <t>Taxi moto TGI- Agence Océan du Nord/ Pour la reservation des billets</t>
  </si>
  <si>
    <t>Credit telephonique MTN PALF/du 01 au 07 septembre 2025</t>
  </si>
  <si>
    <t>Taxi moto Agence Océan du Nord-Hôtel Mithé</t>
  </si>
  <si>
    <t>Achat billet Imfondo-Brazzaville/ Donald-Roméo</t>
  </si>
  <si>
    <t>Donald-Roméo CONGO Ration  du  02 au 14/09/2025 à Oyo, Impfondo et  Enyellé/ Donald-Roméo</t>
  </si>
  <si>
    <t>Taxi moto Hôtel Mithé-Charden farell/ Retrait de fonds</t>
  </si>
  <si>
    <t>Taxi moto Hôtel Mithé- Agence Océan du Nord/ Pour le repport des billets</t>
  </si>
  <si>
    <t>Taxi moto Hôtel Mithé-Region de gendarmerie/ Rencontrer le CEMREG</t>
  </si>
  <si>
    <t>Taxi moto Gendarmerie- Hôtel Mithé</t>
  </si>
  <si>
    <t>Taxi moto Bankandi- Hôtel Mithé/ Après l'achat du carburant</t>
  </si>
  <si>
    <t>Taxi moto Hôtel Mithé-Bankandi/ Boutique/ Achat rafraîchissement</t>
  </si>
  <si>
    <t>Taxi moto Bankandi- Hôtel Mithé</t>
  </si>
  <si>
    <t>Taxi moto Gendarmerie- Hôtel Mithé/ Après Dongou</t>
  </si>
  <si>
    <t>Credit telephonique MTN PALF/du 08 au 14 septembre 2025</t>
  </si>
  <si>
    <t>Taxi moto Hôtel Mithé-Gengarmerie/ Rencontrer le CEMRG</t>
  </si>
  <si>
    <t>Taxi moto Gendarmerie-Charden farell/ Retrait de fonds</t>
  </si>
  <si>
    <t>Taxi moto Charden farell-Agence Océan du Nord/ Regulariser les billets</t>
  </si>
  <si>
    <t>Taxi moto Hôtel Mithé Océan du Nord/ Formalités</t>
  </si>
  <si>
    <t>Donald-Roméo CONGO Frais d'hôtel/  27 Nuitées du 16/08 au 12/09/2025 à Impfondo (Hôtel  Mithé)</t>
  </si>
  <si>
    <t>Taxi moto Hôtel Mithé-Agence océan du Nord/ Pour Brazzaville</t>
  </si>
  <si>
    <t>Taxi moto agence océan du Nord- Hôtel Paulina/ A Enyellé</t>
  </si>
  <si>
    <t>Donald-Roméo CONGO Frais d'hôtel/  01 Nuitée du 12 au 13/09/2025 à Enyellé (Hôtel  Paulina)</t>
  </si>
  <si>
    <t>Taxi moto  Hôtel Paulina-agence océan du Nord</t>
  </si>
  <si>
    <t>Taxi moto agence océan du Nord-Hôtel Baobab</t>
  </si>
  <si>
    <t>Donald-Roméo CONGO Frais d'hôtel/  01 Nuitée du 13 au 14/09/2025 à Gamboma (Hôtel  Baobab)</t>
  </si>
  <si>
    <t>Taxi moto Hôtel Baobad-Agence Océan du Nord de Gamboma/ Pour Brazzaville</t>
  </si>
  <si>
    <t>Taxi Agence Ocean du Nord de Talangaï- Domicile</t>
  </si>
  <si>
    <t>Credit telephonique MTN PALF/ du 15 au 21 septembre 2025</t>
  </si>
  <si>
    <t>Taxi Domicile-Bureau/ Pour une eventuelle mission</t>
  </si>
  <si>
    <t>Taxi Bureau-Domicile</t>
  </si>
  <si>
    <t>Taxi Domicile-Bureau/ Pour preparer la mission sur Dolisie</t>
  </si>
  <si>
    <t>Achat billet Brazzaville-Dolisie/ Donald-Roméo</t>
  </si>
  <si>
    <t>Taxi Domicile-Agence Trans Bony de la frontière/ Pour Dolisie</t>
  </si>
  <si>
    <t>Credit telephonique MTN PALF/ du 29 au 05  septembre 2025</t>
  </si>
  <si>
    <t>Taxi Agence Trans Bony de Dolisie-Hôtel Yasmine/ Crepin/ Evariste/Dovi/Donald</t>
  </si>
  <si>
    <t>Donald-Roméo CONGO Ration  du  29/09 au 05/10/2025 à Dolisie</t>
  </si>
  <si>
    <t>DR-S-D1</t>
  </si>
  <si>
    <t>DR-S-R1</t>
  </si>
  <si>
    <t>DR-S-R2</t>
  </si>
  <si>
    <t>DR-S-D2</t>
  </si>
  <si>
    <t>DR-S-R3</t>
  </si>
  <si>
    <t>DR-S-R4</t>
  </si>
  <si>
    <t>DR-S-R5</t>
  </si>
  <si>
    <t>DR-S-R6</t>
  </si>
  <si>
    <t>DR-S-R7</t>
  </si>
  <si>
    <t>DR-S-R8</t>
  </si>
  <si>
    <t>DR-S-R9</t>
  </si>
  <si>
    <t>DR-S-D3</t>
  </si>
  <si>
    <t>Achat billet Impfondo-Brazzaville</t>
  </si>
  <si>
    <t>Credit telephonique MTN PALF/du 01 au 07 septembre 2025/ Evariste</t>
  </si>
  <si>
    <t>Taxi, Agence Océan du Nord de Talangaï-Domicile</t>
  </si>
  <si>
    <t>Taxi, Les dépêches de Brazzaville-Agence Congolaise d'information</t>
  </si>
  <si>
    <t>Taxi, Agence Congolaise d'Information-Radio Citoyenne des Jeunes</t>
  </si>
  <si>
    <t>Taxi, Radio Citoyenne des jeunes-groupecongomedias.com</t>
  </si>
  <si>
    <t>Taxi, tribune-eco.com-Bureau PALF</t>
  </si>
  <si>
    <t>Bonus media portant sur l'interpelation d'une trafiquante de produit de faune le 25 août 2025 à Impfondo  pièces presse Internet (https://www.panoramik-actu.com)</t>
  </si>
  <si>
    <t>Bonus media portant sur l'interpelation d'une trafiquante de produit de faune le 25 août 2025 à Impfondo pièces presse Internet (https://www.tribune-eco.cg)</t>
  </si>
  <si>
    <t>Bonus media portant sur l'interpelation d'une trafiquante de produit de faune le 25 août 2025 à Impfondo pièces presse Internet (https://www.groupecongomedias.com)</t>
  </si>
  <si>
    <t>Bonus media portant sur l'interpelation d'une trafiquante de produit de faune le 25 août 2025 à Impfondo pièces presse Internet (https://www.labreveonline.com)</t>
  </si>
  <si>
    <t>Bonus media portant sur l'interpelation d'une trafiquante de produit de faune le 25 août 2025 à Impfondo pièces presse Internet (https://www.adiac-congo.com)</t>
  </si>
  <si>
    <t>Bonus media portant sur l'interpelation d'une trafiquante de produit de faune le 25 août 2025 à Impfondo pièces presse Internet (https://www.lasemaineafricaine.info)</t>
  </si>
  <si>
    <t>Bonus media portant sur l'interpelation d'une trafiquante de produit de faune le 25 août 2025 à Impfondo pièces presse Internet (https://www.matinlibre.cg)</t>
  </si>
  <si>
    <t>Bonus media portant sur l'interpelation d'une trafiquante de produit de faune le 25 août 2025 à Impfondo pièces presse Internet (https://www.firstmediac.com)</t>
  </si>
  <si>
    <t>Bonus media portant sur l'interpelation d'une trafiquante de produit de faune le 25 août 2025 à Impfondo pièces presse Internet (https://www.journaldebrazza.com)</t>
  </si>
  <si>
    <t>Bonus media portant sur l'interpelation d'une trafiquante de produit de faune le 25 août 2025 à Impfondo pièces presse Internet (https://vmmedias.info)</t>
  </si>
  <si>
    <t>Bonus media portant sur l'interpelation d'une trafiquante de produit de faune le 25 août 2025 à Impfondo pièces presse Internet (https://aci.cg)</t>
  </si>
  <si>
    <t>Bonus media portant sur l'interpelation d'une trafiquante de produit de faune le 25 août 2025 à Impfondo pièces presse Internet (https://lesechos-congobrazza.com/)</t>
  </si>
  <si>
    <t>Bonus media portant sur l'interpelation d'une trafiquante de produit de faune le 25 août 2025 à Impfondo pièces presse Internet (https://opinionpublique.cg)</t>
  </si>
  <si>
    <t>Bonus media portant sur l'interpelation d'une trafiquante de produit de faune le 25 août 2025 à Impfondo pièces presse Internet (https://www.lhorizonafricain.com)</t>
  </si>
  <si>
    <t>Bonus media portant sur l'interpelation d'une trafiquante de produit de faune le 25 août 2025 à Impfondo pièces presse Papier (Dépêches de Brazzaville)</t>
  </si>
  <si>
    <t>Bonus media portant sur l'interpelation d'une trafiquante de produit de faune le 25 août 2025 à Impfondo pièces presse Papier (la semaine Africaine)</t>
  </si>
  <si>
    <t>Bonus media portant sur l'interpelation d'une trafiquante de produit de faune le 25 août 2025 à Impfondo pièces presse Papier( l'horizon Africain)</t>
  </si>
  <si>
    <t>Bonus media portant sur l'interpelation d'une trafiquante de produit de faune le 25 août 2025 à Impfondo pièces presse Papier (l'Agence congolaise de l'information)</t>
  </si>
  <si>
    <t>Bonus media portant sur l'interpelation d'une trafiquante de produit de faune le 25 août 2025 à Impfondo pièces presse Radio (radio citoyenne des jeunes)</t>
  </si>
  <si>
    <t>Bonus media portant sur l'interpelation d'une trafiquante de produit de faune le 25 août 2025 à Impfondo pièces presse Radio (radioLiberté français)</t>
  </si>
  <si>
    <t>Bonus media portant sur l'interpelation d'une trafiquante de produit de faune le 25 août 2025 à Impfondo pièces presse Radio (radioLiberté kituba)</t>
  </si>
  <si>
    <t>Bonus media portant sur l'interpelation d'une trafiquante de produit de faune le 25 août 2025 à Impfondo pièces presse Radio (radioLiberté lingala)</t>
  </si>
  <si>
    <t>Taxi, Bureau PALF-firstmedias.com</t>
  </si>
  <si>
    <t>Taxi, firstmedias.com-Radio Liberté</t>
  </si>
  <si>
    <t>Taxi, Radio Liberté-La Semaine Africaine</t>
  </si>
  <si>
    <t>Taxi, La Semaine Africaine-Bureau PALF</t>
  </si>
  <si>
    <t>Credit telephonique MTN PALF/du 08 au 14 septembre 2025/ Evariste</t>
  </si>
  <si>
    <t>Bonus opération du 25/08/2025 à Impfondo/Evariste</t>
  </si>
  <si>
    <t>Credit telephonique MTN PALF/du 15 au 21 septembre 2025/ Evariste</t>
  </si>
  <si>
    <t>Achat billet Brazzaville-Dolisie</t>
  </si>
  <si>
    <t>Taxi, Domicile-Agence Trans Bony de Brazzaville</t>
  </si>
  <si>
    <t>Credit telephonique MTN PALF/du 29 septembre au 05 octobre 2025/ Evariste</t>
  </si>
  <si>
    <t>EV-S-R1</t>
  </si>
  <si>
    <t>EV-S-R2</t>
  </si>
  <si>
    <t>EV-S-D1</t>
  </si>
  <si>
    <t>EV-S-R3</t>
  </si>
  <si>
    <t>EV-S-R4</t>
  </si>
  <si>
    <t>EV-S-R5</t>
  </si>
  <si>
    <t>CA-S-D1</t>
  </si>
  <si>
    <t>CA-S-D2</t>
  </si>
  <si>
    <t>CA-S-D3</t>
  </si>
  <si>
    <t>EV-S-R6</t>
  </si>
  <si>
    <t>EV-S-R7</t>
  </si>
  <si>
    <t>CA-S-D4</t>
  </si>
  <si>
    <t>EV-S-R8</t>
  </si>
  <si>
    <t>EV-S-R9</t>
  </si>
  <si>
    <t>EV-S-R10</t>
  </si>
  <si>
    <t>EV-S-D2</t>
  </si>
  <si>
    <t>Credit telephonique MTN PALF/du 01 au 07 Septembre 2025/Romain</t>
  </si>
  <si>
    <t>Credit telephonique MTN PALF/du 08 au 14 Septembre 2025/Romain</t>
  </si>
  <si>
    <t>Frais de tansfert d'argent à Crepin</t>
  </si>
  <si>
    <t>Taxi: Bureau-Charden Farell</t>
  </si>
  <si>
    <t>Taxi: Bureau-Direction Générale de l'Economie Forestière</t>
  </si>
  <si>
    <t>Taxi: Direction Générale de l'Economie Forestière-Bureau</t>
  </si>
  <si>
    <t>Taxi: Bureau-Charden Farrell(pour le transfert des fonds)</t>
  </si>
  <si>
    <t>Frais de tansfert d'argent à Crepin, Donald-Roméo, P29</t>
  </si>
  <si>
    <t>Taxi: Bureau-Cabinet Maitre BANZOUZI</t>
  </si>
  <si>
    <t>Taxi:Cabinet de Maitre BANZOUZI-Bureau</t>
  </si>
  <si>
    <t>Credit telephonique MTN PALF/du 15 au 21 Septembre 2025/Romain</t>
  </si>
  <si>
    <t>Frais de tansfert d'argent àl'informateur en RDC</t>
  </si>
  <si>
    <t>Taxi: Cabinet Maitre BANZOUZI-Domicile</t>
  </si>
  <si>
    <t>Taxi: Bureau-Station PUMA Service pour l'achat du carburant</t>
  </si>
  <si>
    <t>Taxi: Station PUMA Service</t>
  </si>
  <si>
    <t>Credit telephonique MTN PALF/du 29 Septembre au 05 Octobre 2025/Romain</t>
  </si>
  <si>
    <t>RM-S-R1</t>
  </si>
  <si>
    <t>RM-S-D1</t>
  </si>
  <si>
    <t>RM-S-R2</t>
  </si>
  <si>
    <t>CA-S-R9</t>
  </si>
  <si>
    <t>CA-S-R10</t>
  </si>
  <si>
    <t>CA-S-R11</t>
  </si>
  <si>
    <t>RM-S-R3</t>
  </si>
  <si>
    <t>CA-S-R16</t>
  </si>
  <si>
    <t>CA-S-R17</t>
  </si>
  <si>
    <t>CA-S-R23</t>
  </si>
  <si>
    <t>RM-S-R4</t>
  </si>
  <si>
    <t>Reglement honoraire du mois de de d'Août 2025/P29/3654429</t>
  </si>
  <si>
    <t>Reglement honoraire du mois d'Août 2025/T73/3654430</t>
  </si>
  <si>
    <t>Reglement Facture Gardiennage Mois d'Août 2025/365443654431</t>
  </si>
  <si>
    <t>Acompte honoraire contrat N°85 Impfondo cas MOUKOA Clarisse/Maitre  Alain BAZOUNZI/ 3654434</t>
  </si>
  <si>
    <t>Paiement Honoraire Me LOCKO/Mois d'Août  2025/3654435</t>
  </si>
  <si>
    <t>RAPATRIEME01100 RAO00010914/Fondation Wildcat</t>
  </si>
  <si>
    <t>RAPATRIEME01100 RAO00010914/Fondation de la Famille Dahan(DFF)</t>
  </si>
  <si>
    <t>RAPATRIEME01100 RAO00010914/Fondation OAT</t>
  </si>
  <si>
    <t>BQ-S-R1</t>
  </si>
  <si>
    <t>BQ-S-R2</t>
  </si>
  <si>
    <t>BQ-S-R3</t>
  </si>
  <si>
    <t>BQ-S-R4</t>
  </si>
  <si>
    <t>BQ-S-R5</t>
  </si>
  <si>
    <t>BQ-S-R6</t>
  </si>
  <si>
    <t>BQ-S-G1</t>
  </si>
  <si>
    <t>BQ-S-G2</t>
  </si>
  <si>
    <t>BQ-S-G3</t>
  </si>
  <si>
    <t>sept</t>
  </si>
  <si>
    <t xml:space="preserve">Plats  pour les elements de  la mission de Dangou </t>
  </si>
  <si>
    <t>CREPIN-CONGO Frais d'hôtel Crépin  du 25/08/ au 12/09/2025à Impfondo (18 Nuitées)</t>
  </si>
  <si>
    <t>CREPIN-CONGO Frais d'hôtel   du 12 au 13/09/2025 à Enyellé ( 01 Nuitée)</t>
  </si>
  <si>
    <t>CREPIN-CONGO Frais d'hôtel  du 13 au 14/09/2025 à Gamboma (01 Nuitée)</t>
  </si>
  <si>
    <t xml:space="preserve">EVARISTE-CONGO Frais de l'hôtel du 16 août au 01 septembre 2025 à Impfondo ( 16 nuitées) </t>
  </si>
  <si>
    <t xml:space="preserve">EVARISTE-CONGOFrais de l'hôtel du 02 au 03 septembre 2025 à Gamboma ( une nuitée) </t>
  </si>
  <si>
    <t xml:space="preserve">EVARISTE-CONGO Frais de l'hôtel du 01 au 02 septembre  à Enyellé ( une nuitée) </t>
  </si>
  <si>
    <t>Evariste- CONGO Ration du 29 septembre au 05 octobre 2025 à Dolisie</t>
  </si>
  <si>
    <t>DOVI-CONGO Ration du 29 Septembre 2025 au 02 Octobre 2025 soit 06 nuitées à Dolisie(Hôtel Yasmine)</t>
  </si>
  <si>
    <t>Hotel Yasmine - DDEF</t>
  </si>
  <si>
    <t>DDEF - Hôtel Yasmine</t>
  </si>
  <si>
    <t>Hôtel Yasmine -Gendarmerie</t>
  </si>
  <si>
    <t>Gendarmerie - Hotel Mandébi</t>
  </si>
  <si>
    <t>Rafraîchissement op</t>
  </si>
  <si>
    <t>Hotel Mandébi - Gendarmerie</t>
  </si>
  <si>
    <t>Hotel Mandébi - Hotel Yasmine</t>
  </si>
  <si>
    <t>Achat billet Dolisie - Brazzaville/ DOVI</t>
  </si>
  <si>
    <t>DOVI-CONGO Frais d'hôtel du 29  Septembre 2025 au 05 Octobre 2025 soit 06 nuitées à Dolisie(Hôtel Yasmine)</t>
  </si>
  <si>
    <t>Hôtel Yasmine - Agence Transbony (paiement aller et retour du taxi qui est venu me récupérer à l'hôtel)</t>
  </si>
  <si>
    <t>Kintélé - Maison (Bus tombé en panne et contrains de prendre un taxi)</t>
  </si>
  <si>
    <t>Maison-Agence transbony (recupération de ma valise)</t>
  </si>
  <si>
    <t>Agence transbony - Maison</t>
  </si>
  <si>
    <t>Credit telephonique MTN/PALF/ du 06 au 12 octobre 2025/DOVI</t>
  </si>
  <si>
    <t>Règlement loyer mois de Septembre 2025/Coordo</t>
  </si>
  <si>
    <t>Bureau-UBA</t>
  </si>
  <si>
    <t>UBA-Bureau</t>
  </si>
  <si>
    <t>Credit telephonique MTN/PALF/ du 13 au 19 octobre 2025/ DOVI</t>
  </si>
  <si>
    <t>Credit telephonique MTN/PALF/ du 20 au 26 octobre 2025/ DOVI</t>
  </si>
  <si>
    <t>Bureau- Aspinall</t>
  </si>
  <si>
    <t>Achat billet Brazzaville -Nkayi/ DOVI</t>
  </si>
  <si>
    <t>Bureau maison</t>
  </si>
  <si>
    <t>DOVI-CONGO Ration du 25 Octobre 2025 au 29 Octobre 2025 soit 04 nuitées à Nkayi(Hôtel LE DECHEL)</t>
  </si>
  <si>
    <t>Maison- Agence Transbony La Frontière</t>
  </si>
  <si>
    <t>Rafraîchissement et restauration à l'équipe des EF déplacés sur Madingou</t>
  </si>
  <si>
    <t>Achat carburant dans le véhicule de la CBEF pour Madingou Aller -Retour</t>
  </si>
  <si>
    <t>Credit telephonique MTN/PALF/ du 27 octobre au 02 novembre 2025/ DOVI</t>
  </si>
  <si>
    <t>Gendarmerie - Hôpital de Référence</t>
  </si>
  <si>
    <t>Hôpital de Référence-Pharmacie Robert</t>
  </si>
  <si>
    <t>Pharmacie Robert-Pharmacie Eden</t>
  </si>
  <si>
    <t>Pharmacie Eden - Hôpital</t>
  </si>
  <si>
    <t>Consultation agent mordu par le chimpanzé</t>
  </si>
  <si>
    <t>Achat serum anti tétanique agent</t>
  </si>
  <si>
    <t>Achat antibiotique agent</t>
  </si>
  <si>
    <t>Pharmacie Robert- Hôtel LE DECHEL</t>
  </si>
  <si>
    <t>Achat billet Nkayi - Brazzaville/ DOVI</t>
  </si>
  <si>
    <t>DOVI-CONGO Frais d'hôtel du 25 Octobre 2025 au 29 Octobre 2025 soit 04 nuitées à Nkayi(Hôtel Le Dechel)</t>
  </si>
  <si>
    <t>Agence transbony Plateau - Maison</t>
  </si>
  <si>
    <t>Reçu caisse</t>
  </si>
  <si>
    <t>Bureau- Cabinet Me OKEMBA</t>
  </si>
  <si>
    <t>Reglement assurance retraite Coordinateur periode Juillet, Août, Septembre et Octobre 2025</t>
  </si>
  <si>
    <t>DH-O-D2</t>
  </si>
  <si>
    <t>DH-O-D1</t>
  </si>
  <si>
    <t>DH-O-R1</t>
  </si>
  <si>
    <t>DH-O-R2</t>
  </si>
  <si>
    <t>DH-O-R3</t>
  </si>
  <si>
    <t>DH-O-R4</t>
  </si>
  <si>
    <t>DH-O-R5</t>
  </si>
  <si>
    <t>DH-O-R6</t>
  </si>
  <si>
    <t>DH-O-R7</t>
  </si>
  <si>
    <t>DH-O-R8</t>
  </si>
  <si>
    <t>DH-O-D3</t>
  </si>
  <si>
    <t>DH-O-R9</t>
  </si>
  <si>
    <t>DH-O-R10</t>
  </si>
  <si>
    <t>DH-O-R11</t>
  </si>
  <si>
    <t>DH-O-R12</t>
  </si>
  <si>
    <t>DH-O-R13</t>
  </si>
  <si>
    <t>DH-O-R14</t>
  </si>
  <si>
    <t>CA-O-R40</t>
  </si>
  <si>
    <t>CREPIN- CONGO-Frais d'hôtel du 29/09/ au 01/10/2025 à Dolisie (02 Nuitées )</t>
  </si>
  <si>
    <t>Taxi: Gendarmerie-Hôtel MANDEBI pour l'opération</t>
  </si>
  <si>
    <t>CREPIN-CONGO Ration du 05 au 18/10/2025 à Dolisie</t>
  </si>
  <si>
    <t>Credit telephonique MTN PALF/du 06 au 12 octobre 2025/ crepin</t>
  </si>
  <si>
    <t>Bonus pour 16 gendarmes ayant participé à l'opération du 04/10/2025 à Dolisie</t>
  </si>
  <si>
    <t>Bonus pour 02 EF ayant participé à l'opération du 04/10/2025 à Dolisie</t>
  </si>
  <si>
    <t>Frais d'mpression de la procédure</t>
  </si>
  <si>
    <t>Office material</t>
  </si>
  <si>
    <t>Credit telephonique MTN PALF/du 13 au 19 octobre 2025/ crepin</t>
  </si>
  <si>
    <t>Achat Billet Dolisie-Brazzaville/crépin</t>
  </si>
  <si>
    <t>CREPIN- CONGO- Frais d'hôtel  du 04 au 18/10/2025 à Dolisie (14 Nuitées)</t>
  </si>
  <si>
    <t>Credit telephonique MTN PALF/du 20 au 26 octobre 2025/ crepin</t>
  </si>
  <si>
    <t>Bonus opération du 25/08/2025 à Dolisie/Crépin</t>
  </si>
  <si>
    <t>Achat Billet Brazzaville-Nkayi/ Crépin</t>
  </si>
  <si>
    <t>CREPIN-CONGO Ration du 24/10/ au 03/11/2025 à NKAYI et MADINGOU</t>
  </si>
  <si>
    <t>CREPIN- CONGO-Frais d'hôtel  du 24 au 27/10/2025 à NKAYI (03 Nuitées)</t>
  </si>
  <si>
    <t>Credit telephonique MTN PALF/du 27  octobre au 02 novembre 2025/ crepin</t>
  </si>
  <si>
    <t>Rafraîchissement et plats pendant l'attente de l'opération avec deux gendarmes</t>
  </si>
  <si>
    <t>Bonus pour 02 EF ayant participé à l'opération du 28/10/2025 à Nkayi</t>
  </si>
  <si>
    <t>Bonus pour 19 gendarmes ayant participé à l'opération du 28/10/2025 à Nkayi</t>
  </si>
  <si>
    <t>Frais de communication pour le Colonel pour la Coordination de la mission</t>
  </si>
  <si>
    <t>Taxi: Environs de l'hôtel MANDEBI lieu de l'opération-Hôtel Yasmine</t>
  </si>
  <si>
    <t>Taxi: Hôtel Yasmine-Gendarmerie Rencontre avec le COMREG</t>
  </si>
  <si>
    <t>Taxi: Gendarmerie-Hôtel Yasmine</t>
  </si>
  <si>
    <t>Taxi: Hôtel Yasmine-Hôtel MANDEBI</t>
  </si>
  <si>
    <t>Taxi: Hôtel MANDEBI-DDEF</t>
  </si>
  <si>
    <t>Taxi: Parquet-Hôtel YASMINE</t>
  </si>
  <si>
    <t>Taxi: Hôtel MANDEBI-Hôtel YASMINE</t>
  </si>
  <si>
    <t>Taxi: Hôtel YASMINE-Gendarmerie.</t>
  </si>
  <si>
    <t>Raffraichissement et plats pendant l'attente de l'opération avec deux gendarmes</t>
  </si>
  <si>
    <t>Taxi: Hôtel MANDEBI-Gendarmerie après interpellation</t>
  </si>
  <si>
    <t>Taxi: Gendarmerie-Hôtel YASMINE pour recupération de bagages</t>
  </si>
  <si>
    <t xml:space="preserve">Taxi: Hôtel YASMINE-Hôtel Pharaon 2 </t>
  </si>
  <si>
    <t>Taxi: Hôtel Pharaon 2-Gendarmerie</t>
  </si>
  <si>
    <t>Taxi: Gendarmerie-Hôtel YASMINE</t>
  </si>
  <si>
    <t>Ration de 02 Prevenus (Darel et Lionel)  à la BT de Dolisie/ matin</t>
  </si>
  <si>
    <t>Jail visits</t>
  </si>
  <si>
    <t>Taxi:  Boutique-BT</t>
  </si>
  <si>
    <t>Taxi: BT-Hôtel Pharaon 2</t>
  </si>
  <si>
    <t>Taxi: Gendarmerie-Hôtel Pharaon 2.</t>
  </si>
  <si>
    <t>Ration de 02 Prevenus (Darel et Lionel)  à la BT de Dolisie/Soir</t>
  </si>
  <si>
    <t>Taxi: Boutique-BT</t>
  </si>
  <si>
    <t>Ration de 02 Prevenus (Darel et Lionel)  à la BT de Dolisie/matin</t>
  </si>
  <si>
    <t>Taxi: Hôtel-Gendarmerie</t>
  </si>
  <si>
    <t>Taxi: Petit marché de nuit-BT</t>
  </si>
  <si>
    <t>Ration de deux trafs (Lionel et Darel) le soir à la BT de Dolisie</t>
  </si>
  <si>
    <t>Taxi: Hôtel-Secrétariat pour l'impression de la procédure.</t>
  </si>
  <si>
    <t>Taxi: Secretariat-Hôtel Pharaon 2</t>
  </si>
  <si>
    <t>Taxi: Hôtel-Parquet</t>
  </si>
  <si>
    <t>Taxi: Parquet-Hôtel</t>
  </si>
  <si>
    <t>Taxi: Hôtel-Agence Trans Bony Dolisie</t>
  </si>
  <si>
    <t>Taxi: Agence Trans Bony de Bifouiti-Domicile Mayanga OMS.</t>
  </si>
  <si>
    <t>Taxi: Domicile Mayanga (OMS)-Total pour signature des pièces comptables après l'appel de la comptable (Jour de recupération).</t>
  </si>
  <si>
    <t>Taxi: Total-Bureau</t>
  </si>
  <si>
    <t>Taxi: Bureau-Total pour mon domicile</t>
  </si>
  <si>
    <t>Taxi: Total-Domicile</t>
  </si>
  <si>
    <t>Taxi: Domicile Mayanga OMS-Agence Trans Bony de la Frontière.</t>
  </si>
  <si>
    <t xml:space="preserve">Taxi: Agence Trans Bony Nkayi-Hôtel </t>
  </si>
  <si>
    <t>Tricycle: Hôtel Dechel-Hôtel Mouanda repérage et occupation de la chambre opération</t>
  </si>
  <si>
    <t>Taxi: Hôtel Mouanda-BEF Nkayi</t>
  </si>
  <si>
    <t>Tricycle: Hôtel Dechel-Hôtel Mouanda après le briefing équipe PALF</t>
  </si>
  <si>
    <t>Tricycle: Hôtel Mouanda-Hôtel Déchel</t>
  </si>
  <si>
    <t>Tricycle: Hôtel Déchel-Compagnie de gendarmerie</t>
  </si>
  <si>
    <t>Tricycle: Compagnie de gendarmerie-Hôtel Mouanda avec 02 gendarmes en civil</t>
  </si>
  <si>
    <t>Taxi moto: Gendarmerie-DDEF</t>
  </si>
  <si>
    <t xml:space="preserve">Taxi moto: DDEF-Hôtel </t>
  </si>
  <si>
    <t>Taxi moto: Hôtel-DDEF</t>
  </si>
  <si>
    <t>Taxi moto: DDEF-Parquet</t>
  </si>
  <si>
    <t>CR-O-D1</t>
  </si>
  <si>
    <t>CR-O-R1</t>
  </si>
  <si>
    <t>CR-O-R2</t>
  </si>
  <si>
    <t>CR-O-D2</t>
  </si>
  <si>
    <t>CR-O-R3</t>
  </si>
  <si>
    <t>CR-O-R4</t>
  </si>
  <si>
    <t>CR-O-R5</t>
  </si>
  <si>
    <t>CR-O-D3</t>
  </si>
  <si>
    <t>CR-O-R6</t>
  </si>
  <si>
    <t>CR-O-R7</t>
  </si>
  <si>
    <t>CR-O-R8</t>
  </si>
  <si>
    <t>CR-O-R9</t>
  </si>
  <si>
    <t>CR-O-R10</t>
  </si>
  <si>
    <t>CA-O-D9</t>
  </si>
  <si>
    <t>CR-O-R11</t>
  </si>
  <si>
    <t>CR-O-D4</t>
  </si>
  <si>
    <t>CR-O-R12</t>
  </si>
  <si>
    <t>CR-O-R13</t>
  </si>
  <si>
    <t>CR-O-R14</t>
  </si>
  <si>
    <t>CR-O-R15</t>
  </si>
  <si>
    <t>CR-O-R16</t>
  </si>
  <si>
    <t>CR-O-R17</t>
  </si>
  <si>
    <t>Taxi:  Bureau-Banque BCI/ Retrait réleve septembre 2025</t>
  </si>
  <si>
    <t>Taxi:  Domicile- Direction MTN/transfert d'argent a P29 et T73</t>
  </si>
  <si>
    <t>Taxi:   Direction MTN-Domicile</t>
  </si>
  <si>
    <t>Taxi: Bureau- Banque BCI /retait espèces</t>
  </si>
  <si>
    <t>Taxi:Banque BCI - Direction MTN / Achat crédit bureau PALF</t>
  </si>
  <si>
    <t>Credit teléphonique MTN PALF/ du 06 au 12 octobre 2025/ Parfaite</t>
  </si>
  <si>
    <t>Taxi:  Bureau-Domicile/ finalisation avec les pieces comptables de mois de septembre 2025</t>
  </si>
  <si>
    <t>Reglement prestation de nettoyage  PALF du mois de Septembre 2025</t>
  </si>
  <si>
    <t>Frais de tansfert d'argent  a P29 ,T73</t>
  </si>
  <si>
    <t xml:space="preserve"> Frais de prestation de nettoyage jardin PALF septembre 2025</t>
  </si>
  <si>
    <t>Taxi:  Bureau- Société de gardiennage/remis de chèque du mois de septembre 2025</t>
  </si>
  <si>
    <t>Taxi:  Societé de gardiennage  - Bureau</t>
  </si>
  <si>
    <t>Taxi:  Bureau-Domicile/ finalisation rapport financier de septembre 2025/ ferie</t>
  </si>
  <si>
    <t>Taxi:  Bureau- Domicile</t>
  </si>
  <si>
    <t>Taxi:  Bureau-Banque BCI/ Retrait espece 2025</t>
  </si>
  <si>
    <t>Credit teléphonique MTN PALF/ du 13 au 19 octobre 2025/ Parfaite</t>
  </si>
  <si>
    <t>Taxi:  Domicile -Banque BCI/ Retrait espèces pour le Paiement CNSS</t>
  </si>
  <si>
    <t>Taxi:  Banque BCI - CNSS/Paiement CNSS troixième  trimestre de l'année 2025</t>
  </si>
  <si>
    <t>Taxi:  Bureau-Direction LCDE/ Paiement facture d'eau du mois de Mai, Juin, Juillet, Aout, Septembre et Octobre</t>
  </si>
  <si>
    <t>Taxi: Direction LCDE - Bureau</t>
  </si>
  <si>
    <t>Règlement facture d'eau du mois de Mai, Juin, Juillet, Août, Septembre et Octobre  2025 bureau PALF</t>
  </si>
  <si>
    <t>Taxi:  Bureau- Cabinet d'avocat/Depot  du chèque du mois de septembre 2025 Me LOCKO</t>
  </si>
  <si>
    <t>Taxi:  Banque BCI - Direction MB2 Services / transfert d'argent à P29, T73 et G12</t>
  </si>
  <si>
    <t>Taxi:Direction MB2 services - Direction MTN / Achat crédit bureau PALF</t>
  </si>
  <si>
    <t>Credit teléphonique MTN PALF/ du 20 au 26 octobre 2025/ Parfaite</t>
  </si>
  <si>
    <t xml:space="preserve">Frais de tansfert d'argent  a P29, T73 et G12 </t>
  </si>
  <si>
    <t xml:space="preserve">Taxi:  Bureau - Direction MB2 Services / transfert d'argent à T73 </t>
  </si>
  <si>
    <t>Taxi:Direction MB2 services - Domicile</t>
  </si>
  <si>
    <t>Frais de tansfert d'argent  a T73 par momo</t>
  </si>
  <si>
    <t>Taxi:  Bureau-Banque BCI/ Retrait Chequiers PALF</t>
  </si>
  <si>
    <t>Taxi:  Bureau-Banque BCI/ Depot ordre de paiement du mois d'octobre  2025</t>
  </si>
  <si>
    <t>Frais de ramassage Ordure octobre 2025</t>
  </si>
  <si>
    <t>Taxi:  Bureau- Charden farell/ transfert d'argent à DOVI, Crépin, P29, Abraham, Evariste, IT87 et Roderlin</t>
  </si>
  <si>
    <t>Taxi: Charden Farell-Banque BCI/ Retrait espece 2025</t>
  </si>
  <si>
    <t xml:space="preserve">Taxi: Banque BCI-Direction MTN/ achat credit telephonique </t>
  </si>
  <si>
    <t>Taxi:   Direction MTN-Bureau</t>
  </si>
  <si>
    <t>Credit teléphonique MTN PALF/ du 27 octobre au 02 novembre 2025/ Parfaite</t>
  </si>
  <si>
    <t>Frais de tansfert d'argent Charden Frarell  a crepin ,evariste, DOVI, Roderlin, Abraham, P29 et IT87</t>
  </si>
  <si>
    <t>Reglement prestation de nettoyage  PALF du mois d'octobre 2025</t>
  </si>
  <si>
    <t>Taxi:  Bureau- Charden farell/ transfert d'argent à  Crépin, P29, Romain, Evariste, IT87 et Roderlin</t>
  </si>
  <si>
    <t>Frais de tansfert d'argent Charden Frarell  a crepin ,evariste,Roderlin,Romain, P29 et IT87</t>
  </si>
  <si>
    <t>Taxi:   Bureau- Société d'assurance Nsia/ Reglement frais de retrait du coordinateur PALF</t>
  </si>
  <si>
    <t>Taxi:   Société d'assurance Nsia- Pharmacie/ achat produit pour le gendarme mordu par le bébé chimpandzé</t>
  </si>
  <si>
    <t>Achat produit pharmacietique pour le gendarme mordu par le bébé chimpanzé lors de l'OP à Nkayi</t>
  </si>
  <si>
    <t>Reglement facture internet periode du 01/11 au 30/11/2025 bureau PALF</t>
  </si>
  <si>
    <t xml:space="preserve">Taxi:Pharmacie - Bureau </t>
  </si>
  <si>
    <t>Taxi:Bureau- Direction Canal Box/ Paiement internet du mois de novembre 2025</t>
  </si>
  <si>
    <t>Taxi: Direction Canal Box-Bureau/ Paiement internet du mois de novembre 2025</t>
  </si>
  <si>
    <t>P-O-D1</t>
  </si>
  <si>
    <t>P-O-R1</t>
  </si>
  <si>
    <t>CA-O-R4</t>
  </si>
  <si>
    <t>CA-O-R5</t>
  </si>
  <si>
    <t>CA-O-R7</t>
  </si>
  <si>
    <t>P-O-R2</t>
  </si>
  <si>
    <t>P-O-R3</t>
  </si>
  <si>
    <t>CA-O-R18</t>
  </si>
  <si>
    <t>CA-O-R19</t>
  </si>
  <si>
    <t>CA-O-R25</t>
  </si>
  <si>
    <t>CA-O-R30</t>
  </si>
  <si>
    <t>CA-O-R31</t>
  </si>
  <si>
    <t>P-O-R4</t>
  </si>
  <si>
    <t>CA-O-R32</t>
  </si>
  <si>
    <t>CA-O-R34</t>
  </si>
  <si>
    <t>CA-O-R36</t>
  </si>
  <si>
    <t>CA-O-R37</t>
  </si>
  <si>
    <t>CA-O-R42</t>
  </si>
  <si>
    <t>CA-O-R43</t>
  </si>
  <si>
    <t>CA-O-R16</t>
  </si>
  <si>
    <t>Credit telephonique MTN PALF/ du 06 au 12 octobre 2025/ Investigation/P29</t>
  </si>
  <si>
    <t>Credit telephonique MTN PALF/ du 13 au 19 octobre 2025/ Investigation/P29</t>
  </si>
  <si>
    <t>Credit telephonique MTN PALF/ du 20 au 26 octobre 2025/ Investigation/P29</t>
  </si>
  <si>
    <t>Credit telephonique MTN PALF/ du 27/octobre au 02 novembre 2025/ Investigation/P29</t>
  </si>
  <si>
    <t>Paiement cage pour le bébé chimpanzé</t>
  </si>
  <si>
    <t>Operation materials</t>
  </si>
  <si>
    <t>Achat boisson et repas</t>
  </si>
  <si>
    <t>Achat boisson,chips,chocolat,l'eau</t>
  </si>
  <si>
    <t>P29-O-D1</t>
  </si>
  <si>
    <t>P29-O-R1</t>
  </si>
  <si>
    <t>P29-O-R2</t>
  </si>
  <si>
    <t>P29-O-R3</t>
  </si>
  <si>
    <t>P29-O-R4</t>
  </si>
  <si>
    <t>P29-O-R5</t>
  </si>
  <si>
    <t>P29-O-D2</t>
  </si>
  <si>
    <t>P29-O-R6</t>
  </si>
  <si>
    <t>P29-O-R7</t>
  </si>
  <si>
    <t>P29-O-D3</t>
  </si>
  <si>
    <t>P29-O-R8</t>
  </si>
  <si>
    <t>P29-O-R9</t>
  </si>
  <si>
    <t>P29-O-D4</t>
  </si>
  <si>
    <t>P29-O-R10</t>
  </si>
  <si>
    <t>P29-O-R11</t>
  </si>
  <si>
    <t>P29-O-R12</t>
  </si>
  <si>
    <t>P29-O-R13</t>
  </si>
  <si>
    <t>P29-O-R14</t>
  </si>
  <si>
    <t>P29-O-R15</t>
  </si>
  <si>
    <t>P29-O-R16</t>
  </si>
  <si>
    <t>P29-O-R17</t>
  </si>
  <si>
    <t>P29-O-R18</t>
  </si>
  <si>
    <t>P29-O-R19</t>
  </si>
  <si>
    <t>P29-O-R20</t>
  </si>
  <si>
    <t>P29-O-R21</t>
  </si>
  <si>
    <t>P29-O-R22</t>
  </si>
  <si>
    <t>Credit telephonique MTN PALF/ du 06 au 12 octobre  2025/ Investigation/T73</t>
  </si>
  <si>
    <t>Credit telephonique MTN PALF/ du 13 au 19 octobre  2025/ Investigation/T73</t>
  </si>
  <si>
    <t>Credit telephonique MTN PALF/ du 20 au 26 octobre  2025/ Investigation/T73</t>
  </si>
  <si>
    <t>Achat boissons et nourriture</t>
  </si>
  <si>
    <t>Achat boisson/une cible</t>
  </si>
  <si>
    <t>Achat boisson et nourriture</t>
  </si>
  <si>
    <t>Credit telephonique MTN PALF/ du 27 octobre au 02 novembre 2025/ Investigation/T73</t>
  </si>
  <si>
    <t>Achat vachette  et Main d'œuvre de la porte numereau 02 bureau PALF/Bureau PALF</t>
  </si>
  <si>
    <t>achat boissons</t>
  </si>
  <si>
    <t>trust building</t>
  </si>
  <si>
    <t>T73-O-R1</t>
  </si>
  <si>
    <t>T73-O-D1</t>
  </si>
  <si>
    <t>T73-O-D2</t>
  </si>
  <si>
    <t>T73-O-D3</t>
  </si>
  <si>
    <t>T73-O-R2</t>
  </si>
  <si>
    <t>T73-O-R3</t>
  </si>
  <si>
    <t>T73-O-R4</t>
  </si>
  <si>
    <t>T73-O-R5</t>
  </si>
  <si>
    <t>T73-O-R6</t>
  </si>
  <si>
    <t>T73-O-D4</t>
  </si>
  <si>
    <t>T73-O-R7</t>
  </si>
  <si>
    <t>T73-O-R8</t>
  </si>
  <si>
    <t>T73-O-R9</t>
  </si>
  <si>
    <t>T73-O-R10</t>
  </si>
  <si>
    <t>T73-O-R11</t>
  </si>
  <si>
    <t>T73-O-R12</t>
  </si>
  <si>
    <t>T73-O-R13</t>
  </si>
  <si>
    <t>T73-O-R14</t>
  </si>
  <si>
    <t>T73-O-R15</t>
  </si>
  <si>
    <t>T73-O-R16</t>
  </si>
  <si>
    <t>T73-O-R17</t>
  </si>
  <si>
    <t>T73-O-R18</t>
  </si>
  <si>
    <t>CA-O-R35</t>
  </si>
  <si>
    <t>Credit telephonique MTN PALF/du 06 au 12 octobre 2025/IT87</t>
  </si>
  <si>
    <t>Credit telephonique MTN PALF/du 13 au 19 octobre 2025/IT87</t>
  </si>
  <si>
    <t>Credit telephonique MTN PALF/du 27 octobre au 02 novembre 2025/IT87</t>
  </si>
  <si>
    <t>IT87-O-R1</t>
  </si>
  <si>
    <t>IT87-O-D1</t>
  </si>
  <si>
    <t>IT87-O-R2</t>
  </si>
  <si>
    <t>IT87-O-R3</t>
  </si>
  <si>
    <t>IT87-O-D3</t>
  </si>
  <si>
    <t>IT87-O-D2</t>
  </si>
  <si>
    <t>IT87-O-R4</t>
  </si>
  <si>
    <t>IT87-O-R5</t>
  </si>
  <si>
    <t>IT87-O-R6</t>
  </si>
  <si>
    <t>IT87-O-R7</t>
  </si>
  <si>
    <t>IT87-O-R8</t>
  </si>
  <si>
    <t>IT87-O-R9</t>
  </si>
  <si>
    <t>IT87-O-R10</t>
  </si>
  <si>
    <t>IT87-O-R11</t>
  </si>
  <si>
    <t>IT87-O-R12</t>
  </si>
  <si>
    <t>IT87-O-R13</t>
  </si>
  <si>
    <t>IT87-O-R14</t>
  </si>
  <si>
    <t>Credit telephonique MTN PALF/du 06 au 12 octobre 2025/G12</t>
  </si>
  <si>
    <t>Credit telephonique MTN PALF/du 13 au 19 octobre 2025/G12</t>
  </si>
  <si>
    <t>REçu de caisse/G12</t>
  </si>
  <si>
    <t>Credit telephonique MTN PALF/du 20 au 26 octobre 2025/G12</t>
  </si>
  <si>
    <t>Credit telephonique MTN PALF/du  27 octobre au 02 novembre 2025/G12</t>
  </si>
  <si>
    <t>G12-O-R1</t>
  </si>
  <si>
    <t>G12-O-R2</t>
  </si>
  <si>
    <t>G12-O-D1</t>
  </si>
  <si>
    <t>G12-O-R3</t>
  </si>
  <si>
    <t>G12-O-D2</t>
  </si>
  <si>
    <t>G12-O-D3</t>
  </si>
  <si>
    <t>G12-O-R4</t>
  </si>
  <si>
    <t>G12-O-R5</t>
  </si>
  <si>
    <t>G12-O-R6</t>
  </si>
  <si>
    <t>G12-O-R7</t>
  </si>
  <si>
    <t>G12-O-R8</t>
  </si>
  <si>
    <t>G12-O-R9</t>
  </si>
  <si>
    <t>G12-O-R10</t>
  </si>
  <si>
    <t>G12-O-R11</t>
  </si>
  <si>
    <t>G12-O-R12</t>
  </si>
  <si>
    <t>G12-O-R13</t>
  </si>
  <si>
    <t>G12-O-R14</t>
  </si>
  <si>
    <t>Frais de tansfert d'argent  a P29 ,T73, DOVI et Donald-Roméo</t>
  </si>
  <si>
    <t>Credit telephonique MTN PALF/ du 06 au 12 octobre 2025/Abraham</t>
  </si>
  <si>
    <t>Frais de tansfert d'argent  a Crepin et  Donald-Roméo</t>
  </si>
  <si>
    <t>Taxi: Domicile-Bureau</t>
  </si>
  <si>
    <t>Credit telephonique MTN PALF/ du 13 au 19 octobre 2025/Abraham</t>
  </si>
  <si>
    <t>Credit telephonique MTN PALF/ du 20  au 26 octobre 2025/Abraham</t>
  </si>
  <si>
    <t>Taxi: Bureau-Station X-oil Pâte d'oie</t>
  </si>
  <si>
    <t>Taxi: Station X-oil Pâte d'oie-Station X-oil Plateau Ville</t>
  </si>
  <si>
    <t>Taxi: Station X-oil Plateau Ville-Station total energies Centre Ville</t>
  </si>
  <si>
    <t>Taxi: Station total energies Centre Ville-Station SNPC Marché Total</t>
  </si>
  <si>
    <t>Taxi: Station SNPC Marché Total-Station X-oil Kisito</t>
  </si>
  <si>
    <t>Taxi: Station X-oil Kisito-Station Total Energies Centre sportif</t>
  </si>
  <si>
    <t>Taxi: Station Total Energies Centre sportif-bureau</t>
  </si>
  <si>
    <t>Reçu caisse/Abraham</t>
  </si>
  <si>
    <t>Taxi: Bureau-Agence Transbony de la frontière (Achat billet)</t>
  </si>
  <si>
    <t>Achat billet Brazzaville - Dolisie/Abraham</t>
  </si>
  <si>
    <t>Taxi: Agence Transbony de la Frontière-Bureau</t>
  </si>
  <si>
    <t>ABRAHAM - CONGO Ration du 23 au 29/10/2025 à Dolisie et à Nkayi (06 Nuitées)</t>
  </si>
  <si>
    <t>Taxi:Domicile-Agence Tranbony de La frontière</t>
  </si>
  <si>
    <t>Taxi:Hôtel Moukondo-Maison d'arrêt de Dolisie</t>
  </si>
  <si>
    <t>Ration/soir 2 détenus à la maison d'arrêt de Dolisie/ détenus visités: MOMBO Lionnel, MBIYABA Darel</t>
  </si>
  <si>
    <t>Taxi:Maison d'arrêt de Dolisie-Hôtel Moukondo</t>
  </si>
  <si>
    <t>Ration/matin 2 détenus à la maison d'arrêt de Dolisie/ détenus visités: MOMBO Lionnel, MBIYABA Darel</t>
  </si>
  <si>
    <t>Taxi:Maison d'arrêt de Dolisie-TGI de Dolisie</t>
  </si>
  <si>
    <t>Taxi:TGI de Dolisie-Agence Transbony de Dolisie/réservation du billet</t>
  </si>
  <si>
    <t>Taxi:Agence Transbony de Dolisie-Agence Océan du Nord de Dolisie/réservation des billets</t>
  </si>
  <si>
    <t>Achat billet Dolisie - Nkayi/Abraham</t>
  </si>
  <si>
    <t>ABRAHAM - CONGO frais d'Hôtel (Hôtel Moukondo) du 23 au 25/10/2025 à Dolisie (02 Nuitées)</t>
  </si>
  <si>
    <t>Taxi-moto: Agence Océan du Nord de Nkayi RN1-hôtel le Déchel</t>
  </si>
  <si>
    <t>Taxi-moto: Hôtel Mouanda-Hôpital Référence de Nkayi</t>
  </si>
  <si>
    <t>Taxi-moto: Hôpital Référence de Nkayi-Hôtel Le Déchel</t>
  </si>
  <si>
    <t>Taxi-moto: Hôtel Le Déchel-Gendarmerie de Nkayi</t>
  </si>
  <si>
    <t>Credit telephonique MTN PALF/ du 27 octobre au 02 novembre 2025/Abraham</t>
  </si>
  <si>
    <t>Achat Carburant de la BJ pour OP</t>
  </si>
  <si>
    <t>Rafraîchissement (Restaurant Bar Nzoumba)</t>
  </si>
  <si>
    <t>Taxi-moto: RN1-Gendarmerie de Nkayi</t>
  </si>
  <si>
    <t>Taxi-moto: Hôtel le Déchel-Agence Transbony de Nkayi</t>
  </si>
  <si>
    <t>Achat billet Nkayi-Brazzaville/Abraham</t>
  </si>
  <si>
    <t>Taxi-moto: Agence Transbony de Nkayi-Hôtel Le Déchel</t>
  </si>
  <si>
    <t>ABRAHAM - CONGO frais d'Hôtel (Hôtel Le Déchel) du 25 au 29/10/2025 à Nkayi(04 Nuitées)</t>
  </si>
  <si>
    <t>Taxi:Agence Tranbony de La frontière-Domicile</t>
  </si>
  <si>
    <t>Taxi:Bureau-Pharmacie/vérification de la disponibilité des produits</t>
  </si>
  <si>
    <t>Taxi:Pharmacie-Bureau</t>
  </si>
  <si>
    <t>Frais de transfert d'envoie de produit pharmacietique à madingou par trans-bony voyage</t>
  </si>
  <si>
    <t>Taxi: Bureau-Agence Transbony de la frontière (Expédition des produits à Madingou)</t>
  </si>
  <si>
    <t>Taxi: Agence Transbony de la Frontière-Domicile</t>
  </si>
  <si>
    <t>AB-O-D1</t>
  </si>
  <si>
    <t>CA-O-R3</t>
  </si>
  <si>
    <t>AB-O-R1</t>
  </si>
  <si>
    <t>CA-O-R8</t>
  </si>
  <si>
    <t>AB-O-R2</t>
  </si>
  <si>
    <t>AB-O-R3</t>
  </si>
  <si>
    <t>CA-O-R20</t>
  </si>
  <si>
    <t>CA-O-R21</t>
  </si>
  <si>
    <t>AB-O-R4</t>
  </si>
  <si>
    <t>AB-O-D2</t>
  </si>
  <si>
    <t>AB-O-D3</t>
  </si>
  <si>
    <t>AB-O-R5</t>
  </si>
  <si>
    <t>AB-O-R6</t>
  </si>
  <si>
    <t>AB-O-R7</t>
  </si>
  <si>
    <t>AB-O-R8</t>
  </si>
  <si>
    <t>AB-O-R9</t>
  </si>
  <si>
    <t>AB-O-R10</t>
  </si>
  <si>
    <t>AB-O-R11</t>
  </si>
  <si>
    <t>CA-O-R41</t>
  </si>
  <si>
    <t>CA-O-R44</t>
  </si>
  <si>
    <t xml:space="preserve">Taxi:Bureau-Ouenze pour l'achat des produits d'entretien du groupe </t>
  </si>
  <si>
    <t>Taxi:Ouenze-Bureau</t>
  </si>
  <si>
    <t xml:space="preserve">Taxi:Bureau-Charden Farrel pour un transfert de fonds </t>
  </si>
  <si>
    <t>Taxi:Charden Farrel-Bureau</t>
  </si>
  <si>
    <t>Credit telephonique MTN PALF/du 06 au 12 octobre 2025/Roderlin</t>
  </si>
  <si>
    <t>Frais de tansfert d'argent  a crepin ,evariste et Donald-Roméo</t>
  </si>
  <si>
    <t>Taxi:Bureau-Cabinet BANZOUZI</t>
  </si>
  <si>
    <t>Credit telephonique MTN PALF/du 13 au 19 octobre 2025/Roderlin</t>
  </si>
  <si>
    <t>Frais de transport mission Maitre Alain à dolisie du 07 au 13/10/2025</t>
  </si>
  <si>
    <t>Ration et frais d'hotel mission maitre Alain à dolisie du 07 au 13/10/2025</t>
  </si>
  <si>
    <t>Taxi:Domicile de Juls-Bureau pour la prise des clés du bureau</t>
  </si>
  <si>
    <t>Taxi:Bureau-Domicile de Juls pour la remise des clés du bureau</t>
  </si>
  <si>
    <t>Credit telephonique MTN PALF/du 20 au 26 octobre 2025/Roderlin</t>
  </si>
  <si>
    <t xml:space="preserve">Frais de tansfert d'argent  a IT87 </t>
  </si>
  <si>
    <t>Taxi:Bureau-Station NGANGA Edouard pour achat du carburant</t>
  </si>
  <si>
    <t>Taxi:Station NGANGA Edouard-Station Ront-point moungali</t>
  </si>
  <si>
    <t>Taxi:Station Ront-point moungali-Station marché moungali</t>
  </si>
  <si>
    <t>Taxi:Station marché moungali-Station Mazala</t>
  </si>
  <si>
    <t>Taxi:Station Mazala-Bureau</t>
  </si>
  <si>
    <t>Frais de tansfert d'argent  a P29, et IT87 par Charden farell</t>
  </si>
  <si>
    <t xml:space="preserve">Taxi:Bureau-Agence trans bony de la frontiere pour la réservation des billets </t>
  </si>
  <si>
    <t>Achat billet Brazzaville-Nkayi/ Roderlin</t>
  </si>
  <si>
    <t>Taxi:Domicile-Agence Trans Bony de kintélé</t>
  </si>
  <si>
    <t>RODERLIN-CONGO Ration du 24 /10/ au 03/ 11/2025 à Nkayi,  Madingou(10 nuitées)</t>
  </si>
  <si>
    <t>Tricycle:Hôtel Déchel-Hôtel Mouanda pour le réperage</t>
  </si>
  <si>
    <t>Tricycle:Hôtel Mouanda-Hôpital de base de Nkayi</t>
  </si>
  <si>
    <t>Tricycle:Hôtel Déchel-Charden Farrel pour le rétrait de fonds</t>
  </si>
  <si>
    <t xml:space="preserve">Tricycle:Charden Farrel-Hôtel Déchel </t>
  </si>
  <si>
    <t>Credit telephonique MTN PALF/du 27 octobre au 02 novembre 2025/Roderlin</t>
  </si>
  <si>
    <t>RODERLIN-CONGO frais d'hôtel du 24 au 28/10/2025 à Nkayi (04nuitées)</t>
  </si>
  <si>
    <t>Rafraichissement  en attente op</t>
  </si>
  <si>
    <t>Tricycle:Gendarmerie-Hôtel Mouanda pour l'op</t>
  </si>
  <si>
    <t>Tricycle:Hôtel Mouanda-Gendarmerie</t>
  </si>
  <si>
    <t xml:space="preserve">Tricycle:Gendarmerie-Hôtel Déchel pour la recupération des bagages </t>
  </si>
  <si>
    <t>Ration du du detenu NTONDELE MOUKOKO CLAVER  à la gendarmerie de Madingou/soir</t>
  </si>
  <si>
    <t xml:space="preserve">Tricycle:Hôtel- Marché pour l'achat de la ration du prevenu </t>
  </si>
  <si>
    <t>Ration du du detenu NTONDELE MOUKOKO CLAVER  à la gendarmerie de Madingou/matin</t>
  </si>
  <si>
    <t>Tricycle:Gendarmérie-Hôtel</t>
  </si>
  <si>
    <t xml:space="preserve">Tricycle:Hôtel -DDF pour la suivie de la procedure </t>
  </si>
  <si>
    <t xml:space="preserve">Tricycle:DDF- Charden Farrel </t>
  </si>
  <si>
    <t>Tricycle:Charden Farre- Hôtel</t>
  </si>
  <si>
    <t>Tricycle:gendarmérie-Hôtel</t>
  </si>
  <si>
    <t>Tricycle:Hôtel-DDF pour la saisie de la procedure</t>
  </si>
  <si>
    <t>Tricycle:DDF- Hôtel</t>
  </si>
  <si>
    <t>Tricycle:Hôtel-Sécretariat pour l'impression de la procedure</t>
  </si>
  <si>
    <t xml:space="preserve">Frais d'impression </t>
  </si>
  <si>
    <t xml:space="preserve">Tricycle:Sécretariat- Hôtel </t>
  </si>
  <si>
    <t xml:space="preserve">Tricycle:gendarmérie-DDF pour la photocopie de la procedure </t>
  </si>
  <si>
    <t>Tricycle:DDF-gendarmerie  pour la signature des PV</t>
  </si>
  <si>
    <t xml:space="preserve">Tricycle:Gendarmerie-Charden Farrel </t>
  </si>
  <si>
    <t xml:space="preserve">Tricycle:Charden Farrel-Hôtel </t>
  </si>
  <si>
    <t>RO-O-D1</t>
  </si>
  <si>
    <t>CA-O-R2</t>
  </si>
  <si>
    <t>RO-O-R1</t>
  </si>
  <si>
    <t>CA-O-R6</t>
  </si>
  <si>
    <t>RO-O-R2</t>
  </si>
  <si>
    <t>CA-O-R11</t>
  </si>
  <si>
    <t>CA-O-R12</t>
  </si>
  <si>
    <t>CA-O-R15</t>
  </si>
  <si>
    <t>RO-O-R3</t>
  </si>
  <si>
    <t>CA-O-R17</t>
  </si>
  <si>
    <t>CA-O-R22</t>
  </si>
  <si>
    <t>CA-O-R24</t>
  </si>
  <si>
    <t>RO-O-R4</t>
  </si>
  <si>
    <t>RO-O-D2</t>
  </si>
  <si>
    <t>RO-O-R5</t>
  </si>
  <si>
    <t>RO-O-R6</t>
  </si>
  <si>
    <t>RO-O-R7</t>
  </si>
  <si>
    <t>RO-O-D3</t>
  </si>
  <si>
    <t>RO-O-R8</t>
  </si>
  <si>
    <t>Taxi Hôtel Yasmine-Hôtel Mandebi pour le reperage/ Crepin/ Evariste/Dovi/Donald</t>
  </si>
  <si>
    <t>Taxi Hôtel Hôtel Mandebi-Ecole Primaire de Mboukou</t>
  </si>
  <si>
    <t>Taxi Hôtel Ecole Primaire de Mboukou-Station de Mboukou</t>
  </si>
  <si>
    <t>Taxi Station de Mboukou-Hôtel Yasmine</t>
  </si>
  <si>
    <t>Taxi Hôtel Yasmine-Charden farell</t>
  </si>
  <si>
    <t>Taxi Charden farell-Hôtel Yasmine</t>
  </si>
  <si>
    <t>Taxi Hôtel Yasmine-Grand marché/ Faire imprimer le mandat et la photo</t>
  </si>
  <si>
    <t>Taxi Grand marché-Hôtel Mandebi/ Retirer les effets de Crépin</t>
  </si>
  <si>
    <t>Taxi Hôtel Mandebi-Hôtel Yasmine</t>
  </si>
  <si>
    <t>Raffraichissement OP  à Dolisie/10  gendarmes et moi</t>
  </si>
  <si>
    <t>Taxi Gendarmerie-Gare Routière/ Extraction</t>
  </si>
  <si>
    <t>Taxi Gare Routière-Route Nationale</t>
  </si>
  <si>
    <t>Taxi Route Nationale-Agence Trans Bony du grand marché/ Faire la reservation du billet de Jules</t>
  </si>
  <si>
    <t xml:space="preserve">Taxi Trans Bony du grand marché-Agence Océan du Nord </t>
  </si>
  <si>
    <t>Taxi Agence Océan du Nord-Agence trans Bony de la Mucodec</t>
  </si>
  <si>
    <t>Taxi Agence trans Bony de la Mucodec- Hôtel Yasmine</t>
  </si>
  <si>
    <t>Taxi  Hôtel Yasmine-La Brigade Territoriale/ Pour la visite geôle du 04/10/2025 à 20h</t>
  </si>
  <si>
    <t>Ration des deux prevenus/ Darel et Lionel/ BT de Dolisie/Soir</t>
  </si>
  <si>
    <t>Taxi  La Brigade Territoriale- Hôtel Yasmine</t>
  </si>
  <si>
    <t>Donald-Roméo- CONGO Ration  du 05 au 18/10/2025 à Dolisie</t>
  </si>
  <si>
    <t>Taxi  Hôtel Yasmine-La Brigade Territoriale/ Pour la visite geôle du 05/10/2025 à 07h</t>
  </si>
  <si>
    <t>Ration des deux prevenus/ Darel et Lionel/ BT de Dolisie/matin</t>
  </si>
  <si>
    <t>Taxi  Hôtel Yasmine-La Brigade Territoriale/ Pour la visite geôle du 05/10/2025 à 20h</t>
  </si>
  <si>
    <t>Taxi  Hôtel Yasmine-La Brigade Territoriale/ Pour la visite geôle du 06/10/2025 à 07h</t>
  </si>
  <si>
    <t>Taxi  Region de gendarmerie-Brigade Territoriale/ Extraction des prevenus pour les auditions</t>
  </si>
  <si>
    <t>Taxi La Brigade Territoriale- Region de gendarmerie</t>
  </si>
  <si>
    <t>Taxi Contre Rail-Charden farell/ Retirer les fonds</t>
  </si>
  <si>
    <t>Taxi Charden farell-Hôtel le Pharaon/ Remettre le budget de Crépin</t>
  </si>
  <si>
    <t>Taxi Hôtel le Pharaon-Hôtel Yasmine</t>
  </si>
  <si>
    <t>Taxi Hôtel Yasmine-La Brigade Territoriale/ Pour la visite geôle du 06/10/2025 à 20h</t>
  </si>
  <si>
    <t>Taxi La Brigade Territoriale- Hôtel Yasmine</t>
  </si>
  <si>
    <t>Credit telephonique MTN PALF/ du 06 au 12 octobre 2025</t>
  </si>
  <si>
    <t>Taxi  Hôtel Yasmine-Region de gendarmerie</t>
  </si>
  <si>
    <t>Taxi Region de gendarmerie-DDEF</t>
  </si>
  <si>
    <t>Taxi DDEF-Charden farell/ Retirer les fonds</t>
  </si>
  <si>
    <t>Taxi Hôtel Yasmine-DDEF/ Procédure</t>
  </si>
  <si>
    <t>Taxi DDEF-Hôtel Yasmine</t>
  </si>
  <si>
    <t>Taxi DDEF-Brigade Territoriale/ Faire signer les PV aux trafs</t>
  </si>
  <si>
    <t>Taxi Hôtel Yasmine-Charden farell/ Retirer les fonds</t>
  </si>
  <si>
    <t>Taxi Charden farell-Hôtel le Pharaon/ Remettre les budget de Crépin et Me Alain</t>
  </si>
  <si>
    <t>Taxi Region de gendarmerie-TGI/ Deferement/ 03 gendarmes et 02 prévenus</t>
  </si>
  <si>
    <t>Taxi Region de gendarmerie-TGI/ Assister au deferement</t>
  </si>
  <si>
    <t xml:space="preserve">Taxi TGI-Region de gendarmerie / Retour de 03 gendarmes </t>
  </si>
  <si>
    <t>Taxi TGI-Maison d'arrêt/ pour assister au placement des prevenus</t>
  </si>
  <si>
    <t>Taxi Maison d'arrêt-Charden farell/ Retirer les fonds</t>
  </si>
  <si>
    <t>Credit telephonique MTN PALF/ du 13 au 19 octobre 2025</t>
  </si>
  <si>
    <t>Donald-Roméo  CONGO Frais d'hôtel du 29/09 au 14/10/2025 à Dolisie (15 Nuitées)</t>
  </si>
  <si>
    <t>Taxi Hôtel Yasmine-Hôtel le Pharaon</t>
  </si>
  <si>
    <t>Taxi Hôtel le Pharaon-TGI/ Audition de la partie civile</t>
  </si>
  <si>
    <t>Taxi TGI-Hôtel le Pharaon</t>
  </si>
  <si>
    <t>Taxi Hôtel le Pharaon-Agence Trans Bony/ Reservation des billets</t>
  </si>
  <si>
    <t>Taxi Agence Trans Bony-Hôtel le Pharaon</t>
  </si>
  <si>
    <t>Taxi Hôtel le Pharaon-TGI/ Suivi d'audience</t>
  </si>
  <si>
    <t>Donald-Roméo CONGO- Frais d'hôtel du 14 au 18/10/2025 à Dolisie (04 Nuitées)</t>
  </si>
  <si>
    <t>Taxi Hôtel le Pharaon-Agence Trans Bony/ Pour Brazzaville</t>
  </si>
  <si>
    <t>Taxi Agence Trans Bony-Domicile</t>
  </si>
  <si>
    <t>Credit telephonique MTN PALF/ du 20 au 26 octobre 2025</t>
  </si>
  <si>
    <t>Bonus opération du 25/08/2025 à Dolisie/Donald-Roméo</t>
  </si>
  <si>
    <t>Taxi Bureau-Marché total/ Reparer le téléphone</t>
  </si>
  <si>
    <t>Taxi Marché total-Bureau</t>
  </si>
  <si>
    <t>Credit telephonique MTN PALF/ du 27 octobre au 02 novembre 2025</t>
  </si>
  <si>
    <t>Taxi Bureau-Mazala/ Rencontrer Maître Hélène</t>
  </si>
  <si>
    <t>Taxi Mazala-Bureau</t>
  </si>
  <si>
    <t>DR-O-D1</t>
  </si>
  <si>
    <t>DR-O-R1</t>
  </si>
  <si>
    <t>DR-O-R2</t>
  </si>
  <si>
    <t>DR-O-R3</t>
  </si>
  <si>
    <t>DR-O-D2</t>
  </si>
  <si>
    <t>DR-O-D3</t>
  </si>
  <si>
    <t>DR-O-R4</t>
  </si>
  <si>
    <t>DR-O-R5</t>
  </si>
  <si>
    <t>DR-O-R6</t>
  </si>
  <si>
    <t>DR-O-R7</t>
  </si>
  <si>
    <t>DR-O-R8</t>
  </si>
  <si>
    <t>DR-O-R9</t>
  </si>
  <si>
    <t>CA-O-D10</t>
  </si>
  <si>
    <t>DR-O-R10</t>
  </si>
  <si>
    <t>CA-O-R38</t>
  </si>
  <si>
    <t>CA-O-R39</t>
  </si>
  <si>
    <t>Taxi, Les environs de l'hôtel Mandebi-Hôtel Yasmine</t>
  </si>
  <si>
    <t xml:space="preserve">Taxi, Région de Gendarmerie-La pâtisserie moderne </t>
  </si>
  <si>
    <t>Rafraichissement mon équipe lors de l'opération</t>
  </si>
  <si>
    <t>Taxi, La pâtisserie moderne-La Région de Gendarmerie du Niari</t>
  </si>
  <si>
    <t>Evariste-CONGO-Ration du 05 au 09 octobre 2025 à Dolisie</t>
  </si>
  <si>
    <t>Taxi, l'hôtel Yasmine-La Gendarmerie</t>
  </si>
  <si>
    <t>Taxi, La Région de Gendarmerie-L'hôtel Yasmine</t>
  </si>
  <si>
    <t>Credit telephonique MTN PALF/du 06  au 12 octobre 2025/ Evariste</t>
  </si>
  <si>
    <t>Taxi, La Région de Gendarmerie-La DDEF Niari</t>
  </si>
  <si>
    <t>Taxi, LA DDEF du Niari-L'hôtel Yasmine</t>
  </si>
  <si>
    <t>Taxi, Hôtel Yasmine-Agence Trans Bony de Dolisie</t>
  </si>
  <si>
    <t xml:space="preserve">Taxi, Agence Trans Bony de Dolisie-Agence Océan du Nord </t>
  </si>
  <si>
    <t>Achat billet Dolisie-Brazzaville/ Evariste</t>
  </si>
  <si>
    <t>Taxi, Agence Océan du Nord-Région de Gendarmerie du Niari</t>
  </si>
  <si>
    <t>Taxi, Région de Gendarmerie-DDEF Niari</t>
  </si>
  <si>
    <t>Taxi, DDEF Niari-Région de Gendarmerie</t>
  </si>
  <si>
    <t>Taxi, Région de Gendarmerie du Niari-Hôtel Yasmine</t>
  </si>
  <si>
    <t>Taxi, Région de Gendarmerie-Hôtel Yasmine</t>
  </si>
  <si>
    <t>Evariste-CONGO Frais de l'hôtel du 29 septembre au 09 octobre 2025 à Dolisie (10 nuitées)</t>
  </si>
  <si>
    <t>Taxi, Hôtel Yasmine-Agence Océan du Nord de Dolisie</t>
  </si>
  <si>
    <t xml:space="preserve">Taxi, Agence Océan du Nord de Brazzaville-Domicile </t>
  </si>
  <si>
    <t>Bonus media portant sur l'interpelation de 02 trafiquants des pointes d'ivoire le 04 octobre 2025 à Dolisie  pièces presse Internet (https://www.panoramik-actu.com)</t>
  </si>
  <si>
    <t>Bonus media portant sur l'interpelation de 02 trafiquants des pointes d'ivoire le 04 octobre 2025 à Dolisie pièces presse Internet (https://www.tribune-eco.cg)</t>
  </si>
  <si>
    <t>Bonus media portant sur l'interpelation de 02 trafiquants des pointes d'ivoire le 04 octobre 2025 à Dolisie pièces presse Internet (https://www.groupecongomedias.com)</t>
  </si>
  <si>
    <t>Bonus media portant sur l'interpelation de 02 trafiquants des pointes d'ivoire le 04 octobre 2025 à Dolisie pièces presse Internet (https://www.labreveonline.com)</t>
  </si>
  <si>
    <t>Bonus media portant sur l'interpelation de 02 trafiquants des pointes d'ivoire le 04 octobre 2025 à Dolisie pièces presse Internet (https://www.adiac-congo.com)</t>
  </si>
  <si>
    <t>Bonus media portant sur l'interpelation de 02 trafiquants des pointes d'ivoire le 04 octobre 2025 à Dolisie pièces presse Internet (https://www.lasemaineafricaine.info)</t>
  </si>
  <si>
    <t>Bonus media portant sur l'interpelation de 02 trafiquants des pointes d'ivoire le 04 octobre 2025 à Dolisie pièces presse Internet (https://www.matinlibre.cg)</t>
  </si>
  <si>
    <t>Bonus media portant sur l'interpelation de 02 trafiquants des pointes d'ivoire le 04 octobre 2025 à Dolisie pièces presse Internet (https://www.firstmediac.com)</t>
  </si>
  <si>
    <t>Bonus media portant sur l'interpelation de 02 trafiquants des pointes d'ivoire le 04 octobre 2025 à Dolisie pièces presse Internet (https://www.journaldebrazza.com)</t>
  </si>
  <si>
    <t>Bonus media portant sur l'interpelation de 02 trafiquants des pointes d'ivoire le 04 octobre 2025 à Dolisie pièces presse Internet (https://vmmedias.info)</t>
  </si>
  <si>
    <t>Bonus media portant sur l'interpelation de 02 trafiquants des pointes d'ivoire le 04 octobre 2025 à Dolisie pièces presse Internet (https://aci.cg)</t>
  </si>
  <si>
    <t>Bonus media portant sur l'interpelation de 02 trafiquants des pointes d'ivoire le 04 octobre 2025 à Dolisie pièces presse Internet (https://lesechos-congobrazza.com/)</t>
  </si>
  <si>
    <t>Bonus media portant sur l'interpelation de 02 trafiquants des pointes d'ivoire le 04 octobre 2025 à Dolisie pièces presse Internet (https://opinionpublique.cg)</t>
  </si>
  <si>
    <t>Bonus media portant sur l'interpelation de 02 trafiquants des pointes d'ivoire le 04 octobre 2025 à Dolisie pièces presse Internet (https://www.lhorizonafricain.com)</t>
  </si>
  <si>
    <t>Bonus media portant sur l'interpallation de 02 trafiquants des pointes d'ivoire le 04 octobre 2025 à Dolisie pieces presse papier(les depêches de brazzaville)</t>
  </si>
  <si>
    <t>Bonus media portant sur l'interpallation de 02 trafiquants des pointes d'ivoire le 04 octobre 2025 à Dolisie pieces presse papier(l l'horizion africain)</t>
  </si>
  <si>
    <t>Bonus media portant sur l'interpallation de 02 trafiquants des pointes d'ivoire le 04 octobre 2025 à Dolisie pieces presse papier(l'agence congolaise de l'information)</t>
  </si>
  <si>
    <t>Bonus media portant sur l'interpallation de 02 trafiquants des pointes d'ivoire le 04 octobre 2025 à Dolisie pieces presse papier( la semaine Africaine)</t>
  </si>
  <si>
    <t>Bonus media portant sur l'interpellation de 02 trafiquants des pointes d'ivoire le 04 octobre 2025 à Dolisie  presse Radio citoyenne des jeunes</t>
  </si>
  <si>
    <t>Bonus media portant sur l'interpellation de 02 trafiquants des pointes d'ivoire le 04 octobre 2025 à Dolisie  presse Radio (radio Liberté Français)</t>
  </si>
  <si>
    <t>Bonus media portant sur l'interpellation de 02 trafiquants des pointes d'ivoire le 04 octobre 2025 à Dolisie  presse Radio( radio Liberté Kituba)</t>
  </si>
  <si>
    <t>Bonus media portant sur l'interpellation de 02 trafiquants des pointes d'ivoire le 04 octobre 2025 à Dolisie  presse Radio (Radio Liberté Lingala)</t>
  </si>
  <si>
    <t>Taxi, Bureau PALF-Radio Citoyenne des Jeunes</t>
  </si>
  <si>
    <t>Taxi, Radio Citoyenne des Jeunes (RCJ)-Le journal Opinion Publique</t>
  </si>
  <si>
    <t>Taxi, Le journal Opinion Publique-lhorizonafricain.com</t>
  </si>
  <si>
    <t>Taxi, lhorizonafricain.com-Les Dépêches de Brazzaville</t>
  </si>
  <si>
    <t>Taxi, Les Dépêches de Brazzaville-l'Agence Congolaise d'information (ACI)</t>
  </si>
  <si>
    <t>Taxi, Agence Congolaise d'Information (ACI)-panoramik-actu.com</t>
  </si>
  <si>
    <t>Taxi, panoramik-actu.com-groupecongomedias.com</t>
  </si>
  <si>
    <t>Taxi, groupecongomedias.com-Bureau PALF</t>
  </si>
  <si>
    <t>Taxi, Bureau PALF-Les Echos de Brazza</t>
  </si>
  <si>
    <t>Taxi, Les Echos de Brazza-tribune-eco.com</t>
  </si>
  <si>
    <t>Taxi, tribune-eco.com-Moukondo</t>
  </si>
  <si>
    <t>Taxi, Moukondo-Télé Congo</t>
  </si>
  <si>
    <t>Taxi, Télé Congo-Moukondo</t>
  </si>
  <si>
    <t>Taxi, Moukondo-Domicile</t>
  </si>
  <si>
    <t>Credit telephonique MTN PALF/du 13  au 19 octobre 2025/ Evariste</t>
  </si>
  <si>
    <t>Bonus medias(TV Congo) portant sur l'interpetation de 02 trafiquants des pointes d'ivoire le 04 octobre 2025 à Dolisie pieces télé Congo français,</t>
  </si>
  <si>
    <t>Bonus medias(TV Congo) portant sur l'interpetation de 02 trafiquants des pointes d'ivoire le 04 octobre 2025 à Dolisie pieces télé Congo kituba</t>
  </si>
  <si>
    <t xml:space="preserve">Bonus medias(TV Congo) portant sur l'interpetation de 02 trafiquants des pointes d'ivoire le 04 octobre 2025 à Dolisie pieces télé Congo  lingala </t>
  </si>
  <si>
    <t>Bonus medias(TV Congo) portant sur l'interpetation de 02 trafiquants des pointes d'ivoire le 04 octobre 2025 à Dolisie pieces télé Congo montages</t>
  </si>
  <si>
    <t>Taxi, Domicile-Moukondo</t>
  </si>
  <si>
    <t>Taxi, Bureau PALF-Radio Liberté</t>
  </si>
  <si>
    <t>Taxi, Radio Liberté-Les echos de Brazzaville</t>
  </si>
  <si>
    <t>Taxi, Les échos de Brazza-Domicile</t>
  </si>
  <si>
    <t>Bonus media portant sur les audiences du 15 et 16 octobre 2025 au TGI d'Owando et Impfondo  pièces presse Internet (https://www.panoramik-actu.com)</t>
  </si>
  <si>
    <t>Bonus media portant sur les audiences du 15 et 16 octobre 2025 au TGI d'Owando et Impfondo pièces presse Internet (https://www.tribune-eco.cg)</t>
  </si>
  <si>
    <t>Bonus media portant sur les audiences du 15 et 16 octobre 2025 au TGI d'Owando et Impfondo pièces presse Internet (https://www.groupecongomedias.com)</t>
  </si>
  <si>
    <t>Bonus media portant sur les audiences du 15 et 16 octobre 2025 au TGI d'Owando et Impfondo pièces presse Internet (https://www.labreveonline.com)</t>
  </si>
  <si>
    <t>Bonus media portant sur les audiences du 15 et 16 octobre 2025 au TGI d'Owando et Impfondo pièces presse Internet (https://www.adiac-congo.com)</t>
  </si>
  <si>
    <t>Bonus media portant sur les audiences du 15 et 16 octobre 2025 au TGI d'Owando et Impfondo pièces presse Internet (https://www.lasemaineafricaine.info)</t>
  </si>
  <si>
    <t>Bonus media portant sur les audiences du 15 et 16 octobre 2025 au TGI d'Owando et Impfondo pièces presse Internet (https://www.matinlibre.cg)</t>
  </si>
  <si>
    <t>Bonus media portant sur les audiences du 15 et 16 octobre 2025 au TGI d'Owando et Impfondo pièces presse Internet (https://www.firstmediac.com)</t>
  </si>
  <si>
    <t>Bonus media portant sur les audiences du 15 et 16 octobre 2025 au TGI d'Owando et Impfondo pièces presse Internet (https://www.journaldebrazza.com)</t>
  </si>
  <si>
    <t>Bonus media portant sur les audiences du 15 et 16 octobre 2025 au TGI d'Owando et Impfondo pièces presse Internet (https://vmmedias.info)</t>
  </si>
  <si>
    <t>Bonus media portant sur les audiences du 15 et 16 octobre 2025 au TGI d'Owando et Impfondo pièces presse Internet (https://aci.cg)</t>
  </si>
  <si>
    <t>Bonus media portantsur les audiences du 15 et 16 octobre 2025 au TGI d'Owando et Impfondo pièces presse Internet (https://lesechos-congobrazza.com/)</t>
  </si>
  <si>
    <t>Bonus media portant sur les audiences du 15 et 16 octobre 2025 au TGI d'Owando et Impfondo pièces presse Internet (https://opinionpublique.cg)</t>
  </si>
  <si>
    <t>Bonus media portant sur les audiences du 15 et 16 octobre 2025 au TGI d'Owando et Impfondo pièces presse Internet (https://www.lhorizonafricain.com)</t>
  </si>
  <si>
    <t>Bonus media portant sur les audiences du 15 et 16 octobre 2025 au TGI d'Owando et Impfondo pieces presse papier(les depêches de brazzaville)</t>
  </si>
  <si>
    <t>Bonus media portant sur les audiences du 15 et 16 octobre 2025 au TGI d'Owando et Impfondo pieces presse papier( l'horizion africain)</t>
  </si>
  <si>
    <t>Bonus media portant sur les audiences du 15 et 16 octobre 2025 au TGI d'Owando et Impfondo pieces presse papier(l'agence congolaise de l'information)</t>
  </si>
  <si>
    <t>Bonus media portant sur les audiences du 15 et 16 octobre 2025 au TGI d'Owando et Impfondo presse Radio citoyenne des jeunes</t>
  </si>
  <si>
    <t>Bonus media portant sur les audiences du 15 et 16 octobre 2025 au TGI d'Owando et Impfondo presse Radio Liberté Kituba</t>
  </si>
  <si>
    <t>Bonus media portant sur les audiences du 15 et 16 octobre 2025 au TGI d'Owando et Impfondo presse Radio Liberté Français</t>
  </si>
  <si>
    <t>Bonus media portant sur les audiences du 15 et 16 octobre 2025 au TGI d'Owando et Impfondo presse Radio Liberté Lingala</t>
  </si>
  <si>
    <t>Credit telephonique MTN PALF/du 20  au 26 octobre 2025/ Evariste</t>
  </si>
  <si>
    <t>Bonus opération du 04/10/2025 à Dolisie/Evariste</t>
  </si>
  <si>
    <t>Frais de l'avis de recritement dans le depeches de Brazzaville</t>
  </si>
  <si>
    <t>Publications</t>
  </si>
  <si>
    <t>Taxi, Bureau PALF-groupecongomedias.com</t>
  </si>
  <si>
    <t>Taxi, groupecongomedias.com-Radio Citoyenne des jeunes</t>
  </si>
  <si>
    <t>Taxi, Radio Citoyenne des Jeunes-Bureau PALF</t>
  </si>
  <si>
    <t>Taxi, Bureau-Les Dépêches de Brazzaville</t>
  </si>
  <si>
    <t>Taxi, les dépêches de Brazzaville-matinlibre.cg</t>
  </si>
  <si>
    <t>Taxi, matinlibre.cg-La Semaine Africaine</t>
  </si>
  <si>
    <t>Achat Billet Brazzaville-Nkayi/ Evariste</t>
  </si>
  <si>
    <t>Taxi, Radio Liberté-groupecongomedias.com</t>
  </si>
  <si>
    <t>Taxi, groupecongomedias.com-tribune-eco.cg</t>
  </si>
  <si>
    <t>Taxi, tribune-eco.cg-panoramik-actu.com-La Semaine Africaine</t>
  </si>
  <si>
    <t>Taxi, La Semaine Africaine-Agence Congolaise de l'Information</t>
  </si>
  <si>
    <t>Taxi, Agence Congolaise de l'Information-Les Dépêches de Brazzaville</t>
  </si>
  <si>
    <t>Taxi, Les Dépêches de Brazzaville-opionpublique.cg</t>
  </si>
  <si>
    <t>Taxi, opinionpublique.cg-Domicile</t>
  </si>
  <si>
    <t>Bonus media portant sur l'audience de 02 présumés trafiquants d'ivoire le 24 octobre 2025 au TGI de Dolisie  pièces presse Internet (https://www.panoramik-actu.com)</t>
  </si>
  <si>
    <t>Bonus media portant sur  l'audience de 02 présumés trafiquants d'ivoire le 24 octobre 2025 au TGI de Dolisie  pièces presse Internet (https://www.tribune-eco.cg)</t>
  </si>
  <si>
    <t>Bonus media portant sur l'audience de 02 présumés trafiquants d'ivoire le 24 octobre 2025 au TGI de Dolisie  pièces presse Internet (https://www.groupecongomedias.com)</t>
  </si>
  <si>
    <t>Bonus media portant sur l'audience de 02 présumés trafiquants d'ivoire le 24 octobre 2025 au TGI de Dolisie  pièces presse Internet (https://www.labreveonline.com)</t>
  </si>
  <si>
    <t>Bonus media portant sur  l'audience de 02 présumés trafiquants d'ivoire le 24 octobre 2025 au TGI de Dolisie  pièces presse Internet (https://www.adiac-congo.com)</t>
  </si>
  <si>
    <t>Bonus media portant sur  l'audience de 02 présumés trafiquants d'ivoire le 24 octobre 2025 au TGI de Dolisie  pièces presse Internet (https://www.lasemaineafricaine.info)</t>
  </si>
  <si>
    <t>Bonus media portant sur  l'audience de 02 présumés trafiquants d'ivoire le 24 octobre 2025 au TGI de Dolisie  pièces presse Internet (https://www.matinlibre.cg)</t>
  </si>
  <si>
    <t>Bonus media portant sur  l'audience de 02 présumés trafiquants d'ivoire le 24 octobre 2025 au TGI de Dolisie  pièces presse Internet (https://www.firstmediac.com)</t>
  </si>
  <si>
    <t>Bonus media portant sur l'audience de 02 présumés trafiquants d'ivoire le 24 octobre 2025 au TGI de Dolisie  pièces presse Internet (https://www.journaldebrazza.com)</t>
  </si>
  <si>
    <t>Bonus media portant sur  l'audience de 02 présumés trafiquants d'ivoire le 24 octobre 2025 au TGI de Dolisie  pièces presse Internet (https://vmmedias.info)</t>
  </si>
  <si>
    <t>Bonus media portant sur  l'audience de 02 présumés trafiquants d'ivoire le 24 octobre 2025 au TGI de Dolisie  pièces presse Internet (https://aci.cg)</t>
  </si>
  <si>
    <t>Bonus media portant sur  l'audience de 02 présumés trafiquants d'ivoire le 24 octobre 2025 au TGI de Dolisie  pièces presse Internet (https://lesechos-congobrazza.com/)</t>
  </si>
  <si>
    <t>Bonus media portant sur  l'audience de 02 présumés trafiquants d'ivoire le 24 octobre 2025 au TGI de Dolisie  pièces presse Internet (https://opinionpublique.cg)</t>
  </si>
  <si>
    <t>Bonus media portant sur l'audience de 02 présumés  trafiquants d'ivoire  le 24 octobre 2025 au TGI de Dolisie pieces presse papier(les depêches de brazzaville)</t>
  </si>
  <si>
    <t>Bonus media portant sur l'audience de 02 présumés  trafiquants d'ivoire  le 24 octobre 2025 au TGI de Dolisie pieces presse papier( l'horizion africain)</t>
  </si>
  <si>
    <t>Bonus media portant sur l'audience de 02 présumés  trafiquants d'ivoire  le 24 octobre 2025 au TGI de Dolisie pieces presse papier(La semaine Africaine)</t>
  </si>
  <si>
    <t>Bonus media portant sur l'audience de 02 présumés  trafiquants d'ivoire  le 24 octobre 2025 au TGI de Dolisie pieces presse papier( l'agence congolaise de l'information)</t>
  </si>
  <si>
    <t>Bonus media portant sur audience de 02 présumés  trafiquants d'ivoire  le 24 octobre 2025 au TGI de Dolisie presse Radio citoyenne des jeunes</t>
  </si>
  <si>
    <t>Bonus media portant sur audience de 02 présumés  trafiquants d'ivoire  le 24 octobre 2025 au TGI de Dolisie presse Radio (Radio Liberté Français)</t>
  </si>
  <si>
    <t>Bonus media portant sur audience de 02 présumés  trafiquants d'ivoire  le 24 octobre 2025 au TGI de Dolisie presse Radio (Radio Liberté Kituba)</t>
  </si>
  <si>
    <t>Bonus media portant sur audience de 02 présumés  trafiquants d'ivoire  le 24 octobre 2025 au TGI de Dolisie presse Radio (Radio Liberté Lingala)</t>
  </si>
  <si>
    <t>Evariste-CONGO- Ration du 24 au 31 octobre 2025 mission de Nkayi et Madingou (7 nuitées)</t>
  </si>
  <si>
    <t>Taxi, Les environs de l'hôtel Mouanda-Hôtel Dechel</t>
  </si>
  <si>
    <t>Credit telephonique MTN PALF/du 27 octobre  au 02 Novembre 2025/ Evariste</t>
  </si>
  <si>
    <t>Taxi, Gendarmerie de Nkayi-Bar Le Réfuge</t>
  </si>
  <si>
    <t xml:space="preserve">Taxi, Bar Le Refuge-Gendarmerie (Agents EF) </t>
  </si>
  <si>
    <t>Rafraichisseement de mon équipe</t>
  </si>
  <si>
    <t>Location taxi pour le transport du reste de l'équipe de l'opération de Nkayi à Madingou</t>
  </si>
  <si>
    <t>Evariste-CONGO Frais de l'hôtel du 24 au 28 octobre 2025 à Nkayi (4 nuitées)</t>
  </si>
  <si>
    <t>Taxi, Région de Gendarmerie de Madingou-Hôtel</t>
  </si>
  <si>
    <t>Taxi moto, Hôtel-DDEF Bouenza</t>
  </si>
  <si>
    <t xml:space="preserve">Taxi moto, Gendarmerie-Hôtel </t>
  </si>
  <si>
    <t>Taxi moto, DDEF-Agence Trans Bony</t>
  </si>
  <si>
    <t>Achat du billet Madingou-Brazzaville/Evariste</t>
  </si>
  <si>
    <t>Taxi moto, Agence Trance Bony-Hôtel</t>
  </si>
  <si>
    <t>Bonus medias(TV Congo) portant sur l'interpetation d'un trafiquant d'un bébé chimpanzé le 28 Octobre 2025 à Nkayi pieces télé Congo français</t>
  </si>
  <si>
    <t>Bonus medias(TV Congo) portant sur l'interpetation d'un trafiquant d'un bébé chimpanzé le 28 Octobre 2025 à Nkayi pieces télé Congo  kituba</t>
  </si>
  <si>
    <t xml:space="preserve">Bonus medias(TV Congo) portant sur l'interpetation d'un trafiquant d'un bébé chimpanzé le 28 Octobre 2025 à Nkayi pieces télé Congo  lingala </t>
  </si>
  <si>
    <t>Bonus medias(TV Congo) portant sur l'interpetation d'un trafiquant d'un bébé chimpanzé le 28 Octobre 2025 à Nkayi pieces télé Congo montages</t>
  </si>
  <si>
    <t xml:space="preserve">Frais de l'hôtel du 28 au 31 octobre 2025 à Madingou (3 nuitées) </t>
  </si>
  <si>
    <t>Taxi moto, Hôtel-Agence Trans Bony de Madingou</t>
  </si>
  <si>
    <t>Taxi, Agence Trans Bony de Brazzaville-Domicile</t>
  </si>
  <si>
    <t>EV-O-D1</t>
  </si>
  <si>
    <t>EV-O-R1</t>
  </si>
  <si>
    <t>EV-O-D2</t>
  </si>
  <si>
    <t>EV-O-R2</t>
  </si>
  <si>
    <t>EV-O-R3</t>
  </si>
  <si>
    <t>EV-O-R4</t>
  </si>
  <si>
    <t>CA-O-D1</t>
  </si>
  <si>
    <t>CA-O-D2</t>
  </si>
  <si>
    <t>CA-O-D3</t>
  </si>
  <si>
    <t>EV-O-R5</t>
  </si>
  <si>
    <t>CA-O-D4</t>
  </si>
  <si>
    <t>CA-O-D5</t>
  </si>
  <si>
    <t>CA-O-D6</t>
  </si>
  <si>
    <t>CA-O-D7</t>
  </si>
  <si>
    <t>EV-O-R6</t>
  </si>
  <si>
    <t>CA-O-D8</t>
  </si>
  <si>
    <t>CA-O-R23</t>
  </si>
  <si>
    <t>EV-O-R7</t>
  </si>
  <si>
    <t>CA-O-D11</t>
  </si>
  <si>
    <t>CA-O-D12</t>
  </si>
  <si>
    <t>CA-O-D13</t>
  </si>
  <si>
    <t>EV-O-D3</t>
  </si>
  <si>
    <t>EV-O-R8</t>
  </si>
  <si>
    <t>EV-O-R9</t>
  </si>
  <si>
    <t>EV-O-R10</t>
  </si>
  <si>
    <t>EV-O-R11</t>
  </si>
  <si>
    <t>EV-O-R12</t>
  </si>
  <si>
    <t>CA-O-D14</t>
  </si>
  <si>
    <t>EV-O-R13</t>
  </si>
  <si>
    <t>Taxi: Bureau-Station  Service PUMA  pour l'achat du carburant</t>
  </si>
  <si>
    <t>Taxi: Station service PUMA-Bureau</t>
  </si>
  <si>
    <t>Credit telephonique MTN PALF/du 06 au 12octobre 2025/Romain</t>
  </si>
  <si>
    <t>Taxi: Bureau-Station Service-PUMA pour l'achat du carburant</t>
  </si>
  <si>
    <t>Recu Caisse/Jean Romain</t>
  </si>
  <si>
    <t>Credit telephonique MTN PALF/du 13 au 19 octobre 2025/Romain</t>
  </si>
  <si>
    <t>Taxi: Bureau-Agence Trans Bony de la Frontière</t>
  </si>
  <si>
    <t>Taxi: Agence Trans Bony de la Frontière -Agence Trans Bony de Diata</t>
  </si>
  <si>
    <t>Achat Billet Brazzaville-Owando/ Romain</t>
  </si>
  <si>
    <t>Taxi: Agence Trans bony de Diata-Total(pour remise du budget à Me, Hélène)</t>
  </si>
  <si>
    <t>Frais de transport mission Maitre Helene à Owando du 14 au 16/10/2025</t>
  </si>
  <si>
    <t>Ration et frais d'hotel mission maitre Helène à Owando du 14 au 16/10/2025</t>
  </si>
  <si>
    <t>Taxi: Domicile-Agence Trans Bony de la Frontière</t>
  </si>
  <si>
    <t>Taxi-moto: Agence Trans Bony d'Owando- hôtel case Mbali</t>
  </si>
  <si>
    <t>Taxi moto: Hotel Case Mbali -Maison d'arret d'Owando</t>
  </si>
  <si>
    <t>Achat ration des détenus(NGASSAKI Dany et ELOMBO Lévy), maison d'arret d'Owando</t>
  </si>
  <si>
    <t>Taxi: Maison d'arret d'Owando-Hotel Case Mbali</t>
  </si>
  <si>
    <t>ROMAIN-CONGO: Ration du 14 au 16/10/2025 à Owando</t>
  </si>
  <si>
    <t>Taxi moto: Hotel Case Mbali-Maison d'arrêt d'Owando</t>
  </si>
  <si>
    <t>Taxi moto: Maison d'arret-Cour d'Appel d'Owando</t>
  </si>
  <si>
    <t>Achat Billet Owando- Brazzaville/ Romain</t>
  </si>
  <si>
    <t>Taxi moto: Agence Trans Bony-Hôtel Case Mbali</t>
  </si>
  <si>
    <t>Achat de la Ration des prévenus(NGASSAKI Dany et ELOMBO Lévy) maison d'arret d'Owando</t>
  </si>
  <si>
    <t>Taxi moto: Maison d'arret d'Owando-Hotel Case Mbali</t>
  </si>
  <si>
    <t>Frais d'Hotel du 14 au 16/10/2025, deux (02) nuitées à Owando</t>
  </si>
  <si>
    <t>Taxi moto: Hotel Case Mbali-Agence Trans Bony d'Owando</t>
  </si>
  <si>
    <t>Taxi: Agence Trans Bony du Plateau des 15ans-Domicile</t>
  </si>
  <si>
    <t>Credit telephonique MTN PALF/du 20 au 26 octobre 2025/Romain</t>
  </si>
  <si>
    <t>Taxi: Bureau-Cabinet Maitre BANZOUZI pour la signature du contrat d'avocat(affaire MOMBO Lionel)</t>
  </si>
  <si>
    <t>Taxi: Bureau-TGI de Brazzaville(pour la remise de son cheque)</t>
  </si>
  <si>
    <t>Taxi: TGI de Brazzaville-DGEF(pour le depot du contrat à la signature)</t>
  </si>
  <si>
    <t>Taxi:  DGEF- Bureau</t>
  </si>
  <si>
    <t>Taxi: Bureau-Cabinet  de maitre BANZOUZI(pour la signature des pièces comptables)</t>
  </si>
  <si>
    <t>Taxi: Canibet de maitre BANZOUZI-Domicile</t>
  </si>
  <si>
    <t>Frais de transport mission Maitre Alain à dolisie du 23 au 25/10/2025</t>
  </si>
  <si>
    <t>Ration et frais d'hotel mission maitre Alain à dolisie du 23 au 25/10/2025</t>
  </si>
  <si>
    <t>Taxi: Agence -Océan du Nord de Talangai-Bureau</t>
  </si>
  <si>
    <t>Achat  Billet Brazzaville-Impfondo/Romain</t>
  </si>
  <si>
    <t>Frais de transport mission Maitre Alain à Impfondo du 26/10/ au 05/11/2025</t>
  </si>
  <si>
    <t>Ration et frais d'hotel mission maitre Alain à Impfondo du 26/10/ au 05/11/2025</t>
  </si>
  <si>
    <t>Taxi: Domicile-Agence Océan du Nord de Talangai</t>
  </si>
  <si>
    <t>Taxi: Agence Océan du Nord de Ouesso, Hotel-LE CLAIR MATIN</t>
  </si>
  <si>
    <t>ROMAIN-CONGO: Ration du 26/10/2025 au 05/11/2025 (10 jours en Mission)</t>
  </si>
  <si>
    <t>ROMAIN-CONGO: Frais d'Hotel du 26 au 27/10/2025, à Ouesso(une nuitée)</t>
  </si>
  <si>
    <t>Taxi: Hotel LE CLAIR MATI-Agence Océan du Nord de Ouesso</t>
  </si>
  <si>
    <t>Taxi moto: Agence Océan du Nord d'Enyelé-Hotel Paulina</t>
  </si>
  <si>
    <t>ROMAIN-CONGO: Frais d'Hotel du 27au 28/10/2025, à Enyelé(une nuitée)</t>
  </si>
  <si>
    <t>Credit telephonique MTN PALF/du 27 octobre au 02 novembre 2025/Romain</t>
  </si>
  <si>
    <t>Taxi moto: Hotel Paulina-Agence Océan du Nord d'Enyelé</t>
  </si>
  <si>
    <t>Taxi moto: Agence Océan du Nord d'Impfondo-Hotel MITHE 1</t>
  </si>
  <si>
    <t>Taxi moto: Hotel Mithé-boutique</t>
  </si>
  <si>
    <t>Achat de la ration des detenus (MBEKELE PARFAIT et MOUAPENDO Jodel)</t>
  </si>
  <si>
    <t>Taxi moto:  Boutique-Maison d'arret d'Impfondo</t>
  </si>
  <si>
    <t>Taxi moto: Mison d'arret-Agence Océan du Nord</t>
  </si>
  <si>
    <t>Taxi moto: Agence Océan du Nord-Hotel Mithé</t>
  </si>
  <si>
    <t>Taxi moto: Hotel Mithé-marché(pour acheter la ration des détenus</t>
  </si>
  <si>
    <t>Achat de la ration des détenus (MOUAPENDO et MBEKELE)</t>
  </si>
  <si>
    <t>Taxi moto: marché-maison d'arret</t>
  </si>
  <si>
    <t>Taxi moto: maison d'arret- Hotel Mithé</t>
  </si>
  <si>
    <t>Taxi moto: Hotel Mithé-Maison d'arret</t>
  </si>
  <si>
    <t>Achat de la ration des détenus</t>
  </si>
  <si>
    <t>Taxi moto: Maison d'arret-Hotel Mithé</t>
  </si>
  <si>
    <t>Achat de la ration des detenus</t>
  </si>
  <si>
    <t>Taxi moto: Maison d'arret - Hotel Mithé</t>
  </si>
  <si>
    <t>Taxi moto: Maison d'arret-Agence Océan du Nord pour la réservation de billets retour</t>
  </si>
  <si>
    <t>Achat Billet  Impfondo- Brazzaville/ Romain</t>
  </si>
  <si>
    <t>Taxi moto: Agence Océan du Nord-Charden Farell</t>
  </si>
  <si>
    <t>Taxi moto: Charden Farell-Hotel Mithé</t>
  </si>
  <si>
    <t>Taxi moto: Maison d'arret -Hotel Mithé</t>
  </si>
  <si>
    <t>RM-O-D1</t>
  </si>
  <si>
    <t>CA-O-R1</t>
  </si>
  <si>
    <t>RM-O-R1</t>
  </si>
  <si>
    <t>CA-O-R9</t>
  </si>
  <si>
    <t>CA-O-R10</t>
  </si>
  <si>
    <t>RM-O-R2</t>
  </si>
  <si>
    <t>RM-O-R3</t>
  </si>
  <si>
    <t>CA-O-R13</t>
  </si>
  <si>
    <t>CA-O-R14</t>
  </si>
  <si>
    <t>RM-O-D3</t>
  </si>
  <si>
    <t>RM-O-D2</t>
  </si>
  <si>
    <t>RM-O-R4</t>
  </si>
  <si>
    <t>RM-O-R5</t>
  </si>
  <si>
    <t>RM-O-R6</t>
  </si>
  <si>
    <t>CA-O-R26</t>
  </si>
  <si>
    <t>CA-O-R27</t>
  </si>
  <si>
    <t>RM-O-R7</t>
  </si>
  <si>
    <t>CA-O-R28</t>
  </si>
  <si>
    <t>CA-O-R29</t>
  </si>
  <si>
    <t>RM-O-D4</t>
  </si>
  <si>
    <t>RM-O-R8</t>
  </si>
  <si>
    <t>RM-O-R9</t>
  </si>
  <si>
    <t>RM-O-R10</t>
  </si>
  <si>
    <t>RM-O-R11</t>
  </si>
  <si>
    <t>Reglement Facture Gardiennage Mois de septembre 2025/365443654439</t>
  </si>
  <si>
    <t>Reglement honoraire du mois de septembret 2025/G12/3654438</t>
  </si>
  <si>
    <t>Reglement honoraire du mois de septembre 2025/IT87/3654440</t>
  </si>
  <si>
    <t>Paiement salaire du mois de septembre 2025/FOUMBA Roderlin/3654443</t>
  </si>
  <si>
    <t>Paiement salaire du mois de septembre 2025/BOUNGOU MAKOSSO Abraham/36544444</t>
  </si>
  <si>
    <t>Paiement salaire du mois de septembre 2025/LOUNDOU JeanRomain/3654442</t>
  </si>
  <si>
    <t>Reglement honoraire du mois de septembre 2025/T73/3654445</t>
  </si>
  <si>
    <t>RAPATRIEME01100 RAO00010920/Fondation Wildcat</t>
  </si>
  <si>
    <t>RAPATRIEME01100 RAO00010920/Marchig Trust</t>
  </si>
  <si>
    <t>Reglement honoraire du mois de de de septembre 2025/P29/3654449</t>
  </si>
  <si>
    <t>Paiement salaire du mois de septembre 2025/Crepin IBOUILI-IBOUILI</t>
  </si>
  <si>
    <t>Paiement salaire du mois de septembre 2025/PINDI BINGA Donald- Roméo</t>
  </si>
  <si>
    <t>Paiement salaire du mois de septembre 2025/Evariste LELOUSSI</t>
  </si>
  <si>
    <t>Frais de virement salaire du mois de septembre 2025</t>
  </si>
  <si>
    <t>Paiement CNSS troixième trimestre/Juillet, Août et Septembre 2025/Crepin /3654448</t>
  </si>
  <si>
    <t>Paiement CNSS troixième trimestre/Juillet, Août et Septembre 2025/Donald-Roméo/3654448</t>
  </si>
  <si>
    <t>Paiement CNSS troixième trimestre/Juillet, Août et Septembre 2025/Romain/3654448</t>
  </si>
  <si>
    <t>Paiement CNSS troixième trimestre/Juillet, Août et Septembre 2025/Roderlin/3654448</t>
  </si>
  <si>
    <t>Paiement CNSS troixième trimestre/Juillet, Août et Septembre 2025/Abraham/3654448</t>
  </si>
  <si>
    <t>Paiement CNSS troixième trimestre/Juillet, Août et Septembre 2025/Parfaite/3654448</t>
  </si>
  <si>
    <t>Paiement CNSS troixième trimestre/Juillet, Août et Septembre 2025/Evariste/3654448</t>
  </si>
  <si>
    <t>Paiement salaire du mois de septembre 2025/Homéfa DOVI/3654446</t>
  </si>
  <si>
    <t>Paiement Honoraire Me LOCKO/Mois de septembre  2025/3654447</t>
  </si>
  <si>
    <t>Paiement salaire du mois de septembre 2025/BAVOUMINA NZOUSSI Dina Parfaite/4527703</t>
  </si>
  <si>
    <t>Acompte honoraire contrat N°86 Dolisie cas MOMBO Lionel et MBIYABA Darel /Maitre  Alain BAZOUNZI/ 4527704</t>
  </si>
  <si>
    <t>Reglement loyer du mois d'octobre 2025/3655335</t>
  </si>
  <si>
    <t>Frais de virement salaire du mois d'octobre 2025</t>
  </si>
  <si>
    <t>Reglement honoraire du mois  d'Octobre 2025/P29/3655343</t>
  </si>
  <si>
    <t>Reglement honoraire du mois d'Octobre 2025/G12/3655344</t>
  </si>
  <si>
    <t>Reglement honoraire du mois d'Octobre 2025/T73/3655346</t>
  </si>
  <si>
    <t>Reglement honoraire du mois d'Octobre 2025/IT87/3655342</t>
  </si>
  <si>
    <t>Paiement Honoraire Me LOCKO/Mois de Juillet  2025/36544418</t>
  </si>
  <si>
    <t>BQ-O-R1</t>
  </si>
  <si>
    <t>BQ-O-R2</t>
  </si>
  <si>
    <t>BQ-O-R3</t>
  </si>
  <si>
    <t>BQ-O-R4</t>
  </si>
  <si>
    <t>BQ-O-R5</t>
  </si>
  <si>
    <t>BQ-O-R6</t>
  </si>
  <si>
    <t>BQ-O-R7</t>
  </si>
  <si>
    <t>BQ-O-R8</t>
  </si>
  <si>
    <t>BQ-O-G1</t>
  </si>
  <si>
    <t>BQ-O-G2</t>
  </si>
  <si>
    <t>BQ-O-R9</t>
  </si>
  <si>
    <t>BQ-O-R10</t>
  </si>
  <si>
    <t>BQ-O-R11</t>
  </si>
  <si>
    <t>BQ-O-R12</t>
  </si>
  <si>
    <t>BQ-O-R13</t>
  </si>
  <si>
    <t>BQ-O-R14</t>
  </si>
  <si>
    <t>BQ-O-R15</t>
  </si>
  <si>
    <t>BQ-O-R16</t>
  </si>
  <si>
    <t>BQ-O-R17</t>
  </si>
  <si>
    <t>BQ-O-R18</t>
  </si>
  <si>
    <t>BQ-O-R19</t>
  </si>
  <si>
    <t>BQ-O-R20</t>
  </si>
  <si>
    <t>BQ-O-R21</t>
  </si>
  <si>
    <t>BQ-O-R22</t>
  </si>
  <si>
    <t>BQ-O-R23</t>
  </si>
  <si>
    <t>BQ-O-R24</t>
  </si>
  <si>
    <t>BQ-O-R25</t>
  </si>
  <si>
    <t>BQ-O-R26</t>
  </si>
  <si>
    <t>BQ-O-R27</t>
  </si>
  <si>
    <t>BQ-O-R28</t>
  </si>
  <si>
    <t>BQ-O-R29</t>
  </si>
  <si>
    <t>BQ-O-R30</t>
  </si>
  <si>
    <t>BQ-O-R31</t>
  </si>
  <si>
    <t>BQ-O-R32</t>
  </si>
  <si>
    <t>BQ-O-R33</t>
  </si>
  <si>
    <t>BQ-O-R34</t>
  </si>
  <si>
    <t>BQ-O-R35</t>
  </si>
  <si>
    <t>BQ-O-R36</t>
  </si>
  <si>
    <t>BQ-O-R37</t>
  </si>
  <si>
    <t>Direct Debits (Bank Charges)</t>
  </si>
  <si>
    <t>Marchig Trust</t>
  </si>
  <si>
    <t>oct</t>
  </si>
  <si>
    <t>Frais de transport mission Maitre Helene à Madingou du 30/10 au 03/11/2025</t>
  </si>
  <si>
    <t>Ration et frais d'hotel mission maitre Helène à Madingou du 30/10 au 03/11/2025</t>
  </si>
  <si>
    <t>Reglement loyer du mois de septembre 2025/3654441</t>
  </si>
  <si>
    <t>Paiement salaire du mois d'octobre 2025/Homéfa DOVI/3655339</t>
  </si>
  <si>
    <t>Paiement salaire du mois d'octobre 2025/Crepin IBOUILI-IBOUILI</t>
  </si>
  <si>
    <t>Paiement salaire du mois  d'octobre 2025/PINDI BINGA Donald- Roméo</t>
  </si>
  <si>
    <t>Paiement salaire du mois  d'octobre 2025/FOUMBA Roderlin/3655338</t>
  </si>
  <si>
    <t>Paiement salaire du mois  d'octobre 2025/BOUNGOU MAKOSSO Abraham/3655337</t>
  </si>
  <si>
    <t>Paiement salaire du mois  d'octobre 2025/LOUNDOU JeanRomain/3655336</t>
  </si>
  <si>
    <t>Paiement salaire du mois  d'octobre 2025/BAVOUMINA NZOUSSI Dina Parfaite/3655340</t>
  </si>
  <si>
    <t>Paiement salaire du mois  d'octobre 2025/Evariste LELOUSSI</t>
  </si>
  <si>
    <t>Transport l'hotel hopital general de nkayi/ les soins pour l'agent mordu par les bebe chimpanzé à l'hôpital</t>
  </si>
  <si>
    <t>bonus</t>
  </si>
  <si>
    <t>Bureau - Cab d'huissier</t>
  </si>
  <si>
    <t>Cab d'huissier - Maison</t>
  </si>
  <si>
    <t>Credit telephonique MTN/PALF/ du 03 au 09 novembre 2025/ DOVI</t>
  </si>
  <si>
    <t>Reçu caisse/ Loyer Coordinateur</t>
  </si>
  <si>
    <t>Règlement Loyer du mois  d'octobre 2025 coordinateur PALF</t>
  </si>
  <si>
    <t>Credit telephonique MTN/PALF/ du 10 au 16 novembre 2025/ DOVI</t>
  </si>
  <si>
    <t>Credit telephonique MTN/PALF/ du 17 au 23 novembre 2025/ DOVI</t>
  </si>
  <si>
    <t>Bureau - Aspinall</t>
  </si>
  <si>
    <t>Aspinall - Bureau</t>
  </si>
  <si>
    <t>Maison - Hôtel HILTON (séminaire)</t>
  </si>
  <si>
    <t>Hôtel HILTON - Bureau</t>
  </si>
  <si>
    <t>Bureau -Aspinall</t>
  </si>
  <si>
    <t>reçu caisse/Loyer coordinateur</t>
  </si>
  <si>
    <t>Règlement Loyer Coordinateur du mois de novembre 2025</t>
  </si>
  <si>
    <t>DH-N-D1</t>
  </si>
  <si>
    <t>DH-N-R1</t>
  </si>
  <si>
    <t>DH-N-V1</t>
  </si>
  <si>
    <t>DH-N-R2</t>
  </si>
  <si>
    <t>DH-N-R3</t>
  </si>
  <si>
    <t>DH-N-V2</t>
  </si>
  <si>
    <t>DH-N-R4</t>
  </si>
  <si>
    <t>DH-N-V3</t>
  </si>
  <si>
    <t>DH-N-V4</t>
  </si>
  <si>
    <t>DH-N-R5</t>
  </si>
  <si>
    <t>Credit telephonique MTN PALF/du 03 au 09 novembre 2025/ crepin</t>
  </si>
  <si>
    <t>Reçu de caisse/Crepin</t>
  </si>
  <si>
    <t>Taxi moto: Hôtel-Agence Océan du Nord Madingou</t>
  </si>
  <si>
    <t>Taxi: Agence Océan du Nord Diata-Domicile Mfilou Camp Militaire</t>
  </si>
  <si>
    <t>Credit telephonique MTN PALF/du 10   au 16 novembre 2025/ crepin</t>
  </si>
  <si>
    <t>Bonus opération du 28/10/2025 à Nkayi/Crepin</t>
  </si>
  <si>
    <t>Credit telephonique MTN PALF/ du 17 au 23 novembre 2025/ crepin</t>
  </si>
  <si>
    <t>Credit telephonique MTN PALF/du 17 au 23 novembre 2025/ crepin</t>
  </si>
  <si>
    <t>Taxi: Domicile Myanga-Marché Total pour suivi de la remise du prix du meilleur activiste</t>
  </si>
  <si>
    <t>CR-N-D1</t>
  </si>
  <si>
    <t>CR-N-D2</t>
  </si>
  <si>
    <t>CR-N-R1</t>
  </si>
  <si>
    <t>CR-N-V1</t>
  </si>
  <si>
    <t>CR-N-R2</t>
  </si>
  <si>
    <t>CR-N-R3</t>
  </si>
  <si>
    <t>CR-N-R4</t>
  </si>
  <si>
    <t>CA-N-D6</t>
  </si>
  <si>
    <t>CR-N-R5</t>
  </si>
  <si>
    <t>Solde au 01/11/2025</t>
  </si>
  <si>
    <t>Taxi:Bureau-Banque BCI/ Retrait espece 2025</t>
  </si>
  <si>
    <t>Credit teléphonique MTN PALF/ du 03 au 09 novembre 2025/ Parfaite</t>
  </si>
  <si>
    <t>Taxi:Bureau-Domicile / Travail sur les pièces comptables octobre 2025/ heure 19h 50</t>
  </si>
  <si>
    <t xml:space="preserve">Achat fourniture de bureau PALF Classeur </t>
  </si>
  <si>
    <t>Achat fourniture de bureau PALF  paque papier bristol</t>
  </si>
  <si>
    <t>Achat fourniture de bureau PALF deux cartons de paquet RAME A4</t>
  </si>
  <si>
    <t>Achat fourniture de bureau PALF  Carnet reçu</t>
  </si>
  <si>
    <t>Achat fourniture de bureau PALF  cole en pate</t>
  </si>
  <si>
    <t>Achat fourniture de bureau PALF  paquet stylo bleu</t>
  </si>
  <si>
    <t>Achat fourniture de bureau PALF un  Agrafeuse</t>
  </si>
  <si>
    <t>Achat fourniture de bureau PALF un desagrafeuse</t>
  </si>
  <si>
    <t>Achat fourniture de bureau PALF un paquet d'intercalaire</t>
  </si>
  <si>
    <t>Taxi:  Bureau- Société de gardiennage/remis de chèque du mois d'octobre 2025</t>
  </si>
  <si>
    <t>Taxi:Bureau-Societé SDF / Achat Fourniture de bueau</t>
  </si>
  <si>
    <t>Taxi:Société SDF-  Bureau</t>
  </si>
  <si>
    <t>Achat produit d'entretien  02 laits 900g  /Bureau PALF</t>
  </si>
  <si>
    <t>Achat produit d'entretien 02 bouteille des  javels /Bureau PALF</t>
  </si>
  <si>
    <t>Achat produit d'entretien nettoyant menage/Bureau PALF</t>
  </si>
  <si>
    <t>Achat produit d'entretien 06 papiers toilette/Bureau PALF</t>
  </si>
  <si>
    <t>Achat produit d'entretien 02 bloc wc/Bureau PALF</t>
  </si>
  <si>
    <t>Achat produit d'entretien 02 bloc chasse/Bureau PALF</t>
  </si>
  <si>
    <t>Achat produit d'entretien Matinal/Bureau PALF</t>
  </si>
  <si>
    <t>Achat produit d'entretien liquide vaisselle/Bureau PALF</t>
  </si>
  <si>
    <t>Achat produit d'entretien savon de menage/Bureau PALF</t>
  </si>
  <si>
    <t>Achat produit d'entretien Proclin 1000 kg/Bureau PALF</t>
  </si>
  <si>
    <t>Achat produit d'entretien sac sucre 5kg /Bureau PALF</t>
  </si>
  <si>
    <t>Achat produit d'entretien sac à poubelle/Bureau PALF</t>
  </si>
  <si>
    <t>Achat produit d'entretien thé/Bureau PALF</t>
  </si>
  <si>
    <t>Taxi:  Bureau- Super marche/Achat produit d'entretien bureau</t>
  </si>
  <si>
    <t>Taxi:  Super marché  - Bureau</t>
  </si>
  <si>
    <t>Taxi:Bureau-Domicile / Travail sur les pièces comptables octobre 2025/ heure 19h 30</t>
  </si>
  <si>
    <t>Taxi:Domicile-Bureau /Scannage des pièces comptables octobre 2025/Week-end</t>
  </si>
  <si>
    <t>Taxi:Bureau-Domicile</t>
  </si>
  <si>
    <t>Taxi:Bureau-Domicile / Travail sur les pièces comptables octobre 2025/ heure 20h 50</t>
  </si>
  <si>
    <t>Credit teléphonique MTN PALF/ du 10 au 16 novembre 2025/ Parfaite</t>
  </si>
  <si>
    <t>Taxi:Moungali-Bureau /Repatation imprimante</t>
  </si>
  <si>
    <t xml:space="preserve">Taxi: Bureau -Banque BCI/ Retrait espece </t>
  </si>
  <si>
    <t>Credit teléphonique MTN PALF/ du 17 au 23 novembre 2025/ Parfaite</t>
  </si>
  <si>
    <t>Frais de tansfert d'argent  a G12, et T73 par momo</t>
  </si>
  <si>
    <t>Taxi: Banque BCI-Bureau</t>
  </si>
  <si>
    <t>Taxi:  Bureau- Cabinet d'avocat/Depot  du chèque du mois d'octobre 2025 Me LOCKO</t>
  </si>
  <si>
    <t>Frais de tansfert d'argent  à P29, et IT87 par momo</t>
  </si>
  <si>
    <t xml:space="preserve">Taxi:  Bureau - Direction MB2 Services / transfert d'argent à P29 et IT87 </t>
  </si>
  <si>
    <t>Frais de tansfert d'argent  à Donald-Roméo  par momo</t>
  </si>
  <si>
    <t>Taxi:  Bureau - Direction MB2 Services / transfert d'argent à Donald-Roméo</t>
  </si>
  <si>
    <t xml:space="preserve"> Frais de prestation de nettoyage jardin PALF Novembre 2025</t>
  </si>
  <si>
    <t>Reglement prestation de nettoyage  PALF du mois de novembre 2025</t>
  </si>
  <si>
    <t>Frais de ramassage Ordure novembre 2025</t>
  </si>
  <si>
    <t>Reglement facture internet periode du 01/12 au 31/12/2025 bureau PALF</t>
  </si>
  <si>
    <t>Taxi:Bureau- Direction Canal Box/ Paiement internet du mois de Décembre 2025</t>
  </si>
  <si>
    <t>Taxi: Direction Canal Box-Bureau</t>
  </si>
  <si>
    <t>P-N-D1</t>
  </si>
  <si>
    <t>P-N-R1</t>
  </si>
  <si>
    <t>CA-N-R5</t>
  </si>
  <si>
    <t>CA-N-R6</t>
  </si>
  <si>
    <t>CA-N-R7</t>
  </si>
  <si>
    <t>P-N-R2</t>
  </si>
  <si>
    <t>P-N-V1</t>
  </si>
  <si>
    <t>P-N-R3</t>
  </si>
  <si>
    <t>CA-N-R12</t>
  </si>
  <si>
    <t>CA-N-R17</t>
  </si>
  <si>
    <t>CA-N-R18</t>
  </si>
  <si>
    <t>CA-N-R21</t>
  </si>
  <si>
    <t>CA-N-R22</t>
  </si>
  <si>
    <t>CA-N-R23</t>
  </si>
  <si>
    <t>CA-N-R24</t>
  </si>
  <si>
    <t>CA-N-R25</t>
  </si>
  <si>
    <t>CA-N-R26</t>
  </si>
  <si>
    <t>P-N-V2</t>
  </si>
  <si>
    <t>Credit telephonique MTN PALF/ du 03 au 09 novembre 2025/ Investigation/P29</t>
  </si>
  <si>
    <t xml:space="preserve"> Achat boisson avec une cible</t>
  </si>
  <si>
    <t>Reçu de caisse/ P29</t>
  </si>
  <si>
    <t>Credit telephonique MTN PALF/ du 10 au 16 novembre 2025/ Investigation/P29</t>
  </si>
  <si>
    <t>Credit telephonique MTN PALF/ du 17 au 23 novembre 2025/ Investigation/P29</t>
  </si>
  <si>
    <t>P29-N-R1</t>
  </si>
  <si>
    <t>P29-N-D1</t>
  </si>
  <si>
    <t>P29-N-D3</t>
  </si>
  <si>
    <t>P29-N-V1</t>
  </si>
  <si>
    <t>P29-N-R2</t>
  </si>
  <si>
    <t>P29-N-V2</t>
  </si>
  <si>
    <t>P29-N-V3</t>
  </si>
  <si>
    <t>P29-N-R3</t>
  </si>
  <si>
    <t>P29-N-D2</t>
  </si>
  <si>
    <t>P29-N-V4</t>
  </si>
  <si>
    <t>P29-N-R4</t>
  </si>
  <si>
    <t>P29-N-V5</t>
  </si>
  <si>
    <t>P29-N-V6</t>
  </si>
  <si>
    <t>P29-N-R5</t>
  </si>
  <si>
    <t>P29-N-R6</t>
  </si>
  <si>
    <t>P29-N-V7</t>
  </si>
  <si>
    <t>P29-N-R7</t>
  </si>
  <si>
    <t>P29-N-D4</t>
  </si>
  <si>
    <t>P29-N-R8</t>
  </si>
  <si>
    <t>P29-N-R9</t>
  </si>
  <si>
    <t>Credit telephonique MTN PALF/ du 03 au 09 novembre 2025/ Investigation/T73</t>
  </si>
  <si>
    <t>Credit telephonique MTN PALF/ du 10 au 16 novembre 2025/ Investigation/T73</t>
  </si>
  <si>
    <t>Achat boissons/deux cibles</t>
  </si>
  <si>
    <t>achat boissons/deux cible</t>
  </si>
  <si>
    <t>Credit telephonique MTN PALF/ du 17 au 23 novembre 2025/ Investigation/T73</t>
  </si>
  <si>
    <t>reçu de caisse/T73</t>
  </si>
  <si>
    <t>T73-N-R1</t>
  </si>
  <si>
    <t>T73-N-D1</t>
  </si>
  <si>
    <t>T73-N-D2</t>
  </si>
  <si>
    <t>T73-N-V1</t>
  </si>
  <si>
    <t>T73-N-R2</t>
  </si>
  <si>
    <t>T73-N-V2</t>
  </si>
  <si>
    <t>T73-N-R3</t>
  </si>
  <si>
    <t>T73-N-D3</t>
  </si>
  <si>
    <t>T73-N-R4</t>
  </si>
  <si>
    <t>T73-N-R5</t>
  </si>
  <si>
    <t>T73-N-R6</t>
  </si>
  <si>
    <t>T73-N-R7</t>
  </si>
  <si>
    <t>T73-N-V3</t>
  </si>
  <si>
    <t>T73-N-R8</t>
  </si>
  <si>
    <t>T73-N-R9</t>
  </si>
  <si>
    <t>T73-N-R10</t>
  </si>
  <si>
    <t>T73-N-V4</t>
  </si>
  <si>
    <t>Credit telephonique MTN PALF/du 03 au 09 novembre 2025/IT87</t>
  </si>
  <si>
    <t>Credit telephonique MTN PALF/du 10 au 16 novembre 2025/IT87</t>
  </si>
  <si>
    <t>Achat Boissons avec la cible</t>
  </si>
  <si>
    <t>Achat boissons et Repas avec la cible</t>
  </si>
  <si>
    <t>Credit telephonique MTN PALF/du 17 au 23 novembre 2025/IT87</t>
  </si>
  <si>
    <t>Achat boissons avec la cible</t>
  </si>
  <si>
    <t>Achat repas et boissons</t>
  </si>
  <si>
    <t>Achat repas avec la cible</t>
  </si>
  <si>
    <t>IT87-N-R1</t>
  </si>
  <si>
    <t>IT87-N-D1</t>
  </si>
  <si>
    <t>IT87-N-V1</t>
  </si>
  <si>
    <t>IT87-N-R2</t>
  </si>
  <si>
    <t>IT87-N-D2</t>
  </si>
  <si>
    <t>IT87-N-V2</t>
  </si>
  <si>
    <t>IT87-N-V3</t>
  </si>
  <si>
    <t>IT87-N-D3</t>
  </si>
  <si>
    <t>IT87-N-R3</t>
  </si>
  <si>
    <t>IT87-N-V4</t>
  </si>
  <si>
    <t>IT87-N-R4</t>
  </si>
  <si>
    <t>IT87-N-V5</t>
  </si>
  <si>
    <t>IT87-N-V6</t>
  </si>
  <si>
    <t>IT87-N-R5</t>
  </si>
  <si>
    <t>IT87-N-R6</t>
  </si>
  <si>
    <t>IT87-N-V7</t>
  </si>
  <si>
    <t>IT87-N-D4</t>
  </si>
  <si>
    <t>IT87-N-R7</t>
  </si>
  <si>
    <t>IT87-N-R8</t>
  </si>
  <si>
    <t>IT87-N-R9</t>
  </si>
  <si>
    <t>Credit telephonique MTN PALF/du  03 au 09 novembre 2025/G12</t>
  </si>
  <si>
    <t>Credit telephonique MTN PALF/du  10 au 16 novembre 2025/G12</t>
  </si>
  <si>
    <t>TraVel subsistence</t>
  </si>
  <si>
    <t>Achat boissonavec une  cible</t>
  </si>
  <si>
    <t>Credit telephonique MTN PALF/du  17 au 23 novembre 2025/G12</t>
  </si>
  <si>
    <t>G12-N-R1</t>
  </si>
  <si>
    <t>G12-N-V1</t>
  </si>
  <si>
    <t>G12-N-D1</t>
  </si>
  <si>
    <t>G12-N-R2</t>
  </si>
  <si>
    <t>G12-N-V2</t>
  </si>
  <si>
    <t>G12-N-R3</t>
  </si>
  <si>
    <t>G12-N-D3</t>
  </si>
  <si>
    <t>G12-N-R4</t>
  </si>
  <si>
    <t>G12-N-R5</t>
  </si>
  <si>
    <t>G12-N-D2</t>
  </si>
  <si>
    <t>G12-N-V3</t>
  </si>
  <si>
    <t>G12-N-R6</t>
  </si>
  <si>
    <t>G12-N-R7</t>
  </si>
  <si>
    <t>G12-N-R8</t>
  </si>
  <si>
    <t>G12-N-R9</t>
  </si>
  <si>
    <t>G12-N-R10</t>
  </si>
  <si>
    <t>G12-N-V4</t>
  </si>
  <si>
    <t>G12-N-D4</t>
  </si>
  <si>
    <t>G12-N-R11</t>
  </si>
  <si>
    <t>G12-N-R12</t>
  </si>
  <si>
    <t>G12-N-R13</t>
  </si>
  <si>
    <t>Frais de transport mission Maitre Helene à Madingou du 03 au 07/11/2025</t>
  </si>
  <si>
    <t>Ration et frais d'hotel mission maitre Helène à Madingou du 03 au 07/11/2025</t>
  </si>
  <si>
    <t>Frais de tansfert d'argent Charden Frarell  a crepin ,Roderlin</t>
  </si>
  <si>
    <t>Credit telephonique MTN PALF/ du 03 au 09 novembre 2025/Abraham</t>
  </si>
  <si>
    <t>Taxi: Bureau-Station/Station Achat carburant</t>
  </si>
  <si>
    <t>Taxi: Station-Bureau</t>
  </si>
  <si>
    <t>Bonus opération du 28/10/2025 à Nkayi/Evariste</t>
  </si>
  <si>
    <t>Credit telephonique MTN PALF/ du 10 au 16 novembre 2025/Abraham</t>
  </si>
  <si>
    <t>ABRAHAM - CONGO Ration du 11 au 13/11/2025 à Dolisie et à Owando (02 Nuitées)</t>
  </si>
  <si>
    <t>Taxi-moto: Agence Tranbony d'Owando-Hôtel Case Mbali</t>
  </si>
  <si>
    <t>Taxi-moto: Hôtel Case Mbali-Marché d'owando</t>
  </si>
  <si>
    <t xml:space="preserve">Ration  des 02 détenus à la maison d'arrêt d'Owando/ détenus visités: NGASSAKI Dany et ELOMBO Lévy/soir </t>
  </si>
  <si>
    <t>Taxi-moto: Marché d'owando-Maison d'arrêt d'Owando</t>
  </si>
  <si>
    <t>Taxi-moto:Maison d'arrêt d'Owando-Hôtel Case Mbali</t>
  </si>
  <si>
    <t>Taxi-moto: Hôtel Case Mbali-Boutique/Achat de la ration des prévenus</t>
  </si>
  <si>
    <t>Ration des 0 2 détenus à la maison d'arrêt d'Owando/ détenus visités: NGASSAKI Dany et ELOMBO Lévy/matin</t>
  </si>
  <si>
    <t>Taxi-moto: Boutique-Maison d'arrêt d'Owando</t>
  </si>
  <si>
    <t>Taxi-moto:Palais de justice d'Owando-Agence transbony d'Owando/ Réservation du billet</t>
  </si>
  <si>
    <t>Ration des  02 détenus à la maison d'arrêt d'Owando/ détenus visités: NGASSAKI Dany et ELOMBO Lévy/soir</t>
  </si>
  <si>
    <t>Taxi-moto: Maison d'arrêt d'Owando-Hôtel Case Mbali</t>
  </si>
  <si>
    <t>ABRAHAM-CONGO frais d'Hôtel  du 11 au 13/11/2025 à d'Owando(02 Nuitées)</t>
  </si>
  <si>
    <t>Taxi-moto: Hôtel Case Mbali-Agence Transbony d'Owando</t>
  </si>
  <si>
    <t>Taxi: Agence Transbony-Domicile</t>
  </si>
  <si>
    <t>Credit telephonique MTN PALF/ du 17 au 23 novembre 2025/Abraham</t>
  </si>
  <si>
    <t>Taxi: Bureau-Aéroport</t>
  </si>
  <si>
    <t>Taxi: Aéroport-Bureau</t>
  </si>
  <si>
    <t>AB-N-D1</t>
  </si>
  <si>
    <t>CA-N-R1</t>
  </si>
  <si>
    <t>CA-N-R2</t>
  </si>
  <si>
    <t>CA-N-R3</t>
  </si>
  <si>
    <t>AB-N-R1</t>
  </si>
  <si>
    <t>CA-N-R4</t>
  </si>
  <si>
    <t>CA-N-D5</t>
  </si>
  <si>
    <t>AB-N-V1</t>
  </si>
  <si>
    <t>AB-N-R2</t>
  </si>
  <si>
    <t>AB-N-R3</t>
  </si>
  <si>
    <t>AB-N-D3</t>
  </si>
  <si>
    <t>AB-N-D2</t>
  </si>
  <si>
    <t>AB-N-R4</t>
  </si>
  <si>
    <t>AB-N-R5</t>
  </si>
  <si>
    <t>AB-N-R6</t>
  </si>
  <si>
    <t>CA-N-R11</t>
  </si>
  <si>
    <t>CA-N-R14</t>
  </si>
  <si>
    <t>AB-N-V2</t>
  </si>
  <si>
    <t xml:space="preserve">Tricycle:Hôtel-Agence trans bony pour vérier la disponibilité du colis </t>
  </si>
  <si>
    <t xml:space="preserve">Tricycle:Agence trans bony-Hôtel </t>
  </si>
  <si>
    <t xml:space="preserve">Tricycle:Hôtel-Agence trans bony pour le rétrait du colis du colis </t>
  </si>
  <si>
    <t xml:space="preserve">Ttricycle:Hôtel-Charden Farrel </t>
  </si>
  <si>
    <t>Tricycle:Charden Farrel- Hôtel</t>
  </si>
  <si>
    <t>Credit telephonique MTN PALF/du03 au 09 novembre 2025/Roderlin</t>
  </si>
  <si>
    <t>Credit telephonique MTN PALF/du 03 au 09 novembre 2025/Roderlin</t>
  </si>
  <si>
    <t>RODERLIN-CONGO Ration du  03 au 07/11/2025 à Madingou(04 nuitées)</t>
  </si>
  <si>
    <t>Visite geôle du 04/11/2025 à la police de Madingou de NTONDELE MOUKOKO Claver/matin</t>
  </si>
  <si>
    <t xml:space="preserve">Tricycle:Marché-La police </t>
  </si>
  <si>
    <t xml:space="preserve">Tricycle:La police-Parquet </t>
  </si>
  <si>
    <t>Tricycle:Parquet-Hôtel</t>
  </si>
  <si>
    <t>Visite geôle du 04/11/2025 à la police de Madingou de NTONDELE MOUKOKO Claver/soir</t>
  </si>
  <si>
    <t>Tricycle:La police-Hôtel</t>
  </si>
  <si>
    <t>Visite geôle du 05/11/2025 à la police de Madingou de NTONDELE MOUKOKO Claver/matin</t>
  </si>
  <si>
    <t>Visite geôle du 05/11/2025 à la police de Madingou de NTONDELE MOUKOKO Claver/soir</t>
  </si>
  <si>
    <t>Visite geôle du 06/11/2025 à la police de Madingou de NTONDELE MOUKOKO Claver/matin</t>
  </si>
  <si>
    <t xml:space="preserve">Tricycle:Hôtel-Parquet </t>
  </si>
  <si>
    <t>Tricycle:Parquet-Agence Océan du nord</t>
  </si>
  <si>
    <t>Tricycle:Agence Océan du nord-Hôtel</t>
  </si>
  <si>
    <t>Visite geôle du 06/11/2025 à la police de Madingou de NTONDELE MOUKOKO Claver/soir</t>
  </si>
  <si>
    <t>RODERLIN-CONGO frais d'hôtel du 28/10 au 07/11/ 2025à  Madingou (10 nuitées)</t>
  </si>
  <si>
    <t>Taxi:Agence Océan du nord- Domicile</t>
  </si>
  <si>
    <t>Credit telephonique MTN PALF/du 10 au 16 novembre 2025/Roderlin</t>
  </si>
  <si>
    <t>Bonus opération du 28/10/2025 à Nkayi/Roderlin</t>
  </si>
  <si>
    <t>Credit telephonique MTN PALF/du 17 au 23 novembre 2025/Roderlin</t>
  </si>
  <si>
    <t xml:space="preserve">Taxi:Bureau-DGEF pour le rétrait du contrat </t>
  </si>
  <si>
    <t>Taxi:DGEF-Bureau</t>
  </si>
  <si>
    <t>RO-N-D1</t>
  </si>
  <si>
    <t>RO-N-R1</t>
  </si>
  <si>
    <t>RO-N-V1</t>
  </si>
  <si>
    <t>RO-N-D2</t>
  </si>
  <si>
    <t>RO-N-D3</t>
  </si>
  <si>
    <t>RO-N-R2</t>
  </si>
  <si>
    <t>RO-N-R3</t>
  </si>
  <si>
    <t>RO-N-R4</t>
  </si>
  <si>
    <t>CA-N-D7</t>
  </si>
  <si>
    <t>RO-N-V2</t>
  </si>
  <si>
    <t>RO-N-R5</t>
  </si>
  <si>
    <t>Credit telephonique MTN PALF/ du 03 au 09 novembre 2025/Donald-Roméo</t>
  </si>
  <si>
    <t>Credit telephonique MTN PALF/ du 10 au 18 novembre 2025/Donald-Roméo</t>
  </si>
  <si>
    <t>Credit telephonique MTN PALF/ du 17 au 23 novembre 2025/Donald-Roméo</t>
  </si>
  <si>
    <t>Achat billet Brazzaville-Impfondo/ Donald-Roméo</t>
  </si>
  <si>
    <t>Frais de transport mission Maitre Alain à Impfondo du 20 au 30/11/2025</t>
  </si>
  <si>
    <t>Ration et frais d'hotel mission maitre Alain à Impfondo du 20 au 30/11/2025</t>
  </si>
  <si>
    <t>Taxi Diata-Boueta-mbongo/ Remettre le budget de maître Banzouzi</t>
  </si>
  <si>
    <t>Taxi Boueta-mbongo-Diata</t>
  </si>
  <si>
    <t>Taxi Domicile-Agence Océan du Nord de Talangaî</t>
  </si>
  <si>
    <t>Taxi agence Océan du Nord de Ouesso-Hôtel Divine</t>
  </si>
  <si>
    <t>DONALD-ROMEO-CONGO Ration  du  23 au 30/11/2025 à Ouesso/ Impfondo/ Enyellé/ Gamboma</t>
  </si>
  <si>
    <t>DONALD ROMEO-CONGO Frais d'hôtel du 23 au 24/11/2025 à Ouesso (01 nuitée)</t>
  </si>
  <si>
    <t>Taxi Hôtel Divine-agence Océan du Nord de Ouesso</t>
  </si>
  <si>
    <t>DONALD ROMEO-CONGO Frais d'hôtel du 24 au 25/11/2025 à Enyelé (01 nuitée)</t>
  </si>
  <si>
    <t>Taxi moto Hôtel Mithé- Maison d'arrêt/ Pour la visite geôle du 26/11/2025 matin</t>
  </si>
  <si>
    <t>Ration des deux prevenus/ Parfait et Jodel/ Maison d'arrêt d'Impfondo/matin</t>
  </si>
  <si>
    <t>Taxi moto Maison d'arrêt- Agence Océan du Nord/ Retirer les billets</t>
  </si>
  <si>
    <t>Taxi moto Hôtel Mithé- Maison d'arrêt/ Pour la visite geôle du 26/11/2025 après-midi</t>
  </si>
  <si>
    <t>Ration des deux prevenus/ Parfait et Jodel/ Maison d'arrêt d'Impfondo/soir</t>
  </si>
  <si>
    <t>Taxi moto Maison d'arrêt- Hôtel Mithé</t>
  </si>
  <si>
    <t>Taxi moto Hôtel Mithé- Maison d'arrêt/ Pour la visite geôle du 27/06/2025 matin</t>
  </si>
  <si>
    <t>Taxi moto Hôtel Mithé-Agence Océan du Nord/ Deposer les bagages</t>
  </si>
  <si>
    <t>Taxi moto Agence Océan du Nord- Maison d'arrêt/ Pour la visite geôle du 27/06/2025 Après-midi</t>
  </si>
  <si>
    <t>DONALD ROMEO-CONGO Frais d'hôtel du 25 au 28/11/2025 à Impfondo (03 nuitées)</t>
  </si>
  <si>
    <t>DONALD ROMEO-CONGO Frais d'hôtel du 28 au 29/11/2025 à Enyellé (01 nuitée)</t>
  </si>
  <si>
    <t>Taxi moto agence océan du Nord-Hôtel baobab</t>
  </si>
  <si>
    <t>DONALD ROMEO-CONGO Frais d'hôte du 29 au 30/11/2025 à Gamboma (01 nuitée)</t>
  </si>
  <si>
    <t>Taxi moto Hôtel Baobab-Agence Océan du Nord de Gamboma/ Pour Brazzaville</t>
  </si>
  <si>
    <t>DR-N-R1</t>
  </si>
  <si>
    <t>DR-N-R2</t>
  </si>
  <si>
    <t>DR-N-R3</t>
  </si>
  <si>
    <t>DR-N-V1</t>
  </si>
  <si>
    <t>DR-N-R4</t>
  </si>
  <si>
    <t>CA-N-R19</t>
  </si>
  <si>
    <t>CA-N-R20</t>
  </si>
  <si>
    <t>DR-N-D1</t>
  </si>
  <si>
    <t>DR-N-D2</t>
  </si>
  <si>
    <t>DR-N-R5</t>
  </si>
  <si>
    <t>DR-N-R6</t>
  </si>
  <si>
    <t>DR-N-D3</t>
  </si>
  <si>
    <t>DR-N-R7</t>
  </si>
  <si>
    <t>DR-N-R8</t>
  </si>
  <si>
    <t>DR-N-R9</t>
  </si>
  <si>
    <t>DR-N-R10</t>
  </si>
  <si>
    <t>Credit telephonique MTN PALF/du 03  au 09 Novembre 2025/ Evariste</t>
  </si>
  <si>
    <t>Taxi, Moukondo-Bureau PALF</t>
  </si>
  <si>
    <t>Taxi, Domicile du Coordo PALF-Bureau PALF</t>
  </si>
  <si>
    <t>Reçu de la caisse /Evariste</t>
  </si>
  <si>
    <t>Taxi, Bureau PALF-Horizon Africain</t>
  </si>
  <si>
    <t>Taxi, Horizon Africain-Domicile</t>
  </si>
  <si>
    <t>Bonus media portant sur l'interpellation d'un trafiquant d'un bébé chimpanzé le 28 octobre 2025 à Nkayi pièces presse Internet (https://www.panoramik-actu.com)</t>
  </si>
  <si>
    <t>Bonus media portant sur l'interpellation d'un trafiquant d'un bébé chimpanzé le 28 octobre 2025 à Nkayi pièces presse Internet(https://www.tribune-eco.cg)</t>
  </si>
  <si>
    <t>Bonus media portant sur l'interpellation d'un trafiquant d'un bébé chimpanzé le 28 octobre 2025 à Nkayi pièces presse Internet(https://www.groupecongomedias.com)</t>
  </si>
  <si>
    <t>Bonus media portant sur l'interpellation d'un trafiquant d'un bébé chimpanzé le 28 octobre 2025 à Nkayi pièces presse Internet (https://www.labreveonline.com)</t>
  </si>
  <si>
    <t>Bonus media portant sur l'interpellation d'un trafiquant d'un bébé chimpanzé le 28 octobre 2025 à Nkayi pièces presse Internet (https://www.adiac-congo.com)</t>
  </si>
  <si>
    <t>Bonus media portant sur l'interpellation d'un trafiquant d'un bébé chimpanzé le 28 octobre 2025 à Nkayi pièces presse Internet (https://www.lasemaineafricaine.info)</t>
  </si>
  <si>
    <t>Bonus media portant sur l'interpellation d'un trafiquant d'un bébé chimpanzé le 28 octobre 2025 à Nkayi pièces presse Internet (https://www.matinlibre.cg)</t>
  </si>
  <si>
    <t>Bonus media portant sur l'interpellation d'un trafiquant d'un bébé chimpanzé le 28 octobre 2025 à Nkayi pièces presse Internet (https://www.firstmediac.com)</t>
  </si>
  <si>
    <t>Bonus media portant sur l'interpellation d'un trafiquant d'un bébé chimpanzé le 28 octobre 2025 à Nkayi pièces presse Internet (https://www.journaldebrazza.com)</t>
  </si>
  <si>
    <t>Bonus media portant sur l'interpellation d'un trafiquant d'un bébé chimpanzé le 28 octobre 2025 à Nkayi pièces presse Internet (https://vmmedias.info)</t>
  </si>
  <si>
    <t>Bonus media portant sur l'interpellation d'un trafiquant d'un bébé chimpanzé le 28 octobre 2025 à Nkayi pièces presse Internet (https://aci.cg)</t>
  </si>
  <si>
    <t>Bonus media portant sur l'interpellation d'un trafiquant d'un bébé chimpanzé le 28 octobre 2025 à Nkayi pièces presse Internet (https://lesechos-congobrazza.com/)</t>
  </si>
  <si>
    <t>Bonus media portant sur l'interpellation d'un trafiquant d'un bébé chimpanzé le 28 octobre 2025 à Nkayi pièces presse Internet (https://opinionpublique.cg)</t>
  </si>
  <si>
    <t>Bonus media portant sur l'interpellation d'un trafiquant d'un bébé chimpanzé le 28 octobre 2025 à Nkayi pièces presse Internet (https://www.lhorizonafricain.com)</t>
  </si>
  <si>
    <t>Bonus media portant sur l'interpallation  d'un trafiquant d'un bébé chimpanzé le 28 octobre 2025 à Nkayi  pieces presse papier(les depêches de brazzaville, l'horizion africain, l'agence congolaise de l'information</t>
  </si>
  <si>
    <t>Bonus media portant sur l'interpallation  d'un trafiquant d'un bébé chimpanzé le 28 octobre 2025 à Nkayi  pieces presse papier(les depêches de brazzaville)</t>
  </si>
  <si>
    <t>Bonus media portant sur l'interpallation  d'un trafiquant d'un bébé chimpanzé le 28 octobre 2025 à Nkayi  pieces presse papier ( l'horizion africain)</t>
  </si>
  <si>
    <t>Bonus media portant sur l'interpellation  d'un trafiquant d'un bébé chimpanzé le 28 octobre 2025 à Nkayi presse Radio citoyenne des jeunes</t>
  </si>
  <si>
    <t>Bonus media portant sur l'interpellation  d'un trafiquant d'un bébé chimpanzé le 28 octobre 2025 à Nkayi presse Radio Liberté Kituba</t>
  </si>
  <si>
    <t>Bonus media portant sur l'interpellation  d'un trafiquant d'un bébé chimpanzé le 28 octobre 2025 à Nkayi presse Radio Liberté Français</t>
  </si>
  <si>
    <t>Bonus media portant sur l'interpellation  d'un trafiquant d'un bébé chimpanzé le 28 octobre 2025 à Nkayi presse Radio Liberté Lingala</t>
  </si>
  <si>
    <t>Taxi, Bureau PALF-firstmediac.com</t>
  </si>
  <si>
    <t>Taxi, firstmediac.com-Radio Liberté</t>
  </si>
  <si>
    <t>Taxi, Radio Liberté-panoramik-actu.com</t>
  </si>
  <si>
    <t>Taxi, panoramik-actu.com-L'Agence Congolaise d'Information</t>
  </si>
  <si>
    <t>Taxi, L'Agence Congolaise d'Information-lesechoscongobrazza.com</t>
  </si>
  <si>
    <t>Taxi, lesechoscongobrazza.com-tribune-eco.cg</t>
  </si>
  <si>
    <t>Taxi, tribune-eco.cg-Radio Citoyenne des Jeunes</t>
  </si>
  <si>
    <t>Taxi, groupecongomedias.com-matinlibre.cg</t>
  </si>
  <si>
    <t>Credit telephonique MTN PALF/du 10 au 16 Novembre 2025/ Evariste</t>
  </si>
  <si>
    <t>Credit telephonique MTN PALF/du 10  au 16 Novembre 2025/ Evariste</t>
  </si>
  <si>
    <t>Taxi, Bureau PALF-Radio Citoyenne des jeunes</t>
  </si>
  <si>
    <t>Taxi, Radio Citoyenne des Jeunes-tribune-eco.com</t>
  </si>
  <si>
    <t>Taxi, tribune-eco.com-Domicile</t>
  </si>
  <si>
    <t>Bonus media portant sur l'annonce audience du 20 novembre 2025 au TGI de Madingou  pièces presse Internet (https://www.panoramik-actu.com)</t>
  </si>
  <si>
    <t>Bonus media portant sur l'annonce audience du 20 novembre 2025 au TGI de Madingou  pièces presse Internet(https://www.tribune-eco.cg)</t>
  </si>
  <si>
    <t>Bonus media portant sur l'annonce audience du 20 novembre 2025 au TGI de Madingou  pièces presse Internet(https://www.groupecongomedias.com)</t>
  </si>
  <si>
    <t>Bonus media portant sur l'annonce audience du 20 novembre 2025 au TGI de Madingou  pièces presse Internet (https://www.labreveonline.com)</t>
  </si>
  <si>
    <t>Bonus media portant sur l'annonce audience du 20 novembre 2025 au TGI de Madingou  pièces presse Internet (https://www.adiac-congo.com)</t>
  </si>
  <si>
    <t>Bonus media portant sur l'annonce audience du 20 novembre 2025 au TGI de Madingou  pièces presse Internet (https://www.lasemaineafricaine.info)</t>
  </si>
  <si>
    <t>Bonus media portant sur l'annonce audience du 20 novembre 2025 au TGI de Madingou  pièces presse Internet (https://www.matinlibre.cg)</t>
  </si>
  <si>
    <t>Bonus media portant sur l'annonce audience du 20 novembre 2025 au TGI de Madingou  pièces presse Internet (https://www.firstmediac.com)</t>
  </si>
  <si>
    <t>Bonus media portant sur l'annonce audience du 20 novembre 2025 au TGI de Madingou  pièces presse Internet (https://www.journaldebrazza.com)</t>
  </si>
  <si>
    <t>Bonus media portant sur l'annonce audience du 20 novembre 2025 au TGI de Madingou  pièces presse Internet (https://vmmedias.info)</t>
  </si>
  <si>
    <t>Bonus media portant sur l'annonce audience du 20 novembre 2025 au TGI de Madingou  pièces presse Internet (https://aci.cg)</t>
  </si>
  <si>
    <t>Bonus media portant sur l'annonce audience du 20 novembre 2025 au TGI de Madingou  pièces presse Internet (https://lesechos-congobrazza.com/)</t>
  </si>
  <si>
    <t>Bonus media portant sur l'annonce audience du 20 novembre 2025 au TGI de Madingou  pièces presse Internet (https://opinionpublique.cg)</t>
  </si>
  <si>
    <t>Bonus media portant sur l'annonce audience du 20 novembre 2025 au TGI de Madingou  pièces presse Internet (https://www.lhorizonafricain.com)</t>
  </si>
  <si>
    <t>Bonus media portant sur l'annonce audience du 20 novembre 2025 au TGI de Madingou pieces presse papier(les depêches de brazzaville)</t>
  </si>
  <si>
    <t>Bonus media portant sur l'annonce audience du 20 novembre 2025 au TGI de Madingou pieces presse papier( l'horizion africain)</t>
  </si>
  <si>
    <t>Bonus media portant sur l'annonce audience du 20 novembre 2025 au TGI de Madingou pieces presse papier(l'agence congolaise de l'information)</t>
  </si>
  <si>
    <t>Bonus media portant sur l'annonce audience du 20 novembre 2025 au TGI de Madingou pieces presse papier(Opinion Publique,)</t>
  </si>
  <si>
    <t>Bonus media portant sur l'annonce audience du 20 novembre 2025 au TGI de Madingou pieces presse papier (La semaine Africaine)</t>
  </si>
  <si>
    <t>Bonus media portant sur l'annonce audience du 20 novembre 2025 au TGI de Madingou presse Radio citoyenne des jeunes</t>
  </si>
  <si>
    <t>Bonus media portant sur l'annonce audience du 20 novembre 2025 au TGI de Madingou presse Radio Liberté Kituba</t>
  </si>
  <si>
    <t>Bonus media portant sur l'annonce audience du 20 novembre 2025 au TGI de Madingou presse Radio Liberté Français</t>
  </si>
  <si>
    <t>Bonus media portant sur l'annonce audience du 20 novembre 2025 au TGI de Madingou presse Radio Liberté Lingala</t>
  </si>
  <si>
    <t>Taxi, Bureau PALF-Agence Congolaise d'Information</t>
  </si>
  <si>
    <t>Taxi, Agence Congolaise d'Information-Horizon Africain</t>
  </si>
  <si>
    <t>Taxi, Horizon Africain-Les Dépêches de Brazzaville</t>
  </si>
  <si>
    <t>Taxi, matinlibre.cg-lesechoscongobrazza.com</t>
  </si>
  <si>
    <t>Taxi, lesechoscongobrazza.com-panoramik-actu.com</t>
  </si>
  <si>
    <t>Taxi, panoramik-actu.com-Radio Liberté</t>
  </si>
  <si>
    <t>Credit telephonique MTN PALF/du 17 au 23 Novembre 2025/ Evariste</t>
  </si>
  <si>
    <t>Credit telephonique MTN PALF/du 17  au 23 Novembre 2025/ Evariste</t>
  </si>
  <si>
    <t>Taxi, groupecongomedias.com-opion publique</t>
  </si>
  <si>
    <t>Taxi, opinion publique-labreveoneline.com</t>
  </si>
  <si>
    <t>Taxi, labreveoneline.com-Bureau PALF</t>
  </si>
  <si>
    <t>Taxi, Sainte Marie de Ouenzé-Bureau PALF</t>
  </si>
  <si>
    <t>Taxi, Bureau PALF-Domicile  (la soirée du prix EAGLE)</t>
  </si>
  <si>
    <t>Bonus media portant sur la condamnation d'un trafiquant d'un bébé chimpanzé le 20 novembre 2025 à Madingou pieces presse papier(La semain Africaine)</t>
  </si>
  <si>
    <t>Bonus media portant sur la condamnation d'un trafiquant d'un bébé chimpanzé le 20 novembre 2025 à Madingou pieces presse papier( Opinion Publique)</t>
  </si>
  <si>
    <t>Bonus media portant sur la condamnation d'un trafiquant d'un bébé chimpanzé le 20 novembre 2025 à Madingou pieces presse papier( l'agence congolaise de l'information)</t>
  </si>
  <si>
    <t>Bonus media portant sur la condamnation d'un trafiquant d'un bébé chimpanzé le 20 novembre 2025 à Madingou pieces presse papier(les depêches de brazzaville)</t>
  </si>
  <si>
    <t>Bonus media portant sur la condamnation d'un trafiquant d'un bébé chimpanzé le 20 novembre 2025 à Madingou pieces presse papier( l'horizion africain)</t>
  </si>
  <si>
    <t>Bonus media portant sur la condamnation  du trafiquant d'un bébé chimpanzé le 20 novembre 2025 à Madingou   pièces presse Internet (https://www.panoramik-actu.com)</t>
  </si>
  <si>
    <t>Bonus media portant sur la condamnation  du trafiquant d'un bébé chimpanzé le 20 novembre 2025 à Madingou   pièces presse Internet(https://www.tribune-eco.cg)</t>
  </si>
  <si>
    <t>Bonus media portant sur la condamnation  du trafiquant d'un bébé chimpanzé le 20 novembre 2025 à Madingou   pièces presse Internet(https://www.groupecongomedias.com)</t>
  </si>
  <si>
    <t>Bonus media portant sur la condamnation  du trafiquant d'un bébé chimpanzé le 20 novembre 2025 à Madingou   pièces presse Internet (https://www.labreveonline.com)</t>
  </si>
  <si>
    <t>Bonus media portant sur la condamnation  du trafiquant d'un bébé chimpanzé le 20 novembre 2025 à Madingou  pièces presse Internet (https://www.adiac-congo.com)</t>
  </si>
  <si>
    <t>Bonus media portant sur la condamnation  du trafiquant d'un bébé chimpanzé le 20 novembre 2025 à Madingou   pièces presse Internet (https://www.lasemaineafricaine.info)</t>
  </si>
  <si>
    <t>Bonus media portant sur la condamnation  du trafiquant d'un bébé chimpanzé le 20 novembre 2025 à Madingou   pièces presse Internet (https://www.matinlibre.cg)</t>
  </si>
  <si>
    <t>Bonus media portant sur la condamnation  du trafiquant d'un bébé chimpanzé le 20 novembre 2025 à Madingou   pièces presse Internet (https://www.Opinionpublique.cg)</t>
  </si>
  <si>
    <t>Bonus media portant sur la condamnation  du trafiquant d'un bébé chimpanzé le 20 novembre 2025 à Madingou   pièces presse Internet (https://wwwlesechos-congobrazza.com/)</t>
  </si>
  <si>
    <t>Bonus media portant sur la condamnation  du trafiquant d'un bébé chimpanzé le 20 novembre 2025 à Madingou   pièces presse Internet (https://vmmedias.info)</t>
  </si>
  <si>
    <t>Bonus media portant sur la condamnation  du trafiquant d'un bébé chimpanzé le 20 novembre 2025 à Madingou   pièces presse Internet (https://aci.cg)</t>
  </si>
  <si>
    <t>Bonus media portant sur la condamnation  du trafiquant d'un bébé chimpanzé le 20 novembre 2025 à Madingou   pièces presse Internet (https://www.lhorizonafricain.com)</t>
  </si>
  <si>
    <t>Taxi, matinlibre.cg-labreoneline.cg</t>
  </si>
  <si>
    <t>Taxi, Bureau PALF-Restaurant Mamaty</t>
  </si>
  <si>
    <t>Rafraichissement des candidats enquêteurs lors de l'entretion</t>
  </si>
  <si>
    <t xml:space="preserve">Taxi, Restaurant Mamaty-Bureau PALF </t>
  </si>
  <si>
    <t>Taxi, Horizon Africain-opinion publique</t>
  </si>
  <si>
    <t>Taxi, opinion publique-Bureau PALF</t>
  </si>
  <si>
    <t>EV-N-D1</t>
  </si>
  <si>
    <t>EV-N-R1</t>
  </si>
  <si>
    <t>EV-N-V1</t>
  </si>
  <si>
    <t>CA-N-D1</t>
  </si>
  <si>
    <t>CA-N-D2</t>
  </si>
  <si>
    <t>CA-N-D3</t>
  </si>
  <si>
    <t>CA-N-D4</t>
  </si>
  <si>
    <t>EV-N-R2</t>
  </si>
  <si>
    <t>CA-N-D8</t>
  </si>
  <si>
    <t>CA-N-D9</t>
  </si>
  <si>
    <t>CA-N-D10</t>
  </si>
  <si>
    <t>EV-N-R3</t>
  </si>
  <si>
    <t>EV-N-V2</t>
  </si>
  <si>
    <t>CA-N-D11</t>
  </si>
  <si>
    <t>CA-N-D12</t>
  </si>
  <si>
    <t>EV-N-V3</t>
  </si>
  <si>
    <t>EV-N-R4</t>
  </si>
  <si>
    <t>ROMAIN-CONGO: Frais d'hotel du 28/10/2025 au 03/11/2025 à Impfondo(06 nuitées)</t>
  </si>
  <si>
    <t>Taxi moto: Hotel Mithé-Agence Océan du Nord d'Impfondo</t>
  </si>
  <si>
    <t>Credit telephonique MTN PALF/du 03 au 09 novembre 2025/Romain</t>
  </si>
  <si>
    <t>ROMAIN-ROMAIN CONGO Frais d'Hotel à Enyelé du 03 au 04/11/2025 (01 nuitée)</t>
  </si>
  <si>
    <t>Taxi moto: Hotel Paulina- Agence Océan du Nord d'Enyelé</t>
  </si>
  <si>
    <t>Taxi moto: Agence Océan du Nord d'Oyo-Hotel Saint Benoit</t>
  </si>
  <si>
    <t>ROMAIN-CONGO: Frais d'hotel du 04 au 05/11/2025 à Oyo (01 nuitée)</t>
  </si>
  <si>
    <t>Taxi moto:  Hotel saint Benoit- Agence Océan du Nord d'Oyo</t>
  </si>
  <si>
    <t>Taxi : Agence Océan du Nord de Talangai-Domicile</t>
  </si>
  <si>
    <t>Taxi: Bureau-Cabinet de maitre BANZOUZI pour retirer le rapport de mission</t>
  </si>
  <si>
    <t>Taxi: Cabinet de maitre BANZOUZI-Domicile</t>
  </si>
  <si>
    <t xml:space="preserve">Taxi: Bureau-DGEF(pour le retrait du contrat de l'avocat) </t>
  </si>
  <si>
    <t>Taxi:Bureau-Cabinet de maitre BANZOUZI pour la signaure du contrat</t>
  </si>
  <si>
    <t>Frais de transport mission Maitre Helene à Owando du 11 au 13/11/2025</t>
  </si>
  <si>
    <t>Ration et frais d'hotel mission maitre Helène à Owando du 11 au 13/11/2025</t>
  </si>
  <si>
    <t>Taxi: Bureau-DGEF: pour deposer le contrat à la signaure</t>
  </si>
  <si>
    <t>Taxi: Agence Trans bony de la Frontière-Bureau</t>
  </si>
  <si>
    <t>Taxi: Bureau-Rond point MAZALA(pour aller rencontrer maitre Hélène)</t>
  </si>
  <si>
    <t>Taxi: Rond point MAZALA- Bureau</t>
  </si>
  <si>
    <t>Credit telephonique MTN PALF/du 10 au 16 novembre 2025/Romain</t>
  </si>
  <si>
    <t>Réglement facture électricité periode Septembre-Octobre 2025/bureau PALF</t>
  </si>
  <si>
    <t>Taxi: Burea-DGEF pour aller deposer le contrat d'avocat à la signature</t>
  </si>
  <si>
    <t>Taxi: Bureau-Agence Energie Eléctrique du Congo pour payer la facture</t>
  </si>
  <si>
    <t>Taxi: Agence Energie Electrique du Congo-Bureau</t>
  </si>
  <si>
    <t>Taxi: Bureau-Cabinet de maitre BANZOUZI pour la signautre du contrat</t>
  </si>
  <si>
    <t>Taxi: Canibet de maitre BANZOUZI-Bureau</t>
  </si>
  <si>
    <t>Taxi: Bureau-Marché Moungali pour la réparation de l'imprimante</t>
  </si>
  <si>
    <t>Taxi: Marché Moungali-Bureau</t>
  </si>
  <si>
    <t>Réçu Casse/Jean Romain</t>
  </si>
  <si>
    <t>Taxi: Rond point MAZALA- DGEF</t>
  </si>
  <si>
    <t>Credit telephonique MTN PALF/du 17 au 23 novembre 2025/Romain</t>
  </si>
  <si>
    <t>Frais de transport mission Maitre Helene à Madingou du 19 au 21/11/2025</t>
  </si>
  <si>
    <t>Ration et frais d'hotel mission maitre Helène à Madingou du 19 au 21/11/2025</t>
  </si>
  <si>
    <t>Achat Billet Brazzaville-Madingou/ Romain</t>
  </si>
  <si>
    <t>Taxi: Bureau-Mfilou(pour la remise du budget à maitre hélène)</t>
  </si>
  <si>
    <t>Taxi: Mfilou-Bureau</t>
  </si>
  <si>
    <t xml:space="preserve"> Taxi: Domicile-Agence Trans Bony de la Frontère</t>
  </si>
  <si>
    <t>Taxi moto: Agence Trans Bony de Madingou-Hôtel Dzongo Benoit</t>
  </si>
  <si>
    <t>ROMAIN-CONGO: Ration du 19 au 21/11/2025 à Madingou</t>
  </si>
  <si>
    <t>Taxi moto: Hotel DZONGO-Marché(pour acheter la ration du prevenu)</t>
  </si>
  <si>
    <t>jail visit</t>
  </si>
  <si>
    <t>Taxi moto: Marché-Commissariat de Police de Madingou</t>
  </si>
  <si>
    <t>Taxi moto: Commissariat de Police-Hotel Dzongo</t>
  </si>
  <si>
    <t>Taxi moto:  Hotel Dzongo-Marché(pour acheter la ration du Prévenu)</t>
  </si>
  <si>
    <t>Achat de la ration du prévenu(NTONDELE MOUKOKO Flgence)</t>
  </si>
  <si>
    <t>Taxi moto: Marché-Commissariat de Police</t>
  </si>
  <si>
    <t>Taxi moto: Commissariat de Police-Tribunal de Grande Instance</t>
  </si>
  <si>
    <t>Achat du Billet: Madingou-Brazzaville/ Romain</t>
  </si>
  <si>
    <t>Taxi moto: marché-Commissariat de Police</t>
  </si>
  <si>
    <t>ROMAIN-CONGO: Frais d'Hotel du 19 au 21/11/2025 à Madingou(02 nuitées)</t>
  </si>
  <si>
    <t>Taxi moto: Hotel Dzongo-Agence Trans Bony de Madingou</t>
  </si>
  <si>
    <t>Taxi: Agence Trans Bony de Bifouiti-Domicile</t>
  </si>
  <si>
    <t>Taxi: Bureau-TGI de Brazzaille(pour rencontrer maitre Hélène)</t>
  </si>
  <si>
    <t>Taxi: TGI de Brazzaville-Bureau</t>
  </si>
  <si>
    <t>RM-N-R1</t>
  </si>
  <si>
    <t>RM-N-D1</t>
  </si>
  <si>
    <t>RM-N-R2</t>
  </si>
  <si>
    <t>RM-N-R3</t>
  </si>
  <si>
    <t>RM-N-R4</t>
  </si>
  <si>
    <t>CA-N-R8</t>
  </si>
  <si>
    <t>CA-N-R9</t>
  </si>
  <si>
    <t>RM-N-R5</t>
  </si>
  <si>
    <t>CA-N-R10</t>
  </si>
  <si>
    <t>RM-N-V1</t>
  </si>
  <si>
    <t>RM-N-R6</t>
  </si>
  <si>
    <t>CA-N-R13</t>
  </si>
  <si>
    <t>CA-N-R15</t>
  </si>
  <si>
    <t>CA-N-R16</t>
  </si>
  <si>
    <t>RM-N-V2</t>
  </si>
  <si>
    <t>RM-N-R7</t>
  </si>
  <si>
    <t>RM-N-D2</t>
  </si>
  <si>
    <t>RM-N-D3</t>
  </si>
  <si>
    <t>RM-N-R8</t>
  </si>
  <si>
    <t>RM-N-R9</t>
  </si>
  <si>
    <t>Retrait espèces/3655345</t>
  </si>
  <si>
    <t xml:space="preserve">Achat credit  teléphonique MTN/PALF/du 03 au 09/11/2025 </t>
  </si>
  <si>
    <t xml:space="preserve">Achat credit  teléphonique MTN/PALF/Du 10 au 16/11/2025 </t>
  </si>
  <si>
    <t>Retrait espèces/3655349</t>
  </si>
  <si>
    <t xml:space="preserve">Achat credit  teléphonique MTN/PALF/Du 17 au 23/11/2025 </t>
  </si>
  <si>
    <t>Retrait espèces/3655351</t>
  </si>
  <si>
    <t>Retrait espèces/3655354</t>
  </si>
  <si>
    <t>CA-N-V2</t>
  </si>
  <si>
    <t>CA-N-V3</t>
  </si>
  <si>
    <t>CA-N-V4</t>
  </si>
  <si>
    <t>Phone Credit</t>
  </si>
  <si>
    <t>CA-N-V5</t>
  </si>
  <si>
    <t>CA-N-V6</t>
  </si>
  <si>
    <t>CA-N-V7</t>
  </si>
  <si>
    <t>CA-N-V8</t>
  </si>
  <si>
    <t>CA-N-V9</t>
  </si>
  <si>
    <t>CA-N-V10</t>
  </si>
  <si>
    <t>CA-N-V11</t>
  </si>
  <si>
    <t>CA-N-V12</t>
  </si>
  <si>
    <t>CA-N-V13</t>
  </si>
  <si>
    <t>CA-N-V14</t>
  </si>
  <si>
    <t>CA-N-V15</t>
  </si>
  <si>
    <t>CA-N-V16</t>
  </si>
  <si>
    <t>CA-N-V17</t>
  </si>
  <si>
    <t>CA-N-V18</t>
  </si>
  <si>
    <t>CA-N-V19</t>
  </si>
  <si>
    <t>CA-N-V20</t>
  </si>
  <si>
    <t>CA-N-V21</t>
  </si>
  <si>
    <t>CA-N-V22</t>
  </si>
  <si>
    <t>CA-N-V23</t>
  </si>
  <si>
    <t>CA-N-V24</t>
  </si>
  <si>
    <t>CA-N-V25</t>
  </si>
  <si>
    <t>CA-N-V26</t>
  </si>
  <si>
    <t>CA-N-V27</t>
  </si>
  <si>
    <t>CA-N-V28</t>
  </si>
  <si>
    <t>CA-N-V29</t>
  </si>
  <si>
    <t>CA-N-V30</t>
  </si>
  <si>
    <t>CA-N-V31</t>
  </si>
  <si>
    <t>CA-N-V32</t>
  </si>
  <si>
    <t>CA-N-V33</t>
  </si>
  <si>
    <t>CA-N-V34</t>
  </si>
  <si>
    <t>CA-N-V35</t>
  </si>
  <si>
    <t>CA-N-V36</t>
  </si>
  <si>
    <t>CA-N-V37</t>
  </si>
  <si>
    <t>CA-N-V38</t>
  </si>
  <si>
    <t>CA-N-V39</t>
  </si>
  <si>
    <t>CA-N-V40</t>
  </si>
  <si>
    <t>CA-N-V41</t>
  </si>
  <si>
    <t>CA-N-V42</t>
  </si>
  <si>
    <t>CA-N-V43</t>
  </si>
  <si>
    <t>CA-N-V44</t>
  </si>
  <si>
    <t>CA-N-V45</t>
  </si>
  <si>
    <t>Reglement Facture Gardiennage Mois d'octobre 2025/3655347</t>
  </si>
  <si>
    <t>Paiement Honoraire Me LOCKO/Mois d'octobre  2025/3655348</t>
  </si>
  <si>
    <t>Acompte honoraire contrat N 87_Madingou casNTONDELE Fulgence Claver/Maitre Marie Hélène NANITELAMIO MALONGA/ 3655350</t>
  </si>
  <si>
    <t>Solde honoraire contrat N 87_Madingou casNTONDELE Fulgence Claver/Maitre Marie Hélène NANITELAMIO MALONGA/ 3655352</t>
  </si>
  <si>
    <t>Reglement loyer du mois de Novembre 2025/3655356</t>
  </si>
  <si>
    <t>BQ-N-V2</t>
  </si>
  <si>
    <t>BQ-N-R1</t>
  </si>
  <si>
    <t>BQ-N-R2</t>
  </si>
  <si>
    <t>BQ-N-R3</t>
  </si>
  <si>
    <t>BQ-N-R4</t>
  </si>
  <si>
    <t>BQ-N-V3</t>
  </si>
  <si>
    <t>BQ-N-V4</t>
  </si>
  <si>
    <t>BQ-N-R5</t>
  </si>
  <si>
    <t>BQ-N-R6</t>
  </si>
  <si>
    <t>BQ-N-V5</t>
  </si>
  <si>
    <t>OUI</t>
  </si>
  <si>
    <t>01/11/2025 of the month Balance and advance</t>
  </si>
  <si>
    <t>30/11/2025 of the month  Balance and advance</t>
  </si>
  <si>
    <t>FINANCIAL POSITION AT 01/11/2025</t>
  </si>
  <si>
    <t>FINANCIAL POSITION AT 30/11/2025</t>
  </si>
  <si>
    <t>Solde  au 01/11/2025</t>
  </si>
  <si>
    <t>Report de solde du 01/11/2025</t>
  </si>
  <si>
    <t>Report au 01/11/2025</t>
  </si>
  <si>
    <t>Novembre</t>
  </si>
  <si>
    <t xml:space="preserve"> Ration du prevenu NTONDELE Fulgence au commissariat de police de Madingou/soir</t>
  </si>
  <si>
    <t xml:space="preserve"> Ration du prevenu NTONDELE Fulgence au commissariat de police de Madingou/matin</t>
  </si>
  <si>
    <t xml:space="preserve"> Ration du prevenu NTONDELE Fulgence au commissariat de police de Madingou/Soir</t>
  </si>
  <si>
    <t>nov</t>
  </si>
  <si>
    <t>Taxi moto Maison Hôtel Mithé- marché</t>
  </si>
  <si>
    <t>Crépin-CONGO Ration du 03 au 07/11/2025 à Madingou</t>
  </si>
  <si>
    <t>Crépin-CONGO Frais d'hôtel  du 28/10/ au 07/11/2025 à Madingou (10 Nuitées)</t>
  </si>
  <si>
    <t>Crépin- CONGO Frais d'hôtel   du 28/10/ au 07/11/2025 à Madingou (10 Nuitées)</t>
  </si>
  <si>
    <t>Achat billet Madingou-Brazzaville /Roderlin</t>
  </si>
  <si>
    <r>
      <t xml:space="preserve">Frais de </t>
    </r>
    <r>
      <rPr>
        <sz val="12"/>
        <rFont val="Arial"/>
        <family val="2"/>
      </rPr>
      <t xml:space="preserve">transfert </t>
    </r>
    <r>
      <rPr>
        <sz val="12"/>
        <color theme="1"/>
        <rFont val="Arial"/>
        <family val="2"/>
      </rPr>
      <t>d'argent  a G12, et T73 par momo</t>
    </r>
  </si>
  <si>
    <t>Frais de transfert d'argent  à P29, et IT87 par momo</t>
  </si>
  <si>
    <t>Frais de transfert d'argent  à Donald-Roméo  par momo</t>
  </si>
  <si>
    <r>
      <t>Balance as per the</t>
    </r>
    <r>
      <rPr>
        <b/>
        <sz val="12"/>
        <color rgb="FFFF0000"/>
        <rFont val="Aptos Narrow"/>
        <family val="2"/>
        <scheme val="minor"/>
      </rPr>
      <t xml:space="preserve"> accounting</t>
    </r>
  </si>
  <si>
    <t>Credit telephonique MTN PALF/du 03 au 09 novembre 2025/Investigation/IT87</t>
  </si>
  <si>
    <t>Credit telephonique MTN PALF/du  03 au 09 novembre 2025/Investigation/G12</t>
  </si>
  <si>
    <t>Credit telephonique MTN PALF/du 10 au 16 novembre 2025/Investigation/IT87</t>
  </si>
  <si>
    <t>Credit telephonique MTN PALF/du  10 au 16 novembre 2025/Investigation/G12</t>
  </si>
  <si>
    <t>Achat billet / P29</t>
  </si>
  <si>
    <t>Achat billet : /T73</t>
  </si>
  <si>
    <t>Achat billet  /G12</t>
  </si>
  <si>
    <t xml:space="preserve">P29 - CONGO Ration </t>
  </si>
  <si>
    <t xml:space="preserve">T73 -CONGO -Ration </t>
  </si>
  <si>
    <t xml:space="preserve">IT87-CONGO Ration </t>
  </si>
  <si>
    <t>Achat billet / IT87</t>
  </si>
  <si>
    <t xml:space="preserve">G12-CONGO Ration </t>
  </si>
  <si>
    <t xml:space="preserve">G12-CONGO Frais d'hotel </t>
  </si>
  <si>
    <t>Achat billet /G12</t>
  </si>
  <si>
    <t>T73 - CONGO Frais d'hotel</t>
  </si>
  <si>
    <t xml:space="preserve">T73 - CONGO Frais d'hotel </t>
  </si>
  <si>
    <t>Achat billet :/T73</t>
  </si>
  <si>
    <t>Achat billet: /T73</t>
  </si>
  <si>
    <t>Achat billet / G12</t>
  </si>
  <si>
    <t>Achat billet /P29</t>
  </si>
  <si>
    <t xml:space="preserve">P29 -CONGO Frais d'hotel </t>
  </si>
  <si>
    <t xml:space="preserve">IT87-CONGO Frais d'hôtel </t>
  </si>
  <si>
    <t xml:space="preserve">P29 - CONGO Ration  </t>
  </si>
  <si>
    <t xml:space="preserve">IT87-CONGO Frais d'hôtel  </t>
  </si>
  <si>
    <t xml:space="preserve">Taxi : Domicile - Agence </t>
  </si>
  <si>
    <t>P29 -CONGO Frais d'hotel d</t>
  </si>
  <si>
    <t xml:space="preserve">achat boisson </t>
  </si>
  <si>
    <t>Achat boissons</t>
  </si>
  <si>
    <t>Achat boisson/</t>
  </si>
  <si>
    <t>Credit telephonique MTN PALF/du 17 au 23 novembre 2025/Investigation/IT87</t>
  </si>
  <si>
    <t xml:space="preserve">Achat Boissons </t>
  </si>
  <si>
    <t>Achat boissons et Repas</t>
  </si>
  <si>
    <t>Credit telephonique MTN PALF/du  17 au 23 novembre 2025/Investigation/G12</t>
  </si>
  <si>
    <t>Achat billet/G12</t>
  </si>
  <si>
    <t xml:space="preserve">Achat billet </t>
  </si>
  <si>
    <t>achat billet: /T73</t>
  </si>
  <si>
    <t xml:space="preserve">T73 - CONGO Food Allowance </t>
  </si>
  <si>
    <t>Achat billet/P29</t>
  </si>
  <si>
    <t>P29 - CONGO Foodallowance</t>
  </si>
  <si>
    <t xml:space="preserve">P29 - CONGO Frais d'hotel </t>
  </si>
  <si>
    <t xml:space="preserve">Location véhicule </t>
  </si>
  <si>
    <t xml:space="preserve">T73- CONGO Frais d'hotel </t>
  </si>
  <si>
    <t xml:space="preserve">P29 - Frais d'hotel </t>
  </si>
  <si>
    <t>P29 - Frais d'hotel</t>
  </si>
  <si>
    <t>P29 - CONGO Frais d'hotel</t>
  </si>
  <si>
    <t>achat billet :  /T73</t>
  </si>
  <si>
    <t>achat billet : /T73</t>
  </si>
  <si>
    <t xml:space="preserve">IT87 - CONGO Food Allowance </t>
  </si>
  <si>
    <t xml:space="preserve">P29 - CONGO Foodallowance </t>
  </si>
  <si>
    <t>Achat billet:  / G12</t>
  </si>
  <si>
    <t xml:space="preserve">G12 - CONGO Food Allowance </t>
  </si>
  <si>
    <t>Taxi : Achat billet</t>
  </si>
  <si>
    <t xml:space="preserve"> G12 - CONGO frais d'hotel </t>
  </si>
  <si>
    <t>Achat billet : /G12</t>
  </si>
  <si>
    <t xml:space="preserve">IT87 - CONGO Frais d'hôtel </t>
  </si>
  <si>
    <t>achat billet :/T73</t>
  </si>
  <si>
    <t xml:space="preserve">G12 congo frais d'hotel </t>
  </si>
  <si>
    <t>Achat billet :/G12</t>
  </si>
  <si>
    <t>Achat billet/ IT87</t>
  </si>
  <si>
    <t xml:space="preserve">G12 - CONGO frais d'hotel </t>
  </si>
  <si>
    <t>Achat du billet /G12</t>
  </si>
  <si>
    <t>Achat  billet : /T73</t>
  </si>
  <si>
    <t xml:space="preserve">G12-CONGO frais d'hotel </t>
  </si>
  <si>
    <t>Achat billet : / T73</t>
  </si>
  <si>
    <t>IT87 - CONGO Ration</t>
  </si>
  <si>
    <t xml:space="preserve">T73 - CONGO Ration </t>
  </si>
  <si>
    <t xml:space="preserve">G12 - CONGO  Ration </t>
  </si>
  <si>
    <t>Achat billet:/G12</t>
  </si>
  <si>
    <t xml:space="preserve">IT87 - CONGOFrais d'hôtel </t>
  </si>
  <si>
    <t xml:space="preserve">G12 Congo frais d'hotel </t>
  </si>
  <si>
    <t>Achat billet  / G12</t>
  </si>
  <si>
    <t xml:space="preserve">G12-CONGO  frais d'hotel </t>
  </si>
  <si>
    <t xml:space="preserve">IT87 - CONGO Ration </t>
  </si>
  <si>
    <t xml:space="preserve">G12 CONGO frais d'hotel </t>
  </si>
  <si>
    <t xml:space="preserve">P29 - CONGO Frais hotel </t>
  </si>
  <si>
    <t xml:space="preserve">IT87 - CONGO Ration  </t>
  </si>
  <si>
    <t>IT87 - CONGO Frais d'hôtel</t>
  </si>
  <si>
    <t xml:space="preserve">G12 - GONGO Ration </t>
  </si>
  <si>
    <t>P29- CONGO Ration</t>
  </si>
  <si>
    <t>T73 - CONGO Ration</t>
  </si>
  <si>
    <t xml:space="preserve">IT87- CONGO Frais d'hôtel </t>
  </si>
  <si>
    <t xml:space="preserve">IT87- CONGO Frais d'hôtel  </t>
  </si>
  <si>
    <t>P29 -CONGO Frais d'hotel</t>
  </si>
  <si>
    <t xml:space="preserve">T73 - CONGO Rattion  </t>
  </si>
  <si>
    <t>achat billet  /T73</t>
  </si>
  <si>
    <t>Location vehicule /P29</t>
  </si>
  <si>
    <t>Location véhicule/P29</t>
  </si>
  <si>
    <t>G12 - CONGO Frais d'hotel</t>
  </si>
  <si>
    <t>achat billet /T73</t>
  </si>
  <si>
    <t xml:space="preserve">G12 - CONGO Frais d'hotel </t>
  </si>
  <si>
    <t xml:space="preserve">IT87 - CONGO Frais d'hôtel  </t>
  </si>
  <si>
    <t>achat billet/T73 :/T73</t>
  </si>
  <si>
    <t>Achat billet /T73</t>
  </si>
  <si>
    <t xml:space="preserve">T73-CONGO Ration </t>
  </si>
  <si>
    <t>Achat billet  /T73</t>
  </si>
  <si>
    <t>Achat billet   /T73</t>
  </si>
  <si>
    <t>G12-CONGO Frais d'hotel</t>
  </si>
  <si>
    <t xml:space="preserve">G12-CONGO Rations </t>
  </si>
  <si>
    <t>Achat billet/T73</t>
  </si>
  <si>
    <t xml:space="preserve">G12-CONGO Frais d'hôtel </t>
  </si>
  <si>
    <t>Achat billet  / T73</t>
  </si>
  <si>
    <t>Achat bilet /G12</t>
  </si>
  <si>
    <t>P29 - CONGO Ration</t>
  </si>
  <si>
    <t>IT87-CONGO Ration</t>
  </si>
  <si>
    <t>IT87-CONGO Frais d'hôtel</t>
  </si>
  <si>
    <t>achat billet /G12</t>
  </si>
  <si>
    <t>Taxi bureau-moungali</t>
  </si>
  <si>
    <t>Taxi moungali-mapassi</t>
  </si>
  <si>
    <t>Taxi mapassi-la fleur</t>
  </si>
  <si>
    <t xml:space="preserve">Taxi : centre ville - moungali </t>
  </si>
  <si>
    <t xml:space="preserve">taxi : moungali - domicile </t>
  </si>
  <si>
    <t>Taxi : Bureau - Diata</t>
  </si>
  <si>
    <t>Taxi : Diata - Bifouiti/</t>
  </si>
  <si>
    <t>Taxi : Bifouiti - Domicile</t>
  </si>
  <si>
    <t>Taxi: Bureau- mikalou</t>
  </si>
  <si>
    <t xml:space="preserve">Taxi : bureau - zone campus </t>
  </si>
  <si>
    <t xml:space="preserve">Taxi : zone campus - quartier Mfoa </t>
  </si>
  <si>
    <t xml:space="preserve">Taxi : quartier Mfoa - poto poto </t>
  </si>
  <si>
    <t>Taxi : poto poto - domicile</t>
  </si>
  <si>
    <t>Taxi : Bureau - Marché Diata</t>
  </si>
  <si>
    <t>Taxi : Marché Diata - Av de la paix</t>
  </si>
  <si>
    <t>Taxi : Av de la paix - Domicile</t>
  </si>
  <si>
    <t xml:space="preserve">Taxi : Bureau - marché bifouiti </t>
  </si>
  <si>
    <t>Taxi: marché bifouiti- marché</t>
  </si>
  <si>
    <t xml:space="preserve">Taxi: marché - quartier </t>
  </si>
  <si>
    <t>Taxi: Quartier - domicile</t>
  </si>
  <si>
    <t>Taxi domicile-bouro</t>
  </si>
  <si>
    <t>Taxi bouro-sai sai</t>
  </si>
  <si>
    <t xml:space="preserve">Achat boisson </t>
  </si>
  <si>
    <t>Taxi : domicile - texaco</t>
  </si>
  <si>
    <t>Taxi : texaco - zone de la frontière</t>
  </si>
  <si>
    <t>Taxi : zone de la frontière - bureau</t>
  </si>
  <si>
    <t>Taxi : bureau - agence océan talangai</t>
  </si>
  <si>
    <t>Taxi : agence océan talangai - bureau</t>
  </si>
  <si>
    <t>Taxi : Domicile - Mfilou</t>
  </si>
  <si>
    <t>Taxi : Gotié - Mairie</t>
  </si>
  <si>
    <t>Taxi : Mairie - Frontière</t>
  </si>
  <si>
    <t xml:space="preserve">Taxi : </t>
  </si>
  <si>
    <t>Taxi : brazzaville</t>
  </si>
  <si>
    <t>Taxi : Nganga</t>
  </si>
  <si>
    <t>Taxi: Total</t>
  </si>
  <si>
    <t xml:space="preserve">Taxi </t>
  </si>
  <si>
    <t>Taxi agence</t>
  </si>
  <si>
    <t>T73-CONGO Ration</t>
  </si>
  <si>
    <t>Taxi : domicille</t>
  </si>
  <si>
    <t xml:space="preserve">Taxi : Agence </t>
  </si>
  <si>
    <t>Taxi hotel</t>
  </si>
  <si>
    <t>Taxi tricycle</t>
  </si>
  <si>
    <t xml:space="preserve">Taxi : hotel </t>
  </si>
  <si>
    <t xml:space="preserve">Taxi moto : </t>
  </si>
  <si>
    <t>Taxi tricycle hotel</t>
  </si>
  <si>
    <t>Taxi moto : hotel</t>
  </si>
  <si>
    <t>Taxi moto : agence</t>
  </si>
  <si>
    <t>Taxi moto hotel</t>
  </si>
  <si>
    <t>Taxi moto mougougui-</t>
  </si>
  <si>
    <t xml:space="preserve">Taxi tricycle </t>
  </si>
  <si>
    <t>Taxi moto</t>
  </si>
  <si>
    <t>Taxi moto :</t>
  </si>
  <si>
    <t>Taxi : Bureau -</t>
  </si>
  <si>
    <t>Taxi : Agence</t>
  </si>
  <si>
    <t>G12-CONGO Achat</t>
  </si>
  <si>
    <t xml:space="preserve">Taxi moto </t>
  </si>
  <si>
    <t>Taxi : Agence  - Parking</t>
  </si>
  <si>
    <t>Taxi : Parking - Hôtel</t>
  </si>
  <si>
    <t>Taxi: Domicile-</t>
  </si>
  <si>
    <t xml:space="preserve">Taxi: Agence </t>
  </si>
  <si>
    <t>Taxi tricycle hote</t>
  </si>
  <si>
    <t xml:space="preserve">Taxi moto : hotel </t>
  </si>
  <si>
    <t xml:space="preserve">Taxi: </t>
  </si>
  <si>
    <t xml:space="preserve">Taxi : F </t>
  </si>
  <si>
    <t xml:space="preserve"> Taxi:</t>
  </si>
  <si>
    <t>Taxi moto : P</t>
  </si>
  <si>
    <t xml:space="preserve">Taxi:Hotel - </t>
  </si>
  <si>
    <t>Taxi:</t>
  </si>
  <si>
    <t xml:space="preserve">Taxi moto hotel </t>
  </si>
  <si>
    <t>Achat s</t>
  </si>
  <si>
    <t xml:space="preserve">G12- CONGO Achat billet </t>
  </si>
  <si>
    <t xml:space="preserve">Taxi : gare </t>
  </si>
  <si>
    <t>Taxi :</t>
  </si>
  <si>
    <t xml:space="preserve">G12-CONGO Achat billet </t>
  </si>
  <si>
    <t xml:space="preserve">Taxi:Gare </t>
  </si>
  <si>
    <t xml:space="preserve">Taxi:Zone </t>
  </si>
  <si>
    <t>G12-CONGO Achat billet</t>
  </si>
  <si>
    <t xml:space="preserve">Taxi: Gare </t>
  </si>
  <si>
    <t>CONGO frais d'hôtel</t>
  </si>
  <si>
    <t>Taxi : Hotel</t>
  </si>
  <si>
    <t xml:space="preserve">Taxi: Agence -      </t>
  </si>
  <si>
    <t>Location véhicule /P29</t>
  </si>
  <si>
    <t>Taxi hotel-</t>
  </si>
  <si>
    <t>P29 -CONGO Frais d'hotel )</t>
  </si>
  <si>
    <t>Taxi moto : h</t>
  </si>
  <si>
    <t xml:space="preserve">Taxi: Domicile </t>
  </si>
  <si>
    <t xml:space="preserve">Taxi:5 </t>
  </si>
  <si>
    <t>Taxi: Matour:</t>
  </si>
  <si>
    <t>Taxi a</t>
  </si>
  <si>
    <t>Taxi bureau</t>
  </si>
  <si>
    <t>Taxi Agence</t>
  </si>
  <si>
    <t xml:space="preserve">T73 CONGO Ration </t>
  </si>
  <si>
    <t>Taxi : Domicile</t>
  </si>
  <si>
    <t>Taxi tricycle :</t>
  </si>
  <si>
    <t>Achat boison</t>
  </si>
  <si>
    <t xml:space="preserve">Taxi tricycle : </t>
  </si>
  <si>
    <t xml:space="preserve">Achat boison </t>
  </si>
  <si>
    <t>Achat billet:/T73</t>
  </si>
  <si>
    <t>Achat boisson a</t>
  </si>
  <si>
    <t>Taxi tricycle:</t>
  </si>
  <si>
    <t>Taxi moto:</t>
  </si>
  <si>
    <t>Achat boison :</t>
  </si>
  <si>
    <t>achat boison</t>
  </si>
  <si>
    <t xml:space="preserve">Taxi:  </t>
  </si>
  <si>
    <t>Achat billet :/ IT87</t>
  </si>
  <si>
    <t xml:space="preserve">Taxi:  Domicile- </t>
  </si>
  <si>
    <t xml:space="preserve">Taxi:   </t>
  </si>
  <si>
    <t xml:space="preserve">achat boissons et nourriture </t>
  </si>
  <si>
    <t xml:space="preserve">taxi moto : </t>
  </si>
  <si>
    <t>Taxi  :</t>
  </si>
  <si>
    <t xml:space="preserve">taxi : </t>
  </si>
  <si>
    <t>achat boissons et nourriture</t>
  </si>
  <si>
    <t xml:space="preserve"> Taxi :</t>
  </si>
  <si>
    <t xml:space="preserve">achat boison, nourriture </t>
  </si>
  <si>
    <t xml:space="preserve">achat bouteille wisky </t>
  </si>
  <si>
    <t xml:space="preserve">Taxi hotel </t>
  </si>
  <si>
    <t xml:space="preserve">T73 - CONGO Frais Ration  </t>
  </si>
  <si>
    <t>taxi :</t>
  </si>
  <si>
    <t>Achat billet i/ P29</t>
  </si>
  <si>
    <t>T73 CONGO Ration :</t>
  </si>
  <si>
    <t xml:space="preserve">G12- CONGO Ration </t>
  </si>
  <si>
    <t xml:space="preserve">Achat boissons </t>
  </si>
  <si>
    <t xml:space="preserve">Taxi moto: </t>
  </si>
  <si>
    <t xml:space="preserve">taxi moto: </t>
  </si>
  <si>
    <t xml:space="preserve">Achat repas et boissons </t>
  </si>
  <si>
    <t xml:space="preserve">CONGO frais d'hotel </t>
  </si>
  <si>
    <t xml:space="preserve">Taxi  : </t>
  </si>
  <si>
    <t>G12-CONGO frais d'hotel</t>
  </si>
  <si>
    <t>Taxi hotel :</t>
  </si>
  <si>
    <t>Taxi c:</t>
  </si>
  <si>
    <t xml:space="preserve"> Achat boisson </t>
  </si>
  <si>
    <t xml:space="preserve">Taxi :  </t>
  </si>
  <si>
    <t>Taxi : d</t>
  </si>
  <si>
    <t>Taxi : a</t>
  </si>
  <si>
    <t>Achat billet B/ IT87</t>
  </si>
  <si>
    <t>T73 - CONGO Frais d'hotel :</t>
  </si>
  <si>
    <t xml:space="preserve">Achat boissons et Repas </t>
  </si>
  <si>
    <t>Taxi ::</t>
  </si>
  <si>
    <t>Achat boissons :</t>
  </si>
  <si>
    <t>Taxi : A</t>
  </si>
  <si>
    <t xml:space="preserve">Achat repas </t>
  </si>
  <si>
    <t>P29 -CONGO Frais d'hotel :</t>
  </si>
  <si>
    <t>Achat billet:/P29</t>
  </si>
  <si>
    <t xml:space="preserve"> Achat boisson</t>
  </si>
  <si>
    <t xml:space="preserve">Taxi moto :  </t>
  </si>
  <si>
    <t>Achat repas</t>
  </si>
  <si>
    <t>Taxi ,</t>
  </si>
  <si>
    <t>Taxi</t>
  </si>
  <si>
    <t xml:space="preserve">taxi :  </t>
  </si>
  <si>
    <t>Taxi : G</t>
  </si>
  <si>
    <t>Taxi : :</t>
  </si>
  <si>
    <t>Taxi moto : 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</si>
</sst>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5">
    <numFmt numFmtId="41" formatCode="_-* #,##0_-;\-* #,##0_-;_-* &quot;-&quot;_-;_-@_-"/>
    <numFmt numFmtId="43" formatCode="_-* #,##0.00_-;\-* #,##0.00_-;_-* &quot;-&quot;??_-;_-@_-"/>
    <numFmt numFmtId="164" formatCode="_-* #,##0\ _€_-;\-* #,##0\ _€_-;_-* &quot;-&quot;\ _€_-;_-@_-"/>
    <numFmt numFmtId="165" formatCode="_-* #,##0.00\ _€_-;\-* #,##0.00\ _€_-;_-* &quot;-&quot;??\ _€_-;_-@_-"/>
    <numFmt numFmtId="166" formatCode="#,##0.00_ ;[Red]\-#,##0.00\ "/>
    <numFmt numFmtId="167" formatCode="#,##0.0000"/>
    <numFmt numFmtId="168" formatCode="_-* #,##0\ _€_-;\-* #,##0\ _€_-;_-* &quot;-&quot;??\ _€_-;_-@_-"/>
    <numFmt numFmtId="169" formatCode="#,##0.00;[Red]#,##0.00"/>
    <numFmt numFmtId="170" formatCode="[$-409]mmmmm;@"/>
    <numFmt numFmtId="171" formatCode="[$-40C]d\-mmm;@"/>
    <numFmt numFmtId="172" formatCode="_-* #,##0\ _€_-;\-* #,##0\ _€_-;_-* &quot;-&quot;??\ _€_-;_-@"/>
    <numFmt numFmtId="173" formatCode="0.000"/>
    <numFmt numFmtId="174" formatCode="[$-40C]d\-mmm\-yy;@"/>
    <numFmt numFmtId="175" formatCode="#,##0_ ;[Red]\-#,##0\ "/>
    <numFmt numFmtId="176" formatCode="[$-40C]General"/>
    <numFmt numFmtId="177" formatCode="[$-409]d\-mmm\-yy;@"/>
    <numFmt numFmtId="178" formatCode="[$-40C]0"/>
    <numFmt numFmtId="179" formatCode="&quot; &quot;#,##0&quot;    &quot;;&quot;-&quot;#,##0&quot;    &quot;;&quot; -&quot;#&quot;    &quot;;&quot; &quot;@&quot; &quot;"/>
    <numFmt numFmtId="180" formatCode="0.0000"/>
    <numFmt numFmtId="181" formatCode="_-* #,##0.000\ _€_-;\-* #,##0.000\ _€_-;_-* &quot;-&quot;??\ _€_-;_-@_-"/>
    <numFmt numFmtId="182" formatCode="_-* #,##0.000\ _€_-;\-* #,##0.000\ _€_-;_-* &quot;-&quot;???\ _€_-;_-@_-"/>
    <numFmt numFmtId="183" formatCode="0.0"/>
    <numFmt numFmtId="184" formatCode="dd/mm/yyyy;@"/>
    <numFmt numFmtId="185" formatCode="#,##0.0000_ ;[Red]\-#,##0.0000\ "/>
    <numFmt numFmtId="186" formatCode="#,##0.000"/>
  </numFmts>
  <fonts count="97">
    <font>
      <sz val="11"/>
      <color theme="1"/>
      <name val="Aptos Narrow"/>
      <family val="2"/>
      <charset val="238"/>
      <scheme val="minor"/>
    </font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1"/>
      <color theme="1"/>
      <name val="Aptos Narrow"/>
      <family val="2"/>
      <charset val="238"/>
      <scheme val="minor"/>
    </font>
    <font>
      <b/>
      <sz val="11"/>
      <color theme="1"/>
      <name val="Aptos Narrow"/>
      <family val="2"/>
      <charset val="238"/>
      <scheme val="minor"/>
    </font>
    <font>
      <b/>
      <sz val="11"/>
      <name val="Calibri"/>
      <family val="2"/>
      <charset val="238"/>
    </font>
    <font>
      <sz val="10"/>
      <name val="Arial"/>
      <family val="2"/>
    </font>
    <font>
      <b/>
      <sz val="10"/>
      <name val="Calibri"/>
      <family val="2"/>
    </font>
    <font>
      <b/>
      <sz val="10"/>
      <name val="Calibri"/>
      <family val="2"/>
      <charset val="238"/>
    </font>
    <font>
      <sz val="10"/>
      <name val="Calibri"/>
      <family val="2"/>
    </font>
    <font>
      <sz val="10"/>
      <color indexed="8"/>
      <name val="Calibri"/>
      <family val="2"/>
    </font>
    <font>
      <sz val="10"/>
      <name val="Calibri"/>
      <family val="2"/>
      <charset val="238"/>
    </font>
    <font>
      <b/>
      <sz val="10"/>
      <color indexed="8"/>
      <name val="Calibri"/>
      <family val="2"/>
    </font>
    <font>
      <b/>
      <sz val="10"/>
      <color indexed="8"/>
      <name val="Calibri"/>
      <family val="2"/>
      <charset val="238"/>
    </font>
    <font>
      <b/>
      <sz val="10"/>
      <color theme="1"/>
      <name val="Calibri"/>
      <family val="2"/>
      <charset val="238"/>
    </font>
    <font>
      <b/>
      <sz val="10"/>
      <color theme="1"/>
      <name val="Aptos Narrow"/>
      <family val="2"/>
      <charset val="238"/>
      <scheme val="minor"/>
    </font>
    <font>
      <sz val="10"/>
      <color theme="1"/>
      <name val="Calibri"/>
      <family val="2"/>
    </font>
    <font>
      <sz val="10"/>
      <color theme="1"/>
      <name val="Calibri"/>
      <family val="2"/>
      <charset val="238"/>
    </font>
    <font>
      <b/>
      <sz val="10"/>
      <color theme="1"/>
      <name val="Calibri"/>
      <family val="2"/>
    </font>
    <font>
      <sz val="8"/>
      <color theme="1"/>
      <name val="Calibri"/>
      <family val="2"/>
      <charset val="238"/>
    </font>
    <font>
      <sz val="8"/>
      <color indexed="8"/>
      <name val="Calibri"/>
      <family val="2"/>
      <charset val="238"/>
    </font>
    <font>
      <b/>
      <sz val="10"/>
      <color rgb="FFFF0000"/>
      <name val="Calibri"/>
      <family val="2"/>
    </font>
    <font>
      <b/>
      <sz val="8"/>
      <name val="Calibri"/>
      <family val="2"/>
      <charset val="238"/>
    </font>
    <font>
      <b/>
      <sz val="12"/>
      <color indexed="8"/>
      <name val="Calibri"/>
      <family val="2"/>
      <charset val="238"/>
    </font>
    <font>
      <b/>
      <sz val="12"/>
      <color theme="1"/>
      <name val="Aptos Narrow"/>
      <family val="2"/>
      <charset val="238"/>
      <scheme val="minor"/>
    </font>
    <font>
      <sz val="10"/>
      <color theme="1"/>
      <name val="Aptos Narrow"/>
      <family val="2"/>
      <scheme val="minor"/>
    </font>
    <font>
      <sz val="8"/>
      <name val="Aptos Narrow"/>
      <family val="2"/>
      <charset val="238"/>
      <scheme val="minor"/>
    </font>
    <font>
      <b/>
      <sz val="11"/>
      <color theme="1"/>
      <name val="Aptos Narrow"/>
      <family val="2"/>
      <scheme val="minor"/>
    </font>
    <font>
      <b/>
      <sz val="10"/>
      <name val="Times New Roman"/>
      <family val="1"/>
    </font>
    <font>
      <b/>
      <sz val="10"/>
      <name val="Times New Roman"/>
      <family val="1"/>
      <charset val="238"/>
    </font>
    <font>
      <sz val="10"/>
      <name val="Times New Roman"/>
      <family val="1"/>
    </font>
    <font>
      <sz val="10"/>
      <name val="Times New Roman"/>
      <family val="1"/>
      <charset val="238"/>
    </font>
    <font>
      <sz val="9"/>
      <color theme="1"/>
      <name val="Arial Narrow"/>
      <family val="2"/>
    </font>
    <font>
      <sz val="9"/>
      <name val="Arial Narrow"/>
      <family val="2"/>
    </font>
    <font>
      <sz val="11"/>
      <color indexed="8"/>
      <name val="Calibri"/>
      <family val="2"/>
    </font>
    <font>
      <sz val="9"/>
      <color indexed="8"/>
      <name val="Arial Narrow"/>
      <family val="2"/>
    </font>
    <font>
      <sz val="10"/>
      <name val="Arial Narrow"/>
      <family val="2"/>
    </font>
    <font>
      <sz val="10"/>
      <color theme="1"/>
      <name val="Arial Narrow"/>
      <family val="2"/>
    </font>
    <font>
      <sz val="11"/>
      <color theme="1"/>
      <name val="Arial Narrow"/>
      <family val="2"/>
    </font>
    <font>
      <sz val="11"/>
      <name val="Aptos Narrow"/>
      <family val="2"/>
      <scheme val="minor"/>
    </font>
    <font>
      <sz val="12"/>
      <color theme="1"/>
      <name val="Aptos Narrow"/>
      <family val="2"/>
      <scheme val="minor"/>
    </font>
    <font>
      <sz val="12"/>
      <name val="Arial Narrow"/>
      <family val="2"/>
    </font>
    <font>
      <b/>
      <sz val="12"/>
      <name val="Arial Narrow"/>
      <family val="2"/>
    </font>
    <font>
      <sz val="11"/>
      <color rgb="FF000000"/>
      <name val="Calibri"/>
      <family val="2"/>
    </font>
    <font>
      <sz val="12"/>
      <color theme="1"/>
      <name val="Arial Narrow"/>
      <family val="2"/>
      <charset val="238"/>
    </font>
    <font>
      <sz val="12"/>
      <color theme="1"/>
      <name val="Arial Narrow"/>
      <family val="2"/>
    </font>
    <font>
      <sz val="11"/>
      <color theme="1"/>
      <name val="Times New Roman"/>
      <family val="1"/>
    </font>
    <font>
      <sz val="12"/>
      <color rgb="FF000000"/>
      <name val="Calibri"/>
      <family val="2"/>
    </font>
    <font>
      <b/>
      <sz val="12"/>
      <color theme="1"/>
      <name val="Arial Narrow"/>
      <family val="2"/>
    </font>
    <font>
      <b/>
      <sz val="11"/>
      <color theme="1"/>
      <name val="Aptos Narrow"/>
      <family val="2"/>
      <scheme val="minor"/>
    </font>
    <font>
      <b/>
      <sz val="11"/>
      <name val="Aptos Narrow"/>
      <family val="2"/>
      <scheme val="minor"/>
    </font>
    <font>
      <b/>
      <sz val="12"/>
      <color theme="1"/>
      <name val="Arial Narrow"/>
      <family val="2"/>
      <charset val="238"/>
    </font>
    <font>
      <sz val="10"/>
      <color rgb="FF000000"/>
      <name val="Times New Roman"/>
      <family val="1"/>
    </font>
    <font>
      <sz val="12"/>
      <name val="Calibri"/>
      <family val="2"/>
    </font>
    <font>
      <sz val="12"/>
      <color theme="1"/>
      <name val="Calibri"/>
      <family val="2"/>
    </font>
    <font>
      <sz val="12"/>
      <color rgb="FF000000"/>
      <name val="Arial"/>
      <family val="2"/>
    </font>
    <font>
      <sz val="12"/>
      <color rgb="FF000000"/>
      <name val="Arial Narrow"/>
      <family val="2"/>
    </font>
    <font>
      <sz val="12"/>
      <color rgb="FF000000"/>
      <name val="Times New Roman"/>
      <family val="1"/>
    </font>
    <font>
      <sz val="11"/>
      <color rgb="FF000000"/>
      <name val="Times New Roman"/>
      <family val="1"/>
    </font>
    <font>
      <b/>
      <sz val="12"/>
      <color theme="1"/>
      <name val="Aptos Narrow"/>
      <family val="2"/>
      <scheme val="minor"/>
    </font>
    <font>
      <sz val="12"/>
      <name val="Aptos Narrow"/>
      <family val="2"/>
      <scheme val="minor"/>
    </font>
    <font>
      <sz val="11"/>
      <color rgb="FF000000"/>
      <name val="Calibri"/>
      <family val="2"/>
      <charset val="238"/>
    </font>
    <font>
      <sz val="11"/>
      <color theme="1"/>
      <name val="Calibri"/>
      <family val="2"/>
      <charset val="238"/>
    </font>
    <font>
      <sz val="11"/>
      <color indexed="8"/>
      <name val="Calibri"/>
      <family val="2"/>
      <charset val="238"/>
    </font>
    <font>
      <sz val="11"/>
      <name val="Calibri"/>
      <family val="2"/>
      <charset val="238"/>
    </font>
    <font>
      <b/>
      <sz val="11"/>
      <color theme="1"/>
      <name val="Calibri"/>
      <family val="2"/>
      <charset val="238"/>
    </font>
    <font>
      <sz val="11"/>
      <color rgb="FFFF0000"/>
      <name val="Calibri"/>
      <family val="2"/>
      <charset val="238"/>
    </font>
    <font>
      <sz val="11"/>
      <color theme="3"/>
      <name val="Calibri"/>
      <family val="2"/>
      <charset val="238"/>
    </font>
    <font>
      <sz val="11"/>
      <name val="Calibri"/>
      <family val="2"/>
    </font>
    <font>
      <sz val="12"/>
      <color indexed="8"/>
      <name val="Arial Narrow"/>
      <family val="2"/>
    </font>
    <font>
      <sz val="12"/>
      <color theme="1"/>
      <name val="Aptos Narrow"/>
      <family val="2"/>
      <charset val="238"/>
      <scheme val="minor"/>
    </font>
    <font>
      <sz val="12"/>
      <color rgb="FF000000"/>
      <name val="Calibri"/>
      <family val="2"/>
      <charset val="238"/>
    </font>
    <font>
      <b/>
      <sz val="12"/>
      <color theme="1"/>
      <name val="Aptos Narrow"/>
      <scheme val="minor"/>
    </font>
    <font>
      <sz val="12"/>
      <color theme="1"/>
      <name val="Aptos Narrow"/>
      <family val="2"/>
      <charset val="1"/>
      <scheme val="minor"/>
    </font>
    <font>
      <sz val="12"/>
      <color theme="1"/>
      <name val="Times New Roman"/>
      <family val="1"/>
    </font>
    <font>
      <b/>
      <sz val="12"/>
      <name val="Calibri"/>
      <family val="2"/>
      <charset val="238"/>
    </font>
    <font>
      <sz val="11"/>
      <color theme="1"/>
      <name val="Calibri"/>
      <family val="2"/>
    </font>
    <font>
      <sz val="11"/>
      <color theme="1"/>
      <name val="Aptos Narrow"/>
      <scheme val="minor"/>
    </font>
    <font>
      <sz val="14"/>
      <name val="Arial Narrow"/>
      <family val="2"/>
    </font>
    <font>
      <sz val="14"/>
      <color theme="1"/>
      <name val="Aptos Narrow"/>
      <family val="2"/>
      <charset val="238"/>
      <scheme val="minor"/>
    </font>
    <font>
      <sz val="12"/>
      <name val="Times New Roman"/>
      <family val="1"/>
    </font>
    <font>
      <b/>
      <sz val="12"/>
      <color theme="1"/>
      <name val="Calibri"/>
      <family val="2"/>
    </font>
    <font>
      <b/>
      <sz val="11"/>
      <color theme="1"/>
      <name val="Calibri"/>
      <family val="2"/>
    </font>
    <font>
      <sz val="12"/>
      <name val="Aptos Narrow"/>
      <family val="2"/>
      <charset val="1"/>
      <scheme val="minor"/>
    </font>
    <font>
      <sz val="12"/>
      <color theme="1"/>
      <name val="Arial"/>
      <family val="2"/>
    </font>
    <font>
      <sz val="12"/>
      <name val="Arial"/>
      <family val="2"/>
    </font>
    <font>
      <sz val="12"/>
      <color indexed="8"/>
      <name val="Arial"/>
      <family val="2"/>
    </font>
    <font>
      <b/>
      <sz val="12"/>
      <name val="Aptos Narrow"/>
      <family val="2"/>
      <scheme val="minor"/>
    </font>
    <font>
      <i/>
      <sz val="12"/>
      <color indexed="10"/>
      <name val="Aptos Narrow"/>
      <family val="2"/>
      <scheme val="minor"/>
    </font>
    <font>
      <b/>
      <i/>
      <sz val="12"/>
      <name val="Aptos Narrow"/>
      <family val="2"/>
      <scheme val="minor"/>
    </font>
    <font>
      <i/>
      <sz val="12"/>
      <name val="Aptos Narrow"/>
      <family val="2"/>
      <scheme val="minor"/>
    </font>
    <font>
      <b/>
      <sz val="12"/>
      <color theme="3" tint="-0.499984740745262"/>
      <name val="Aptos Narrow"/>
      <family val="2"/>
      <scheme val="minor"/>
    </font>
    <font>
      <sz val="12"/>
      <color theme="3" tint="-0.499984740745262"/>
      <name val="Aptos Narrow"/>
      <family val="2"/>
      <scheme val="minor"/>
    </font>
    <font>
      <sz val="12"/>
      <color indexed="8"/>
      <name val="Aptos Narrow"/>
      <family val="2"/>
      <scheme val="minor"/>
    </font>
    <font>
      <b/>
      <sz val="12"/>
      <color rgb="FFFF0000"/>
      <name val="Aptos Narrow"/>
      <family val="2"/>
      <scheme val="minor"/>
    </font>
  </fonts>
  <fills count="21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DBEEF4"/>
        <bgColor rgb="FFDBEEF4"/>
      </patternFill>
    </fill>
    <fill>
      <patternFill patternType="solid">
        <fgColor theme="0"/>
        <bgColor rgb="FFFFFFFF"/>
      </patternFill>
    </fill>
    <fill>
      <patternFill patternType="solid">
        <fgColor theme="0"/>
        <bgColor rgb="FFDBEEF4"/>
      </patternFill>
    </fill>
    <fill>
      <patternFill patternType="solid">
        <fgColor rgb="FFFFFF99"/>
        <bgColor indexed="64"/>
      </patternFill>
    </fill>
    <fill>
      <patternFill patternType="solid">
        <fgColor theme="3" tint="0.89999084444715716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FF"/>
        <bgColor indexed="64"/>
      </patternFill>
    </fill>
  </fills>
  <borders count="4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indexed="64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thin">
        <color auto="1"/>
      </top>
      <bottom style="medium">
        <color indexed="64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/>
      <top/>
      <bottom style="medium">
        <color indexed="64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thin">
        <color auto="1"/>
      </top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indexed="64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rgb="FF000000"/>
      </left>
      <right/>
      <top style="thin">
        <color indexed="64"/>
      </top>
      <bottom/>
      <diagonal/>
    </border>
    <border>
      <left/>
      <right style="thin">
        <color rgb="FF000000"/>
      </right>
      <top style="thin">
        <color indexed="64"/>
      </top>
      <bottom style="thin">
        <color rgb="FF000000"/>
      </bottom>
      <diagonal/>
    </border>
    <border>
      <left style="thin">
        <color auto="1"/>
      </left>
      <right/>
      <top/>
      <bottom style="medium">
        <color auto="1"/>
      </bottom>
      <diagonal/>
    </border>
    <border>
      <left style="thin">
        <color auto="1"/>
      </left>
      <right/>
      <top style="medium">
        <color auto="1"/>
      </top>
      <bottom/>
      <diagonal/>
    </border>
  </borders>
  <cellStyleXfs count="13">
    <xf numFmtId="0" fontId="0" fillId="0" borderId="0"/>
    <xf numFmtId="43" fontId="5" fillId="0" borderId="0" applyFont="0" applyFill="0" applyBorder="0" applyAlignment="0" applyProtection="0"/>
    <xf numFmtId="0" fontId="8" fillId="0" borderId="0"/>
    <xf numFmtId="0" fontId="36" fillId="0" borderId="0"/>
    <xf numFmtId="177" fontId="45" fillId="0" borderId="0" applyBorder="0" applyProtection="0"/>
    <xf numFmtId="165" fontId="49" fillId="0" borderId="0">
      <protection locked="0"/>
    </xf>
    <xf numFmtId="165" fontId="4" fillId="0" borderId="0" applyFont="0" applyFill="0" applyBorder="0" applyAlignment="0" applyProtection="0"/>
    <xf numFmtId="0" fontId="8" fillId="0" borderId="0"/>
    <xf numFmtId="165" fontId="42" fillId="0" borderId="0" applyFont="0" applyFill="0" applyBorder="0" applyAlignment="0" applyProtection="0"/>
    <xf numFmtId="43" fontId="5" fillId="0" borderId="0" applyFont="0" applyFill="0" applyBorder="0" applyAlignment="0" applyProtection="0"/>
    <xf numFmtId="165" fontId="3" fillId="0" borderId="0" applyFont="0" applyFill="0" applyBorder="0" applyAlignment="0" applyProtection="0"/>
    <xf numFmtId="41" fontId="5" fillId="0" borderId="0" applyFont="0" applyFill="0" applyBorder="0" applyAlignment="0" applyProtection="0"/>
    <xf numFmtId="0" fontId="8" fillId="0" borderId="0"/>
  </cellStyleXfs>
  <cellXfs count="652">
    <xf numFmtId="0" fontId="0" fillId="0" borderId="0" xfId="0"/>
    <xf numFmtId="0" fontId="7" fillId="2" borderId="1" xfId="0" applyFont="1" applyFill="1" applyBorder="1" applyAlignment="1">
      <alignment horizontal="left" vertical="center" wrapText="1"/>
    </xf>
    <xf numFmtId="167" fontId="7" fillId="2" borderId="1" xfId="0" applyNumberFormat="1" applyFont="1" applyFill="1" applyBorder="1" applyAlignment="1">
      <alignment horizontal="right"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right" vertical="center" wrapText="1"/>
    </xf>
    <xf numFmtId="166" fontId="10" fillId="3" borderId="1" xfId="2" applyNumberFormat="1" applyFont="1" applyFill="1" applyBorder="1" applyAlignment="1">
      <alignment horizontal="center" vertical="center"/>
    </xf>
    <xf numFmtId="4" fontId="11" fillId="0" borderId="1" xfId="0" applyNumberFormat="1" applyFont="1" applyBorder="1" applyAlignment="1">
      <alignment horizontal="center" vertical="center"/>
    </xf>
    <xf numFmtId="166" fontId="11" fillId="0" borderId="1" xfId="1" applyNumberFormat="1" applyFont="1" applyBorder="1"/>
    <xf numFmtId="166" fontId="12" fillId="0" borderId="1" xfId="0" applyNumberFormat="1" applyFont="1" applyBorder="1" applyAlignment="1">
      <alignment vertical="top" wrapText="1"/>
    </xf>
    <xf numFmtId="166" fontId="13" fillId="0" borderId="1" xfId="1" applyNumberFormat="1" applyFont="1" applyBorder="1"/>
    <xf numFmtId="166" fontId="13" fillId="0" borderId="2" xfId="1" applyNumberFormat="1" applyFont="1" applyBorder="1"/>
    <xf numFmtId="166" fontId="10" fillId="3" borderId="1" xfId="1" applyNumberFormat="1" applyFont="1" applyFill="1" applyBorder="1"/>
    <xf numFmtId="166" fontId="9" fillId="0" borderId="1" xfId="1" applyNumberFormat="1" applyFont="1" applyBorder="1"/>
    <xf numFmtId="166" fontId="14" fillId="0" borderId="1" xfId="0" applyNumberFormat="1" applyFont="1" applyBorder="1" applyAlignment="1">
      <alignment vertical="top" wrapText="1"/>
    </xf>
    <xf numFmtId="14" fontId="15" fillId="4" borderId="1" xfId="0" applyNumberFormat="1" applyFont="1" applyFill="1" applyBorder="1"/>
    <xf numFmtId="166" fontId="16" fillId="4" borderId="1" xfId="1" applyNumberFormat="1" applyFont="1" applyFill="1" applyBorder="1"/>
    <xf numFmtId="166" fontId="17" fillId="4" borderId="1" xfId="0" applyNumberFormat="1" applyFont="1" applyFill="1" applyBorder="1"/>
    <xf numFmtId="166" fontId="10" fillId="4" borderId="1" xfId="1" applyNumberFormat="1" applyFont="1" applyFill="1" applyBorder="1"/>
    <xf numFmtId="14" fontId="12" fillId="0" borderId="1" xfId="0" applyNumberFormat="1" applyFont="1" applyBorder="1"/>
    <xf numFmtId="166" fontId="12" fillId="0" borderId="1" xfId="0" applyNumberFormat="1" applyFont="1" applyBorder="1"/>
    <xf numFmtId="166" fontId="11" fillId="0" borderId="1" xfId="1" applyNumberFormat="1" applyFont="1" applyBorder="1" applyAlignment="1">
      <alignment horizontal="center"/>
    </xf>
    <xf numFmtId="166" fontId="18" fillId="0" borderId="1" xfId="1" applyNumberFormat="1" applyFont="1" applyBorder="1"/>
    <xf numFmtId="166" fontId="12" fillId="0" borderId="2" xfId="0" applyNumberFormat="1" applyFont="1" applyBorder="1"/>
    <xf numFmtId="0" fontId="19" fillId="0" borderId="1" xfId="0" applyFont="1" applyBorder="1"/>
    <xf numFmtId="166" fontId="19" fillId="0" borderId="1" xfId="0" applyNumberFormat="1" applyFont="1" applyBorder="1"/>
    <xf numFmtId="166" fontId="19" fillId="0" borderId="1" xfId="1" applyNumberFormat="1" applyFont="1" applyBorder="1"/>
    <xf numFmtId="166" fontId="19" fillId="5" borderId="1" xfId="1" applyNumberFormat="1" applyFont="1" applyFill="1" applyBorder="1"/>
    <xf numFmtId="166" fontId="19" fillId="0" borderId="2" xfId="1" applyNumberFormat="1" applyFont="1" applyBorder="1"/>
    <xf numFmtId="0" fontId="21" fillId="0" borderId="3" xfId="0" applyFont="1" applyBorder="1"/>
    <xf numFmtId="166" fontId="22" fillId="0" borderId="3" xfId="0" applyNumberFormat="1" applyFont="1" applyBorder="1"/>
    <xf numFmtId="166" fontId="23" fillId="0" borderId="3" xfId="0" applyNumberFormat="1" applyFont="1" applyBorder="1"/>
    <xf numFmtId="166" fontId="22" fillId="5" borderId="3" xfId="0" applyNumberFormat="1" applyFont="1" applyFill="1" applyBorder="1"/>
    <xf numFmtId="166" fontId="22" fillId="0" borderId="5" xfId="0" applyNumberFormat="1" applyFont="1" applyBorder="1"/>
    <xf numFmtId="166" fontId="24" fillId="3" borderId="1" xfId="1" applyNumberFormat="1" applyFont="1" applyFill="1" applyBorder="1"/>
    <xf numFmtId="0" fontId="20" fillId="0" borderId="3" xfId="0" applyFont="1" applyBorder="1"/>
    <xf numFmtId="166" fontId="14" fillId="0" borderId="3" xfId="0" applyNumberFormat="1" applyFont="1" applyBorder="1"/>
    <xf numFmtId="166" fontId="14" fillId="0" borderId="5" xfId="0" applyNumberFormat="1" applyFont="1" applyBorder="1"/>
    <xf numFmtId="0" fontId="20" fillId="7" borderId="6" xfId="0" applyFont="1" applyFill="1" applyBorder="1"/>
    <xf numFmtId="166" fontId="14" fillId="7" borderId="7" xfId="0" applyNumberFormat="1" applyFont="1" applyFill="1" applyBorder="1"/>
    <xf numFmtId="166" fontId="14" fillId="7" borderId="8" xfId="0" applyNumberFormat="1" applyFont="1" applyFill="1" applyBorder="1"/>
    <xf numFmtId="166" fontId="10" fillId="7" borderId="1" xfId="1" applyNumberFormat="1" applyFont="1" applyFill="1" applyBorder="1"/>
    <xf numFmtId="0" fontId="12" fillId="0" borderId="9" xfId="0" applyFont="1" applyBorder="1"/>
    <xf numFmtId="166" fontId="12" fillId="0" borderId="9" xfId="0" applyNumberFormat="1" applyFont="1" applyBorder="1"/>
    <xf numFmtId="166" fontId="12" fillId="0" borderId="10" xfId="0" applyNumberFormat="1" applyFont="1" applyBorder="1"/>
    <xf numFmtId="0" fontId="20" fillId="0" borderId="1" xfId="0" applyFont="1" applyBorder="1"/>
    <xf numFmtId="166" fontId="20" fillId="0" borderId="1" xfId="0" applyNumberFormat="1" applyFont="1" applyBorder="1"/>
    <xf numFmtId="166" fontId="14" fillId="0" borderId="1" xfId="0" applyNumberFormat="1" applyFont="1" applyBorder="1"/>
    <xf numFmtId="166" fontId="20" fillId="0" borderId="1" xfId="1" applyNumberFormat="1" applyFont="1" applyBorder="1"/>
    <xf numFmtId="166" fontId="20" fillId="0" borderId="2" xfId="1" applyNumberFormat="1" applyFont="1" applyBorder="1"/>
    <xf numFmtId="0" fontId="12" fillId="0" borderId="0" xfId="0" applyFont="1"/>
    <xf numFmtId="166" fontId="12" fillId="0" borderId="0" xfId="0" applyNumberFormat="1" applyFont="1"/>
    <xf numFmtId="0" fontId="17" fillId="0" borderId="4" xfId="0" applyFont="1" applyBorder="1"/>
    <xf numFmtId="0" fontId="25" fillId="8" borderId="11" xfId="0" applyFont="1" applyFill="1" applyBorder="1"/>
    <xf numFmtId="166" fontId="25" fillId="8" borderId="12" xfId="0" applyNumberFormat="1" applyFont="1" applyFill="1" applyBorder="1"/>
    <xf numFmtId="166" fontId="25" fillId="8" borderId="13" xfId="0" applyNumberFormat="1" applyFont="1" applyFill="1" applyBorder="1"/>
    <xf numFmtId="166" fontId="25" fillId="8" borderId="14" xfId="0" applyNumberFormat="1" applyFont="1" applyFill="1" applyBorder="1"/>
    <xf numFmtId="0" fontId="26" fillId="3" borderId="15" xfId="0" applyFont="1" applyFill="1" applyBorder="1"/>
    <xf numFmtId="0" fontId="26" fillId="8" borderId="16" xfId="0" applyFont="1" applyFill="1" applyBorder="1" applyAlignment="1">
      <alignment wrapText="1"/>
    </xf>
    <xf numFmtId="166" fontId="25" fillId="8" borderId="17" xfId="0" applyNumberFormat="1" applyFont="1" applyFill="1" applyBorder="1" applyAlignment="1">
      <alignment wrapText="1"/>
    </xf>
    <xf numFmtId="166" fontId="25" fillId="8" borderId="1" xfId="0" applyNumberFormat="1" applyFont="1" applyFill="1" applyBorder="1" applyAlignment="1">
      <alignment wrapText="1"/>
    </xf>
    <xf numFmtId="0" fontId="26" fillId="3" borderId="18" xfId="0" applyFont="1" applyFill="1" applyBorder="1" applyAlignment="1">
      <alignment wrapText="1"/>
    </xf>
    <xf numFmtId="0" fontId="25" fillId="9" borderId="19" xfId="0" applyFont="1" applyFill="1" applyBorder="1" applyAlignment="1">
      <alignment wrapText="1"/>
    </xf>
    <xf numFmtId="166" fontId="25" fillId="9" borderId="20" xfId="0" applyNumberFormat="1" applyFont="1" applyFill="1" applyBorder="1"/>
    <xf numFmtId="166" fontId="25" fillId="9" borderId="21" xfId="0" applyNumberFormat="1" applyFont="1" applyFill="1" applyBorder="1"/>
    <xf numFmtId="4" fontId="27" fillId="9" borderId="22" xfId="0" applyNumberFormat="1" applyFont="1" applyFill="1" applyBorder="1" applyAlignment="1">
      <alignment horizontal="center" vertical="center"/>
    </xf>
    <xf numFmtId="166" fontId="26" fillId="3" borderId="23" xfId="0" applyNumberFormat="1" applyFont="1" applyFill="1" applyBorder="1"/>
    <xf numFmtId="14" fontId="7" fillId="4" borderId="1" xfId="0" applyNumberFormat="1" applyFont="1" applyFill="1" applyBorder="1" applyAlignment="1">
      <alignment horizontal="center" vertical="center" wrapText="1"/>
    </xf>
    <xf numFmtId="0" fontId="7" fillId="4" borderId="1" xfId="0" applyFont="1" applyFill="1" applyBorder="1" applyAlignment="1">
      <alignment horizontal="left" vertical="center" wrapText="1"/>
    </xf>
    <xf numFmtId="0" fontId="7" fillId="4" borderId="1" xfId="0" applyFont="1" applyFill="1" applyBorder="1" applyAlignment="1">
      <alignment horizontal="center" vertical="center" wrapText="1"/>
    </xf>
    <xf numFmtId="14" fontId="0" fillId="0" borderId="0" xfId="0" applyNumberFormat="1"/>
    <xf numFmtId="3" fontId="7" fillId="2" borderId="1" xfId="0" applyNumberFormat="1" applyFont="1" applyFill="1" applyBorder="1" applyAlignment="1">
      <alignment vertical="center" wrapText="1"/>
    </xf>
    <xf numFmtId="3" fontId="0" fillId="0" borderId="0" xfId="0" applyNumberFormat="1"/>
    <xf numFmtId="4" fontId="7" fillId="2" borderId="1" xfId="0" applyNumberFormat="1" applyFont="1" applyFill="1" applyBorder="1" applyAlignment="1">
      <alignment horizontal="right" vertical="center" wrapText="1"/>
    </xf>
    <xf numFmtId="14" fontId="7" fillId="10" borderId="1" xfId="0" applyNumberFormat="1" applyFont="1" applyFill="1" applyBorder="1" applyAlignment="1">
      <alignment horizontal="center" vertical="center" wrapText="1"/>
    </xf>
    <xf numFmtId="0" fontId="7" fillId="10" borderId="1" xfId="0" applyFont="1" applyFill="1" applyBorder="1" applyAlignment="1">
      <alignment horizontal="left" vertical="center" wrapText="1"/>
    </xf>
    <xf numFmtId="0" fontId="7" fillId="10" borderId="1" xfId="0" applyFont="1" applyFill="1" applyBorder="1" applyAlignment="1">
      <alignment horizontal="center" vertical="center" wrapText="1"/>
    </xf>
    <xf numFmtId="0" fontId="0" fillId="0" borderId="1" xfId="0" applyBorder="1"/>
    <xf numFmtId="166" fontId="14" fillId="2" borderId="1" xfId="0" applyNumberFormat="1" applyFont="1" applyFill="1" applyBorder="1" applyAlignment="1">
      <alignment vertical="top" wrapText="1"/>
    </xf>
    <xf numFmtId="166" fontId="9" fillId="2" borderId="1" xfId="1" applyNumberFormat="1" applyFont="1" applyFill="1" applyBorder="1"/>
    <xf numFmtId="14" fontId="9" fillId="2" borderId="1" xfId="2" applyNumberFormat="1" applyFont="1" applyFill="1" applyBorder="1" applyAlignment="1">
      <alignment horizontal="center" vertical="center"/>
    </xf>
    <xf numFmtId="166" fontId="9" fillId="2" borderId="1" xfId="2" applyNumberFormat="1" applyFont="1" applyFill="1" applyBorder="1" applyAlignment="1">
      <alignment horizontal="center" vertical="center" wrapText="1"/>
    </xf>
    <xf numFmtId="166" fontId="9" fillId="2" borderId="1" xfId="2" applyNumberFormat="1" applyFont="1" applyFill="1" applyBorder="1" applyAlignment="1">
      <alignment horizontal="center" vertical="center"/>
    </xf>
    <xf numFmtId="166" fontId="9" fillId="2" borderId="2" xfId="2" applyNumberFormat="1" applyFont="1" applyFill="1" applyBorder="1" applyAlignment="1">
      <alignment horizontal="center" vertical="center" wrapText="1"/>
    </xf>
    <xf numFmtId="0" fontId="20" fillId="4" borderId="1" xfId="0" applyFont="1" applyFill="1" applyBorder="1"/>
    <xf numFmtId="166" fontId="14" fillId="4" borderId="1" xfId="0" applyNumberFormat="1" applyFont="1" applyFill="1" applyBorder="1"/>
    <xf numFmtId="166" fontId="14" fillId="4" borderId="2" xfId="0" applyNumberFormat="1" applyFont="1" applyFill="1" applyBorder="1"/>
    <xf numFmtId="3" fontId="7" fillId="10" borderId="1" xfId="0" applyNumberFormat="1" applyFont="1" applyFill="1" applyBorder="1" applyAlignment="1">
      <alignment vertical="center" wrapText="1"/>
    </xf>
    <xf numFmtId="3" fontId="7" fillId="10" borderId="1" xfId="0" applyNumberFormat="1" applyFont="1" applyFill="1" applyBorder="1" applyAlignment="1">
      <alignment horizontal="right" vertical="center" wrapText="1"/>
    </xf>
    <xf numFmtId="3" fontId="7" fillId="4" borderId="1" xfId="0" applyNumberFormat="1" applyFont="1" applyFill="1" applyBorder="1" applyAlignment="1">
      <alignment vertical="center" wrapText="1"/>
    </xf>
    <xf numFmtId="3" fontId="7" fillId="4" borderId="1" xfId="0" applyNumberFormat="1" applyFont="1" applyFill="1" applyBorder="1" applyAlignment="1">
      <alignment horizontal="right" vertical="center" wrapText="1"/>
    </xf>
    <xf numFmtId="0" fontId="29" fillId="0" borderId="0" xfId="0" applyFont="1"/>
    <xf numFmtId="0" fontId="29" fillId="0" borderId="1" xfId="0" applyFont="1" applyBorder="1"/>
    <xf numFmtId="4" fontId="0" fillId="0" borderId="1" xfId="0" applyNumberFormat="1" applyBorder="1"/>
    <xf numFmtId="0" fontId="6" fillId="0" borderId="1" xfId="0" applyFont="1" applyBorder="1"/>
    <xf numFmtId="4" fontId="29" fillId="0" borderId="1" xfId="0" applyNumberFormat="1" applyFont="1" applyBorder="1"/>
    <xf numFmtId="3" fontId="0" fillId="0" borderId="1" xfId="0" applyNumberFormat="1" applyBorder="1"/>
    <xf numFmtId="0" fontId="0" fillId="0" borderId="1" xfId="0" applyBorder="1" applyAlignment="1">
      <alignment horizontal="center"/>
    </xf>
    <xf numFmtId="0" fontId="0" fillId="0" borderId="0" xfId="0" applyAlignment="1">
      <alignment horizontal="center"/>
    </xf>
    <xf numFmtId="0" fontId="0" fillId="4" borderId="1" xfId="0" applyFill="1" applyBorder="1"/>
    <xf numFmtId="0" fontId="0" fillId="10" borderId="1" xfId="0" applyFill="1" applyBorder="1"/>
    <xf numFmtId="170" fontId="30" fillId="12" borderId="1" xfId="0" applyNumberFormat="1" applyFont="1" applyFill="1" applyBorder="1" applyAlignment="1">
      <alignment horizontal="center" vertical="center" wrapText="1"/>
    </xf>
    <xf numFmtId="166" fontId="30" fillId="12" borderId="1" xfId="0" applyNumberFormat="1" applyFont="1" applyFill="1" applyBorder="1" applyAlignment="1">
      <alignment horizontal="center" vertical="center" wrapText="1"/>
    </xf>
    <xf numFmtId="49" fontId="31" fillId="13" borderId="1" xfId="0" applyNumberFormat="1" applyFont="1" applyFill="1" applyBorder="1" applyAlignment="1">
      <alignment vertical="top" wrapText="1"/>
    </xf>
    <xf numFmtId="166" fontId="31" fillId="13" borderId="1" xfId="0" applyNumberFormat="1" applyFont="1" applyFill="1" applyBorder="1" applyAlignment="1">
      <alignment vertical="top" wrapText="1"/>
    </xf>
    <xf numFmtId="166" fontId="31" fillId="13" borderId="1" xfId="0" applyNumberFormat="1" applyFont="1" applyFill="1" applyBorder="1" applyAlignment="1">
      <alignment vertical="center" wrapText="1"/>
    </xf>
    <xf numFmtId="0" fontId="32" fillId="0" borderId="1" xfId="0" applyFont="1" applyBorder="1" applyAlignment="1">
      <alignment vertical="top" wrapText="1"/>
    </xf>
    <xf numFmtId="166" fontId="32" fillId="0" borderId="1" xfId="0" applyNumberFormat="1" applyFont="1" applyBorder="1" applyAlignment="1">
      <alignment vertical="top" wrapText="1"/>
    </xf>
    <xf numFmtId="166" fontId="32" fillId="0" borderId="1" xfId="1" applyNumberFormat="1" applyFont="1" applyBorder="1" applyAlignment="1">
      <alignment vertical="top" wrapText="1"/>
    </xf>
    <xf numFmtId="17" fontId="32" fillId="0" borderId="1" xfId="0" applyNumberFormat="1" applyFont="1" applyBorder="1" applyAlignment="1">
      <alignment vertical="top" wrapText="1"/>
    </xf>
    <xf numFmtId="166" fontId="31" fillId="0" borderId="1" xfId="0" applyNumberFormat="1" applyFont="1" applyBorder="1" applyAlignment="1">
      <alignment vertical="top" wrapText="1"/>
    </xf>
    <xf numFmtId="166" fontId="31" fillId="0" borderId="1" xfId="0" applyNumberFormat="1" applyFont="1" applyBorder="1" applyAlignment="1">
      <alignment vertical="center" wrapText="1"/>
    </xf>
    <xf numFmtId="166" fontId="31" fillId="0" borderId="1" xfId="1" applyNumberFormat="1" applyFont="1" applyFill="1" applyBorder="1" applyAlignment="1">
      <alignment vertical="top" wrapText="1"/>
    </xf>
    <xf numFmtId="166" fontId="33" fillId="0" borderId="1" xfId="0" applyNumberFormat="1" applyFont="1" applyBorder="1" applyAlignment="1">
      <alignment vertical="center" wrapText="1"/>
    </xf>
    <xf numFmtId="49" fontId="33" fillId="0" borderId="1" xfId="0" applyNumberFormat="1" applyFont="1" applyBorder="1" applyAlignment="1">
      <alignment vertical="top" wrapText="1"/>
    </xf>
    <xf numFmtId="0" fontId="33" fillId="0" borderId="1" xfId="0" applyFont="1" applyBorder="1" applyAlignment="1">
      <alignment vertical="top" wrapText="1"/>
    </xf>
    <xf numFmtId="0" fontId="32" fillId="0" borderId="3" xfId="0" applyFont="1" applyBorder="1" applyAlignment="1">
      <alignment vertical="top" wrapText="1"/>
    </xf>
    <xf numFmtId="166" fontId="32" fillId="0" borderId="3" xfId="0" applyNumberFormat="1" applyFont="1" applyBorder="1" applyAlignment="1">
      <alignment vertical="top" wrapText="1"/>
    </xf>
    <xf numFmtId="166" fontId="32" fillId="0" borderId="3" xfId="1" applyNumberFormat="1" applyFont="1" applyBorder="1" applyAlignment="1">
      <alignment vertical="top" wrapText="1"/>
    </xf>
    <xf numFmtId="0" fontId="34" fillId="0" borderId="1" xfId="0" applyFont="1" applyBorder="1"/>
    <xf numFmtId="0" fontId="35" fillId="0" borderId="1" xfId="0" applyFont="1" applyBorder="1"/>
    <xf numFmtId="168" fontId="34" fillId="0" borderId="1" xfId="1" applyNumberFormat="1" applyFont="1" applyBorder="1"/>
    <xf numFmtId="168" fontId="35" fillId="0" borderId="1" xfId="1" applyNumberFormat="1" applyFont="1" applyFill="1" applyBorder="1"/>
    <xf numFmtId="0" fontId="0" fillId="0" borderId="3" xfId="0" applyBorder="1"/>
    <xf numFmtId="166" fontId="9" fillId="0" borderId="4" xfId="1" applyNumberFormat="1" applyFont="1" applyBorder="1"/>
    <xf numFmtId="172" fontId="39" fillId="5" borderId="1" xfId="0" applyNumberFormat="1" applyFont="1" applyFill="1" applyBorder="1"/>
    <xf numFmtId="0" fontId="0" fillId="5" borderId="1" xfId="0" applyFill="1" applyBorder="1"/>
    <xf numFmtId="14" fontId="29" fillId="5" borderId="1" xfId="0" applyNumberFormat="1" applyFont="1" applyFill="1" applyBorder="1"/>
    <xf numFmtId="0" fontId="29" fillId="5" borderId="1" xfId="0" applyFont="1" applyFill="1" applyBorder="1"/>
    <xf numFmtId="3" fontId="30" fillId="13" borderId="1" xfId="0" applyNumberFormat="1" applyFont="1" applyFill="1" applyBorder="1" applyAlignment="1">
      <alignment vertical="center" wrapText="1"/>
    </xf>
    <xf numFmtId="0" fontId="0" fillId="0" borderId="1" xfId="0" applyBorder="1" applyAlignment="1">
      <alignment vertical="center"/>
    </xf>
    <xf numFmtId="0" fontId="42" fillId="0" borderId="1" xfId="0" applyFont="1" applyBorder="1" applyAlignment="1">
      <alignment vertical="center"/>
    </xf>
    <xf numFmtId="0" fontId="0" fillId="3" borderId="1" xfId="0" applyFill="1" applyBorder="1" applyAlignment="1">
      <alignment vertical="center"/>
    </xf>
    <xf numFmtId="4" fontId="11" fillId="3" borderId="1" xfId="0" applyNumberFormat="1" applyFont="1" applyFill="1" applyBorder="1" applyAlignment="1">
      <alignment horizontal="center" vertical="center"/>
    </xf>
    <xf numFmtId="174" fontId="43" fillId="0" borderId="0" xfId="0" applyNumberFormat="1" applyFont="1"/>
    <xf numFmtId="0" fontId="43" fillId="0" borderId="0" xfId="0" applyFont="1"/>
    <xf numFmtId="0" fontId="44" fillId="0" borderId="0" xfId="0" applyFont="1"/>
    <xf numFmtId="3" fontId="43" fillId="0" borderId="0" xfId="0" applyNumberFormat="1" applyFont="1"/>
    <xf numFmtId="175" fontId="44" fillId="0" borderId="0" xfId="0" applyNumberFormat="1" applyFont="1"/>
    <xf numFmtId="174" fontId="44" fillId="14" borderId="32" xfId="3" applyNumberFormat="1" applyFont="1" applyFill="1" applyBorder="1"/>
    <xf numFmtId="176" fontId="44" fillId="14" borderId="32" xfId="3" applyNumberFormat="1" applyFont="1" applyFill="1" applyBorder="1"/>
    <xf numFmtId="3" fontId="44" fillId="14" borderId="32" xfId="4" applyNumberFormat="1" applyFont="1" applyFill="1" applyBorder="1"/>
    <xf numFmtId="176" fontId="43" fillId="0" borderId="0" xfId="3" applyNumberFormat="1" applyFont="1"/>
    <xf numFmtId="0" fontId="47" fillId="0" borderId="1" xfId="0" applyFont="1" applyBorder="1" applyAlignment="1">
      <alignment vertical="center"/>
    </xf>
    <xf numFmtId="0" fontId="40" fillId="5" borderId="1" xfId="0" applyFont="1" applyFill="1" applyBorder="1"/>
    <xf numFmtId="174" fontId="47" fillId="5" borderId="1" xfId="3" applyNumberFormat="1" applyFont="1" applyFill="1" applyBorder="1" applyAlignment="1">
      <alignment vertical="top" wrapText="1"/>
    </xf>
    <xf numFmtId="0" fontId="0" fillId="0" borderId="0" xfId="0" applyAlignment="1">
      <alignment horizontal="left"/>
    </xf>
    <xf numFmtId="164" fontId="0" fillId="0" borderId="0" xfId="0" applyNumberFormat="1"/>
    <xf numFmtId="168" fontId="6" fillId="5" borderId="0" xfId="1" applyNumberFormat="1" applyFont="1" applyFill="1" applyBorder="1"/>
    <xf numFmtId="0" fontId="51" fillId="0" borderId="0" xfId="0" applyFont="1"/>
    <xf numFmtId="3" fontId="51" fillId="0" borderId="0" xfId="0" applyNumberFormat="1" applyFont="1"/>
    <xf numFmtId="0" fontId="51" fillId="0" borderId="0" xfId="0" applyFont="1" applyAlignment="1">
      <alignment horizontal="center"/>
    </xf>
    <xf numFmtId="0" fontId="51" fillId="0" borderId="0" xfId="0" applyFont="1" applyAlignment="1">
      <alignment horizontal="right"/>
    </xf>
    <xf numFmtId="166" fontId="11" fillId="3" borderId="1" xfId="1" applyNumberFormat="1" applyFont="1" applyFill="1" applyBorder="1"/>
    <xf numFmtId="166" fontId="12" fillId="3" borderId="1" xfId="0" applyNumberFormat="1" applyFont="1" applyFill="1" applyBorder="1" applyAlignment="1">
      <alignment vertical="top" wrapText="1"/>
    </xf>
    <xf numFmtId="166" fontId="13" fillId="3" borderId="1" xfId="1" applyNumberFormat="1" applyFont="1" applyFill="1" applyBorder="1"/>
    <xf numFmtId="166" fontId="13" fillId="3" borderId="2" xfId="1" applyNumberFormat="1" applyFont="1" applyFill="1" applyBorder="1"/>
    <xf numFmtId="175" fontId="0" fillId="0" borderId="0" xfId="0" applyNumberFormat="1"/>
    <xf numFmtId="168" fontId="35" fillId="0" borderId="0" xfId="1" applyNumberFormat="1" applyFont="1" applyFill="1" applyBorder="1"/>
    <xf numFmtId="168" fontId="0" fillId="0" borderId="0" xfId="0" applyNumberFormat="1"/>
    <xf numFmtId="166" fontId="0" fillId="0" borderId="0" xfId="0" applyNumberFormat="1"/>
    <xf numFmtId="180" fontId="30" fillId="12" borderId="4" xfId="0" applyNumberFormat="1" applyFont="1" applyFill="1" applyBorder="1" applyAlignment="1">
      <alignment horizontal="center" vertical="center" wrapText="1"/>
    </xf>
    <xf numFmtId="180" fontId="0" fillId="0" borderId="0" xfId="0" applyNumberFormat="1"/>
    <xf numFmtId="3" fontId="0" fillId="5" borderId="1" xfId="0" applyNumberFormat="1" applyFill="1" applyBorder="1"/>
    <xf numFmtId="168" fontId="39" fillId="5" borderId="1" xfId="1" applyNumberFormat="1" applyFont="1" applyFill="1" applyBorder="1"/>
    <xf numFmtId="0" fontId="38" fillId="5" borderId="1" xfId="0" applyFont="1" applyFill="1" applyBorder="1" applyAlignment="1">
      <alignment horizontal="left"/>
    </xf>
    <xf numFmtId="0" fontId="34" fillId="0" borderId="9" xfId="0" applyFont="1" applyBorder="1"/>
    <xf numFmtId="172" fontId="39" fillId="5" borderId="9" xfId="0" applyNumberFormat="1" applyFont="1" applyFill="1" applyBorder="1"/>
    <xf numFmtId="173" fontId="0" fillId="0" borderId="0" xfId="0" applyNumberFormat="1"/>
    <xf numFmtId="0" fontId="0" fillId="0" borderId="0" xfId="0" pivotButton="1"/>
    <xf numFmtId="0" fontId="0" fillId="0" borderId="0" xfId="0" applyAlignment="1">
      <alignment horizontal="left" indent="1"/>
    </xf>
    <xf numFmtId="174" fontId="46" fillId="5" borderId="1" xfId="3" applyNumberFormat="1" applyFont="1" applyFill="1" applyBorder="1" applyAlignment="1">
      <alignment vertical="top" wrapText="1"/>
    </xf>
    <xf numFmtId="174" fontId="46" fillId="5" borderId="2" xfId="3" applyNumberFormat="1" applyFont="1" applyFill="1" applyBorder="1" applyAlignment="1">
      <alignment vertical="top" wrapText="1"/>
    </xf>
    <xf numFmtId="0" fontId="47" fillId="5" borderId="1" xfId="0" applyFont="1" applyFill="1" applyBorder="1" applyAlignment="1">
      <alignment vertical="center"/>
    </xf>
    <xf numFmtId="3" fontId="47" fillId="5" borderId="1" xfId="0" applyNumberFormat="1" applyFont="1" applyFill="1" applyBorder="1" applyAlignment="1">
      <alignment vertical="center"/>
    </xf>
    <xf numFmtId="0" fontId="47" fillId="5" borderId="0" xfId="0" applyFont="1" applyFill="1" applyAlignment="1">
      <alignment vertical="center"/>
    </xf>
    <xf numFmtId="174" fontId="47" fillId="5" borderId="0" xfId="3" applyNumberFormat="1" applyFont="1" applyFill="1" applyAlignment="1">
      <alignment vertical="top" wrapText="1"/>
    </xf>
    <xf numFmtId="175" fontId="50" fillId="5" borderId="34" xfId="4" applyNumberFormat="1" applyFont="1" applyFill="1" applyBorder="1" applyAlignment="1">
      <alignment horizontal="center" vertical="center"/>
    </xf>
    <xf numFmtId="0" fontId="47" fillId="5" borderId="1" xfId="0" applyFont="1" applyFill="1" applyBorder="1"/>
    <xf numFmtId="14" fontId="29" fillId="5" borderId="0" xfId="0" applyNumberFormat="1" applyFont="1" applyFill="1"/>
    <xf numFmtId="0" fontId="42" fillId="5" borderId="1" xfId="0" applyFont="1" applyFill="1" applyBorder="1"/>
    <xf numFmtId="3" fontId="47" fillId="5" borderId="1" xfId="0" applyNumberFormat="1" applyFont="1" applyFill="1" applyBorder="1"/>
    <xf numFmtId="175" fontId="50" fillId="5" borderId="1" xfId="4" applyNumberFormat="1" applyFont="1" applyFill="1" applyBorder="1"/>
    <xf numFmtId="178" fontId="47" fillId="5" borderId="1" xfId="3" applyNumberFormat="1" applyFont="1" applyFill="1" applyBorder="1" applyAlignment="1">
      <alignment vertical="top" wrapText="1"/>
    </xf>
    <xf numFmtId="0" fontId="47" fillId="5" borderId="0" xfId="0" applyFont="1" applyFill="1"/>
    <xf numFmtId="0" fontId="5" fillId="5" borderId="1" xfId="0" applyFont="1" applyFill="1" applyBorder="1"/>
    <xf numFmtId="174" fontId="47" fillId="5" borderId="0" xfId="0" applyNumberFormat="1" applyFont="1" applyFill="1"/>
    <xf numFmtId="0" fontId="50" fillId="5" borderId="0" xfId="0" applyFont="1" applyFill="1"/>
    <xf numFmtId="3" fontId="47" fillId="5" borderId="0" xfId="0" applyNumberFormat="1" applyFont="1" applyFill="1"/>
    <xf numFmtId="175" fontId="50" fillId="5" borderId="0" xfId="0" applyNumberFormat="1" applyFont="1" applyFill="1"/>
    <xf numFmtId="174" fontId="50" fillId="16" borderId="32" xfId="3" applyNumberFormat="1" applyFont="1" applyFill="1" applyBorder="1"/>
    <xf numFmtId="176" fontId="50" fillId="16" borderId="32" xfId="3" applyNumberFormat="1" applyFont="1" applyFill="1" applyBorder="1"/>
    <xf numFmtId="3" fontId="50" fillId="16" borderId="32" xfId="4" applyNumberFormat="1" applyFont="1" applyFill="1" applyBorder="1"/>
    <xf numFmtId="175" fontId="50" fillId="16" borderId="32" xfId="4" applyNumberFormat="1" applyFont="1" applyFill="1" applyBorder="1"/>
    <xf numFmtId="176" fontId="47" fillId="5" borderId="0" xfId="3" applyNumberFormat="1" applyFont="1" applyFill="1"/>
    <xf numFmtId="174" fontId="46" fillId="5" borderId="0" xfId="0" applyNumberFormat="1" applyFont="1" applyFill="1"/>
    <xf numFmtId="3" fontId="50" fillId="5" borderId="0" xfId="0" applyNumberFormat="1" applyFont="1" applyFill="1"/>
    <xf numFmtId="174" fontId="53" fillId="16" borderId="32" xfId="3" applyNumberFormat="1" applyFont="1" applyFill="1" applyBorder="1"/>
    <xf numFmtId="175" fontId="50" fillId="16" borderId="33" xfId="4" applyNumberFormat="1" applyFont="1" applyFill="1" applyBorder="1"/>
    <xf numFmtId="168" fontId="5" fillId="5" borderId="1" xfId="0" applyNumberFormat="1" applyFont="1" applyFill="1" applyBorder="1"/>
    <xf numFmtId="168" fontId="5" fillId="5" borderId="1" xfId="1" applyNumberFormat="1" applyFont="1" applyFill="1" applyBorder="1"/>
    <xf numFmtId="0" fontId="2" fillId="5" borderId="1" xfId="0" applyFont="1" applyFill="1" applyBorder="1"/>
    <xf numFmtId="175" fontId="47" fillId="5" borderId="1" xfId="5" applyNumberFormat="1" applyFont="1" applyFill="1" applyBorder="1" applyProtection="1"/>
    <xf numFmtId="0" fontId="5" fillId="5" borderId="0" xfId="0" applyFont="1" applyFill="1"/>
    <xf numFmtId="175" fontId="50" fillId="5" borderId="0" xfId="4" applyNumberFormat="1" applyFont="1" applyFill="1" applyBorder="1"/>
    <xf numFmtId="175" fontId="5" fillId="5" borderId="1" xfId="1" applyNumberFormat="1" applyFont="1" applyFill="1" applyBorder="1"/>
    <xf numFmtId="175" fontId="50" fillId="5" borderId="0" xfId="4" applyNumberFormat="1" applyFont="1" applyFill="1" applyBorder="1" applyAlignment="1">
      <alignment horizontal="center" vertical="center"/>
    </xf>
    <xf numFmtId="174" fontId="5" fillId="5" borderId="0" xfId="0" applyNumberFormat="1" applyFont="1" applyFill="1"/>
    <xf numFmtId="3" fontId="5" fillId="5" borderId="0" xfId="0" applyNumberFormat="1" applyFont="1" applyFill="1"/>
    <xf numFmtId="175" fontId="50" fillId="5" borderId="1" xfId="4" applyNumberFormat="1" applyFont="1" applyFill="1" applyBorder="1" applyAlignment="1">
      <alignment horizontal="center" vertical="center"/>
    </xf>
    <xf numFmtId="168" fontId="5" fillId="5" borderId="0" xfId="1" applyNumberFormat="1" applyFont="1" applyFill="1" applyBorder="1"/>
    <xf numFmtId="168" fontId="29" fillId="5" borderId="0" xfId="1" applyNumberFormat="1" applyFont="1" applyFill="1" applyBorder="1"/>
    <xf numFmtId="166" fontId="33" fillId="0" borderId="1" xfId="1" applyNumberFormat="1" applyFont="1" applyFill="1" applyBorder="1" applyAlignment="1">
      <alignment vertical="top" wrapText="1"/>
    </xf>
    <xf numFmtId="166" fontId="33" fillId="0" borderId="1" xfId="0" applyNumberFormat="1" applyFont="1" applyBorder="1" applyAlignment="1">
      <alignment vertical="top" wrapText="1"/>
    </xf>
    <xf numFmtId="0" fontId="55" fillId="0" borderId="1" xfId="0" applyFont="1" applyBorder="1" applyAlignment="1">
      <alignment vertical="center"/>
    </xf>
    <xf numFmtId="175" fontId="44" fillId="14" borderId="32" xfId="4" applyNumberFormat="1" applyFont="1" applyFill="1" applyBorder="1"/>
    <xf numFmtId="168" fontId="41" fillId="5" borderId="1" xfId="1" applyNumberFormat="1" applyFont="1" applyFill="1" applyBorder="1"/>
    <xf numFmtId="168" fontId="41" fillId="5" borderId="9" xfId="1" applyNumberFormat="1" applyFont="1" applyFill="1" applyBorder="1"/>
    <xf numFmtId="168" fontId="0" fillId="0" borderId="1" xfId="1" applyNumberFormat="1" applyFont="1" applyFill="1" applyBorder="1"/>
    <xf numFmtId="168" fontId="41" fillId="0" borderId="1" xfId="1" applyNumberFormat="1" applyFont="1" applyFill="1" applyBorder="1"/>
    <xf numFmtId="0" fontId="42" fillId="0" borderId="1" xfId="0" applyFont="1" applyBorder="1"/>
    <xf numFmtId="14" fontId="0" fillId="0" borderId="1" xfId="0" applyNumberFormat="1" applyBorder="1"/>
    <xf numFmtId="168" fontId="0" fillId="5" borderId="1" xfId="1" applyNumberFormat="1" applyFont="1" applyFill="1" applyBorder="1"/>
    <xf numFmtId="168" fontId="52" fillId="5" borderId="1" xfId="1" applyNumberFormat="1" applyFont="1" applyFill="1" applyBorder="1"/>
    <xf numFmtId="168" fontId="29" fillId="5" borderId="1" xfId="1" applyNumberFormat="1" applyFont="1" applyFill="1" applyBorder="1"/>
    <xf numFmtId="0" fontId="43" fillId="0" borderId="1" xfId="0" applyFont="1" applyBorder="1" applyAlignment="1">
      <alignment horizontal="left" vertical="center"/>
    </xf>
    <xf numFmtId="0" fontId="47" fillId="5" borderId="2" xfId="0" applyFont="1" applyFill="1" applyBorder="1"/>
    <xf numFmtId="4" fontId="11" fillId="5" borderId="1" xfId="0" applyNumberFormat="1" applyFont="1" applyFill="1" applyBorder="1" applyAlignment="1">
      <alignment horizontal="center" vertical="center"/>
    </xf>
    <xf numFmtId="166" fontId="11" fillId="5" borderId="1" xfId="1" applyNumberFormat="1" applyFont="1" applyFill="1" applyBorder="1"/>
    <xf numFmtId="166" fontId="12" fillId="5" borderId="1" xfId="0" applyNumberFormat="1" applyFont="1" applyFill="1" applyBorder="1" applyAlignment="1">
      <alignment vertical="top" wrapText="1"/>
    </xf>
    <xf numFmtId="166" fontId="13" fillId="5" borderId="1" xfId="1" applyNumberFormat="1" applyFont="1" applyFill="1" applyBorder="1"/>
    <xf numFmtId="166" fontId="13" fillId="5" borderId="2" xfId="1" applyNumberFormat="1" applyFont="1" applyFill="1" applyBorder="1"/>
    <xf numFmtId="0" fontId="0" fillId="5" borderId="1" xfId="0" applyFill="1" applyBorder="1" applyAlignment="1">
      <alignment vertical="center"/>
    </xf>
    <xf numFmtId="166" fontId="9" fillId="5" borderId="1" xfId="1" applyNumberFormat="1" applyFont="1" applyFill="1" applyBorder="1"/>
    <xf numFmtId="166" fontId="14" fillId="5" borderId="1" xfId="0" applyNumberFormat="1" applyFont="1" applyFill="1" applyBorder="1" applyAlignment="1">
      <alignment vertical="top" wrapText="1"/>
    </xf>
    <xf numFmtId="175" fontId="48" fillId="15" borderId="0" xfId="4" applyNumberFormat="1" applyFont="1" applyFill="1" applyBorder="1" applyAlignment="1">
      <alignment horizontal="right" vertical="center"/>
    </xf>
    <xf numFmtId="178" fontId="54" fillId="0" borderId="0" xfId="3" applyNumberFormat="1" applyFont="1" applyAlignment="1">
      <alignment vertical="top" wrapText="1"/>
    </xf>
    <xf numFmtId="0" fontId="34" fillId="5" borderId="9" xfId="0" applyFont="1" applyFill="1" applyBorder="1"/>
    <xf numFmtId="14" fontId="47" fillId="0" borderId="1" xfId="0" applyNumberFormat="1" applyFont="1" applyBorder="1" applyAlignment="1">
      <alignment vertical="center"/>
    </xf>
    <xf numFmtId="179" fontId="60" fillId="15" borderId="1" xfId="4" applyNumberFormat="1" applyFont="1" applyFill="1" applyBorder="1"/>
    <xf numFmtId="0" fontId="49" fillId="5" borderId="1" xfId="0" applyFont="1" applyFill="1" applyBorder="1"/>
    <xf numFmtId="168" fontId="42" fillId="5" borderId="1" xfId="1" applyNumberFormat="1" applyFont="1" applyFill="1" applyBorder="1"/>
    <xf numFmtId="168" fontId="49" fillId="5" borderId="1" xfId="1" applyNumberFormat="1" applyFont="1" applyFill="1" applyBorder="1" applyProtection="1"/>
    <xf numFmtId="168" fontId="42" fillId="0" borderId="1" xfId="1" applyNumberFormat="1" applyFont="1" applyBorder="1"/>
    <xf numFmtId="0" fontId="56" fillId="5" borderId="1" xfId="0" applyFont="1" applyFill="1" applyBorder="1"/>
    <xf numFmtId="0" fontId="61" fillId="5" borderId="1" xfId="0" applyFont="1" applyFill="1" applyBorder="1"/>
    <xf numFmtId="3" fontId="47" fillId="5" borderId="9" xfId="0" applyNumberFormat="1" applyFont="1" applyFill="1" applyBorder="1"/>
    <xf numFmtId="184" fontId="7" fillId="2" borderId="1" xfId="0" applyNumberFormat="1" applyFont="1" applyFill="1" applyBorder="1" applyAlignment="1">
      <alignment horizontal="center" vertical="center" wrapText="1"/>
    </xf>
    <xf numFmtId="14" fontId="63" fillId="0" borderId="1" xfId="3" applyNumberFormat="1" applyFont="1" applyBorder="1" applyAlignment="1">
      <alignment horizontal="right"/>
    </xf>
    <xf numFmtId="0" fontId="64" fillId="0" borderId="1" xfId="0" applyFont="1" applyBorder="1"/>
    <xf numFmtId="1" fontId="65" fillId="0" borderId="1" xfId="0" applyNumberFormat="1" applyFont="1" applyBorder="1" applyAlignment="1">
      <alignment wrapText="1"/>
    </xf>
    <xf numFmtId="166" fontId="64" fillId="0" borderId="1" xfId="0" applyNumberFormat="1" applyFont="1" applyBorder="1"/>
    <xf numFmtId="185" fontId="64" fillId="0" borderId="1" xfId="0" applyNumberFormat="1" applyFont="1" applyBorder="1" applyAlignment="1">
      <alignment horizontal="right"/>
    </xf>
    <xf numFmtId="0" fontId="64" fillId="0" borderId="1" xfId="0" applyFont="1" applyBorder="1" applyAlignment="1">
      <alignment horizontal="right"/>
    </xf>
    <xf numFmtId="0" fontId="64" fillId="0" borderId="1" xfId="0" applyFont="1" applyBorder="1" applyAlignment="1">
      <alignment horizontal="right" vertical="center"/>
    </xf>
    <xf numFmtId="1" fontId="65" fillId="0" borderId="1" xfId="0" applyNumberFormat="1" applyFont="1" applyBorder="1"/>
    <xf numFmtId="0" fontId="65" fillId="0" borderId="1" xfId="0" applyFont="1" applyBorder="1" applyAlignment="1">
      <alignment vertical="top" wrapText="1"/>
    </xf>
    <xf numFmtId="0" fontId="66" fillId="0" borderId="1" xfId="0" applyFont="1" applyBorder="1" applyAlignment="1">
      <alignment horizontal="right"/>
    </xf>
    <xf numFmtId="0" fontId="67" fillId="0" borderId="1" xfId="0" applyFont="1" applyBorder="1" applyAlignment="1">
      <alignment horizontal="right"/>
    </xf>
    <xf numFmtId="14" fontId="64" fillId="0" borderId="1" xfId="3" applyNumberFormat="1" applyFont="1" applyBorder="1" applyAlignment="1">
      <alignment horizontal="right"/>
    </xf>
    <xf numFmtId="166" fontId="64" fillId="0" borderId="1" xfId="0" applyNumberFormat="1" applyFont="1" applyBorder="1" applyAlignment="1">
      <alignment vertical="center"/>
    </xf>
    <xf numFmtId="185" fontId="64" fillId="0" borderId="1" xfId="0" applyNumberFormat="1" applyFont="1" applyBorder="1" applyAlignment="1">
      <alignment horizontal="right" vertical="center"/>
    </xf>
    <xf numFmtId="0" fontId="66" fillId="0" borderId="1" xfId="0" applyFont="1" applyBorder="1"/>
    <xf numFmtId="0" fontId="68" fillId="0" borderId="1" xfId="0" applyFont="1" applyBorder="1" applyAlignment="1">
      <alignment horizontal="right"/>
    </xf>
    <xf numFmtId="185" fontId="64" fillId="0" borderId="1" xfId="1" applyNumberFormat="1" applyFont="1" applyFill="1" applyBorder="1" applyAlignment="1">
      <alignment horizontal="right"/>
    </xf>
    <xf numFmtId="166" fontId="66" fillId="0" borderId="1" xfId="1" applyNumberFormat="1" applyFont="1" applyFill="1" applyBorder="1" applyAlignment="1"/>
    <xf numFmtId="49" fontId="64" fillId="0" borderId="1" xfId="0" applyNumberFormat="1" applyFont="1" applyBorder="1" applyAlignment="1">
      <alignment horizontal="right" vertical="top" wrapText="1"/>
    </xf>
    <xf numFmtId="14" fontId="69" fillId="0" borderId="1" xfId="3" applyNumberFormat="1" applyFont="1" applyBorder="1" applyAlignment="1">
      <alignment horizontal="right"/>
    </xf>
    <xf numFmtId="14" fontId="66" fillId="0" borderId="1" xfId="3" applyNumberFormat="1" applyFont="1" applyBorder="1" applyAlignment="1">
      <alignment horizontal="right"/>
    </xf>
    <xf numFmtId="49" fontId="64" fillId="3" borderId="1" xfId="0" applyNumberFormat="1" applyFont="1" applyFill="1" applyBorder="1" applyAlignment="1">
      <alignment horizontal="right" vertical="top" wrapText="1"/>
    </xf>
    <xf numFmtId="0" fontId="66" fillId="0" borderId="1" xfId="12" applyFont="1" applyBorder="1"/>
    <xf numFmtId="0" fontId="64" fillId="17" borderId="1" xfId="0" applyFont="1" applyFill="1" applyBorder="1" applyAlignment="1">
      <alignment horizontal="right"/>
    </xf>
    <xf numFmtId="178" fontId="63" fillId="0" borderId="1" xfId="3" applyNumberFormat="1" applyFont="1" applyBorder="1" applyAlignment="1">
      <alignment horizontal="right" vertical="top"/>
    </xf>
    <xf numFmtId="14" fontId="64" fillId="0" borderId="1" xfId="3" applyNumberFormat="1" applyFont="1" applyBorder="1" applyAlignment="1">
      <alignment horizontal="right" vertical="top" wrapText="1"/>
    </xf>
    <xf numFmtId="0" fontId="66" fillId="0" borderId="1" xfId="0" applyFont="1" applyBorder="1" applyAlignment="1">
      <alignment horizontal="left" vertical="center"/>
    </xf>
    <xf numFmtId="0" fontId="64" fillId="17" borderId="1" xfId="0" applyFont="1" applyFill="1" applyBorder="1"/>
    <xf numFmtId="14" fontId="66" fillId="0" borderId="1" xfId="3" applyNumberFormat="1" applyFont="1" applyBorder="1" applyAlignment="1">
      <alignment horizontal="right" vertical="top" wrapText="1"/>
    </xf>
    <xf numFmtId="0" fontId="64" fillId="0" borderId="0" xfId="0" applyFont="1"/>
    <xf numFmtId="184" fontId="63" fillId="0" borderId="1" xfId="3" applyNumberFormat="1" applyFont="1" applyBorder="1"/>
    <xf numFmtId="3" fontId="64" fillId="0" borderId="1" xfId="0" applyNumberFormat="1" applyFont="1" applyBorder="1"/>
    <xf numFmtId="1" fontId="64" fillId="0" borderId="1" xfId="0" applyNumberFormat="1" applyFont="1" applyBorder="1"/>
    <xf numFmtId="173" fontId="64" fillId="0" borderId="1" xfId="0" applyNumberFormat="1" applyFont="1" applyBorder="1"/>
    <xf numFmtId="0" fontId="64" fillId="0" borderId="2" xfId="0" applyFont="1" applyBorder="1"/>
    <xf numFmtId="184" fontId="64" fillId="0" borderId="1" xfId="3" applyNumberFormat="1" applyFont="1" applyBorder="1"/>
    <xf numFmtId="3" fontId="64" fillId="0" borderId="1" xfId="0" applyNumberFormat="1" applyFont="1" applyBorder="1" applyAlignment="1">
      <alignment vertical="center"/>
    </xf>
    <xf numFmtId="1" fontId="64" fillId="0" borderId="1" xfId="0" applyNumberFormat="1" applyFont="1" applyBorder="1" applyAlignment="1">
      <alignment vertical="center"/>
    </xf>
    <xf numFmtId="0" fontId="64" fillId="0" borderId="1" xfId="0" applyFont="1" applyBorder="1" applyAlignment="1">
      <alignment vertical="center"/>
    </xf>
    <xf numFmtId="183" fontId="64" fillId="0" borderId="1" xfId="0" applyNumberFormat="1" applyFont="1" applyBorder="1"/>
    <xf numFmtId="0" fontId="64" fillId="5" borderId="1" xfId="0" applyFont="1" applyFill="1" applyBorder="1"/>
    <xf numFmtId="0" fontId="64" fillId="3" borderId="1" xfId="0" applyFont="1" applyFill="1" applyBorder="1"/>
    <xf numFmtId="168" fontId="64" fillId="0" borderId="2" xfId="1" applyNumberFormat="1" applyFont="1" applyBorder="1"/>
    <xf numFmtId="168" fontId="64" fillId="0" borderId="1" xfId="1" applyNumberFormat="1" applyFont="1" applyBorder="1"/>
    <xf numFmtId="182" fontId="64" fillId="0" borderId="1" xfId="0" applyNumberFormat="1" applyFont="1" applyBorder="1"/>
    <xf numFmtId="181" fontId="64" fillId="5" borderId="1" xfId="1" applyNumberFormat="1" applyFont="1" applyFill="1" applyBorder="1"/>
    <xf numFmtId="0" fontId="32" fillId="13" borderId="30" xfId="0" applyFont="1" applyFill="1" applyBorder="1" applyAlignment="1">
      <alignment vertical="top" wrapText="1"/>
    </xf>
    <xf numFmtId="49" fontId="31" fillId="18" borderId="1" xfId="0" applyNumberFormat="1" applyFont="1" applyFill="1" applyBorder="1" applyAlignment="1">
      <alignment vertical="top" wrapText="1"/>
    </xf>
    <xf numFmtId="166" fontId="31" fillId="18" borderId="1" xfId="0" applyNumberFormat="1" applyFont="1" applyFill="1" applyBorder="1" applyAlignment="1">
      <alignment vertical="top" wrapText="1"/>
    </xf>
    <xf numFmtId="166" fontId="31" fillId="18" borderId="1" xfId="0" applyNumberFormat="1" applyFont="1" applyFill="1" applyBorder="1" applyAlignment="1">
      <alignment vertical="center" wrapText="1"/>
    </xf>
    <xf numFmtId="166" fontId="31" fillId="18" borderId="1" xfId="1" applyNumberFormat="1" applyFont="1" applyFill="1" applyBorder="1" applyAlignment="1">
      <alignment vertical="top" wrapText="1"/>
    </xf>
    <xf numFmtId="0" fontId="57" fillId="5" borderId="1" xfId="0" applyFont="1" applyFill="1" applyBorder="1"/>
    <xf numFmtId="0" fontId="58" fillId="5" borderId="1" xfId="3" applyFont="1" applyFill="1" applyBorder="1"/>
    <xf numFmtId="0" fontId="59" fillId="5" borderId="1" xfId="3" applyFont="1" applyFill="1" applyBorder="1"/>
    <xf numFmtId="179" fontId="59" fillId="5" borderId="1" xfId="4" applyNumberFormat="1" applyFont="1" applyFill="1" applyBorder="1" applyAlignment="1">
      <alignment horizontal="right" vertical="top" wrapText="1"/>
    </xf>
    <xf numFmtId="178" fontId="59" fillId="5" borderId="1" xfId="3" applyNumberFormat="1" applyFont="1" applyFill="1" applyBorder="1" applyAlignment="1">
      <alignment vertical="top" wrapText="1"/>
    </xf>
    <xf numFmtId="178" fontId="59" fillId="5" borderId="1" xfId="3" applyNumberFormat="1" applyFont="1" applyFill="1" applyBorder="1" applyAlignment="1">
      <alignment vertical="top"/>
    </xf>
    <xf numFmtId="175" fontId="44" fillId="5" borderId="1" xfId="4" applyNumberFormat="1" applyFont="1" applyFill="1" applyBorder="1"/>
    <xf numFmtId="175" fontId="44" fillId="5" borderId="0" xfId="4" applyNumberFormat="1" applyFont="1" applyFill="1" applyBorder="1"/>
    <xf numFmtId="0" fontId="47" fillId="5" borderId="0" xfId="0" applyFont="1" applyFill="1" applyBorder="1"/>
    <xf numFmtId="0" fontId="70" fillId="5" borderId="1" xfId="0" applyFont="1" applyFill="1" applyBorder="1" applyAlignment="1">
      <alignment vertical="center"/>
    </xf>
    <xf numFmtId="3" fontId="50" fillId="16" borderId="37" xfId="4" applyNumberFormat="1" applyFont="1" applyFill="1" applyBorder="1"/>
    <xf numFmtId="175" fontId="50" fillId="16" borderId="38" xfId="4" applyNumberFormat="1" applyFont="1" applyFill="1" applyBorder="1"/>
    <xf numFmtId="3" fontId="50" fillId="16" borderId="1" xfId="4" applyNumberFormat="1" applyFont="1" applyFill="1" applyBorder="1"/>
    <xf numFmtId="1" fontId="47" fillId="5" borderId="1" xfId="0" applyNumberFormat="1" applyFont="1" applyFill="1" applyBorder="1" applyAlignment="1">
      <alignment vertical="center"/>
    </xf>
    <xf numFmtId="173" fontId="47" fillId="5" borderId="1" xfId="0" applyNumberFormat="1" applyFont="1" applyFill="1" applyBorder="1" applyAlignment="1">
      <alignment vertical="center"/>
    </xf>
    <xf numFmtId="0" fontId="0" fillId="0" borderId="0" xfId="0" applyNumberFormat="1"/>
    <xf numFmtId="171" fontId="37" fillId="0" borderId="1" xfId="3" applyNumberFormat="1" applyFont="1" applyBorder="1" applyAlignment="1"/>
    <xf numFmtId="3" fontId="0" fillId="3" borderId="1" xfId="0" applyNumberFormat="1" applyFill="1" applyBorder="1"/>
    <xf numFmtId="168" fontId="62" fillId="5" borderId="1" xfId="1" applyNumberFormat="1" applyFont="1" applyFill="1" applyBorder="1"/>
    <xf numFmtId="168" fontId="34" fillId="5" borderId="1" xfId="1" applyNumberFormat="1" applyFont="1" applyFill="1" applyBorder="1"/>
    <xf numFmtId="0" fontId="43" fillId="5" borderId="1" xfId="0" applyFont="1" applyFill="1" applyBorder="1" applyAlignment="1">
      <alignment horizontal="left" vertical="center"/>
    </xf>
    <xf numFmtId="0" fontId="47" fillId="0" borderId="1" xfId="0" applyFont="1" applyBorder="1"/>
    <xf numFmtId="0" fontId="43" fillId="5" borderId="1" xfId="0" applyFont="1" applyFill="1" applyBorder="1" applyAlignment="1">
      <alignment horizontal="left"/>
    </xf>
    <xf numFmtId="0" fontId="47" fillId="5" borderId="1" xfId="0" applyFont="1" applyFill="1" applyBorder="1" applyAlignment="1">
      <alignment horizontal="left" vertical="center"/>
    </xf>
    <xf numFmtId="14" fontId="42" fillId="0" borderId="1" xfId="0" applyNumberFormat="1" applyFont="1" applyBorder="1"/>
    <xf numFmtId="0" fontId="72" fillId="0" borderId="0" xfId="0" applyFont="1"/>
    <xf numFmtId="168" fontId="43" fillId="5" borderId="1" xfId="1" applyNumberFormat="1" applyFont="1" applyFill="1" applyBorder="1"/>
    <xf numFmtId="0" fontId="0" fillId="5" borderId="0" xfId="0" applyFill="1"/>
    <xf numFmtId="14" fontId="73" fillId="5" borderId="1" xfId="3" applyNumberFormat="1" applyFont="1" applyFill="1" applyBorder="1" applyAlignment="1">
      <alignment horizontal="right"/>
    </xf>
    <xf numFmtId="0" fontId="72" fillId="5" borderId="1" xfId="0" applyFont="1" applyFill="1" applyBorder="1"/>
    <xf numFmtId="172" fontId="47" fillId="5" borderId="1" xfId="0" applyNumberFormat="1" applyFont="1" applyFill="1" applyBorder="1"/>
    <xf numFmtId="0" fontId="55" fillId="5" borderId="1" xfId="0" applyFont="1" applyFill="1" applyBorder="1" applyAlignment="1">
      <alignment vertical="center"/>
    </xf>
    <xf numFmtId="0" fontId="72" fillId="5" borderId="1" xfId="0" applyFont="1" applyFill="1" applyBorder="1" applyAlignment="1">
      <alignment vertical="center"/>
    </xf>
    <xf numFmtId="0" fontId="56" fillId="5" borderId="1" xfId="0" applyFont="1" applyFill="1" applyBorder="1" applyAlignment="1">
      <alignment vertical="center"/>
    </xf>
    <xf numFmtId="3" fontId="72" fillId="5" borderId="1" xfId="0" applyNumberFormat="1" applyFont="1" applyFill="1" applyBorder="1"/>
    <xf numFmtId="172" fontId="43" fillId="5" borderId="1" xfId="0" applyNumberFormat="1" applyFont="1" applyFill="1" applyBorder="1"/>
    <xf numFmtId="172" fontId="47" fillId="5" borderId="1" xfId="0" applyNumberFormat="1" applyFont="1" applyFill="1" applyBorder="1" applyAlignment="1">
      <alignment vertical="top"/>
    </xf>
    <xf numFmtId="168" fontId="72" fillId="5" borderId="1" xfId="1" applyNumberFormat="1" applyFont="1" applyFill="1" applyBorder="1"/>
    <xf numFmtId="186" fontId="72" fillId="5" borderId="1" xfId="0" applyNumberFormat="1" applyFont="1" applyFill="1" applyBorder="1"/>
    <xf numFmtId="0" fontId="62" fillId="5" borderId="1" xfId="0" applyFont="1" applyFill="1" applyBorder="1"/>
    <xf numFmtId="167" fontId="72" fillId="5" borderId="1" xfId="0" applyNumberFormat="1" applyFont="1" applyFill="1" applyBorder="1"/>
    <xf numFmtId="0" fontId="64" fillId="5" borderId="0" xfId="0" applyFont="1" applyFill="1"/>
    <xf numFmtId="0" fontId="74" fillId="5" borderId="1" xfId="0" applyFont="1" applyFill="1" applyBorder="1"/>
    <xf numFmtId="14" fontId="47" fillId="5" borderId="1" xfId="0" applyNumberFormat="1" applyFont="1" applyFill="1" applyBorder="1" applyAlignment="1">
      <alignment vertical="center"/>
    </xf>
    <xf numFmtId="14" fontId="42" fillId="5" borderId="1" xfId="0" applyNumberFormat="1" applyFont="1" applyFill="1" applyBorder="1"/>
    <xf numFmtId="0" fontId="76" fillId="0" borderId="1" xfId="0" applyFont="1" applyBorder="1"/>
    <xf numFmtId="0" fontId="75" fillId="0" borderId="1" xfId="0" applyFont="1" applyBorder="1"/>
    <xf numFmtId="175" fontId="50" fillId="5" borderId="9" xfId="4" applyNumberFormat="1" applyFont="1" applyFill="1" applyBorder="1" applyAlignment="1">
      <alignment horizontal="center" vertical="center"/>
    </xf>
    <xf numFmtId="0" fontId="49" fillId="0" borderId="1" xfId="0" applyFont="1" applyBorder="1"/>
    <xf numFmtId="171" fontId="37" fillId="0" borderId="1" xfId="3" applyNumberFormat="1" applyFont="1" applyBorder="1"/>
    <xf numFmtId="171" fontId="37" fillId="5" borderId="1" xfId="3" applyNumberFormat="1" applyFont="1" applyFill="1" applyBorder="1"/>
    <xf numFmtId="168" fontId="35" fillId="5" borderId="1" xfId="1" applyNumberFormat="1" applyFont="1" applyFill="1" applyBorder="1"/>
    <xf numFmtId="172" fontId="38" fillId="5" borderId="1" xfId="0" applyNumberFormat="1" applyFont="1" applyFill="1" applyBorder="1"/>
    <xf numFmtId="168" fontId="47" fillId="5" borderId="1" xfId="1" applyNumberFormat="1" applyFont="1" applyFill="1" applyBorder="1"/>
    <xf numFmtId="14" fontId="58" fillId="0" borderId="1" xfId="0" applyNumberFormat="1" applyFont="1" applyBorder="1" applyAlignment="1">
      <alignment horizontal="right"/>
    </xf>
    <xf numFmtId="14" fontId="58" fillId="0" borderId="1" xfId="0" applyNumberFormat="1" applyFont="1" applyBorder="1"/>
    <xf numFmtId="14" fontId="58" fillId="3" borderId="1" xfId="0" applyNumberFormat="1" applyFont="1" applyFill="1" applyBorder="1"/>
    <xf numFmtId="14" fontId="43" fillId="0" borderId="1" xfId="0" applyNumberFormat="1" applyFont="1" applyBorder="1" applyAlignment="1">
      <alignment vertical="center"/>
    </xf>
    <xf numFmtId="14" fontId="58" fillId="5" borderId="1" xfId="0" applyNumberFormat="1" applyFont="1" applyFill="1" applyBorder="1" applyAlignment="1">
      <alignment horizontal="right" vertical="center"/>
    </xf>
    <xf numFmtId="14" fontId="47" fillId="0" borderId="1" xfId="0" applyNumberFormat="1" applyFont="1" applyBorder="1"/>
    <xf numFmtId="14" fontId="43" fillId="3" borderId="1" xfId="0" applyNumberFormat="1" applyFont="1" applyFill="1" applyBorder="1" applyAlignment="1">
      <alignment vertical="center"/>
    </xf>
    <xf numFmtId="14" fontId="47" fillId="5" borderId="1" xfId="0" applyNumberFormat="1" applyFont="1" applyFill="1" applyBorder="1" applyAlignment="1">
      <alignment horizontal="right"/>
    </xf>
    <xf numFmtId="14" fontId="47" fillId="5" borderId="1" xfId="0" applyNumberFormat="1" applyFont="1" applyFill="1" applyBorder="1"/>
    <xf numFmtId="14" fontId="47" fillId="3" borderId="1" xfId="0" applyNumberFormat="1" applyFont="1" applyFill="1" applyBorder="1"/>
    <xf numFmtId="14" fontId="50" fillId="5" borderId="1" xfId="0" applyNumberFormat="1" applyFont="1" applyFill="1" applyBorder="1"/>
    <xf numFmtId="14" fontId="58" fillId="3" borderId="1" xfId="0" applyNumberFormat="1" applyFont="1" applyFill="1" applyBorder="1" applyAlignment="1">
      <alignment horizontal="right" vertical="center"/>
    </xf>
    <xf numFmtId="14" fontId="44" fillId="2" borderId="3" xfId="0" applyNumberFormat="1" applyFont="1" applyFill="1" applyBorder="1" applyAlignment="1">
      <alignment horizontal="center" vertical="center" wrapText="1"/>
    </xf>
    <xf numFmtId="14" fontId="50" fillId="3" borderId="1" xfId="0" applyNumberFormat="1" applyFont="1" applyFill="1" applyBorder="1"/>
    <xf numFmtId="14" fontId="71" fillId="0" borderId="1" xfId="3" applyNumberFormat="1" applyFont="1" applyBorder="1"/>
    <xf numFmtId="14" fontId="71" fillId="5" borderId="1" xfId="3" applyNumberFormat="1" applyFont="1" applyFill="1" applyBorder="1"/>
    <xf numFmtId="14" fontId="47" fillId="0" borderId="0" xfId="0" applyNumberFormat="1" applyFont="1"/>
    <xf numFmtId="0" fontId="47" fillId="5" borderId="3" xfId="0" applyFont="1" applyFill="1" applyBorder="1" applyAlignment="1">
      <alignment vertical="center"/>
    </xf>
    <xf numFmtId="0" fontId="47" fillId="5" borderId="9" xfId="0" applyFont="1" applyFill="1" applyBorder="1" applyAlignment="1">
      <alignment vertical="center"/>
    </xf>
    <xf numFmtId="0" fontId="0" fillId="5" borderId="0" xfId="0" applyFill="1" applyBorder="1"/>
    <xf numFmtId="0" fontId="40" fillId="5" borderId="0" xfId="0" applyFont="1" applyFill="1" applyBorder="1"/>
    <xf numFmtId="168" fontId="34" fillId="5" borderId="0" xfId="1" applyNumberFormat="1" applyFont="1" applyFill="1" applyBorder="1"/>
    <xf numFmtId="41" fontId="0" fillId="0" borderId="1" xfId="11" applyFont="1" applyBorder="1"/>
    <xf numFmtId="186" fontId="47" fillId="5" borderId="1" xfId="0" applyNumberFormat="1" applyFont="1" applyFill="1" applyBorder="1"/>
    <xf numFmtId="0" fontId="43" fillId="5" borderId="1" xfId="0" applyFont="1" applyFill="1" applyBorder="1" applyAlignment="1">
      <alignment vertical="center"/>
    </xf>
    <xf numFmtId="0" fontId="58" fillId="5" borderId="1" xfId="0" applyFont="1" applyFill="1" applyBorder="1"/>
    <xf numFmtId="0" fontId="43" fillId="5" borderId="3" xfId="0" applyFont="1" applyFill="1" applyBorder="1" applyAlignment="1">
      <alignment vertical="center"/>
    </xf>
    <xf numFmtId="0" fontId="47" fillId="5" borderId="9" xfId="0" applyFont="1" applyFill="1" applyBorder="1"/>
    <xf numFmtId="0" fontId="50" fillId="5" borderId="1" xfId="0" applyFont="1" applyFill="1" applyBorder="1"/>
    <xf numFmtId="172" fontId="43" fillId="5" borderId="3" xfId="0" applyNumberFormat="1" applyFont="1" applyFill="1" applyBorder="1"/>
    <xf numFmtId="0" fontId="47" fillId="5" borderId="3" xfId="0" applyFont="1" applyFill="1" applyBorder="1"/>
    <xf numFmtId="168" fontId="43" fillId="5" borderId="3" xfId="1" applyNumberFormat="1" applyFont="1" applyFill="1" applyBorder="1"/>
    <xf numFmtId="178" fontId="58" fillId="5" borderId="1" xfId="3" applyNumberFormat="1" applyFont="1" applyFill="1" applyBorder="1" applyAlignment="1">
      <alignment vertical="top" wrapText="1"/>
    </xf>
    <xf numFmtId="178" fontId="58" fillId="5" borderId="1" xfId="3" applyNumberFormat="1" applyFont="1" applyFill="1" applyBorder="1" applyAlignment="1">
      <alignment vertical="top"/>
    </xf>
    <xf numFmtId="41" fontId="43" fillId="5" borderId="1" xfId="11" applyFont="1" applyFill="1" applyBorder="1" applyAlignment="1">
      <alignment vertical="center"/>
    </xf>
    <xf numFmtId="41" fontId="47" fillId="5" borderId="1" xfId="11" applyFont="1" applyFill="1" applyBorder="1" applyAlignment="1">
      <alignment vertical="center"/>
    </xf>
    <xf numFmtId="0" fontId="58" fillId="5" borderId="3" xfId="0" applyFont="1" applyFill="1" applyBorder="1"/>
    <xf numFmtId="0" fontId="58" fillId="5" borderId="3" xfId="3" applyFont="1" applyFill="1" applyBorder="1"/>
    <xf numFmtId="178" fontId="58" fillId="5" borderId="9" xfId="3" applyNumberFormat="1" applyFont="1" applyFill="1" applyBorder="1" applyAlignment="1">
      <alignment vertical="top"/>
    </xf>
    <xf numFmtId="0" fontId="43" fillId="5" borderId="9" xfId="0" applyFont="1" applyFill="1" applyBorder="1" applyAlignment="1">
      <alignment vertical="center"/>
    </xf>
    <xf numFmtId="0" fontId="58" fillId="5" borderId="9" xfId="0" applyFont="1" applyFill="1" applyBorder="1"/>
    <xf numFmtId="168" fontId="47" fillId="5" borderId="9" xfId="1" applyNumberFormat="1" applyFont="1" applyFill="1" applyBorder="1"/>
    <xf numFmtId="0" fontId="77" fillId="2" borderId="3" xfId="0" applyFont="1" applyFill="1" applyBorder="1" applyAlignment="1">
      <alignment horizontal="left" vertical="center" wrapText="1"/>
    </xf>
    <xf numFmtId="0" fontId="72" fillId="0" borderId="1" xfId="0" applyFont="1" applyBorder="1"/>
    <xf numFmtId="4" fontId="77" fillId="2" borderId="3" xfId="0" applyNumberFormat="1" applyFont="1" applyFill="1" applyBorder="1" applyAlignment="1">
      <alignment horizontal="right" vertical="center" wrapText="1"/>
    </xf>
    <xf numFmtId="0" fontId="77" fillId="2" borderId="3" xfId="0" applyFont="1" applyFill="1" applyBorder="1" applyAlignment="1">
      <alignment horizontal="center" vertical="center" wrapText="1"/>
    </xf>
    <xf numFmtId="3" fontId="77" fillId="2" borderId="3" xfId="0" applyNumberFormat="1" applyFont="1" applyFill="1" applyBorder="1" applyAlignment="1">
      <alignment vertical="center" wrapText="1"/>
    </xf>
    <xf numFmtId="0" fontId="72" fillId="5" borderId="0" xfId="0" applyFont="1" applyFill="1"/>
    <xf numFmtId="0" fontId="76" fillId="5" borderId="1" xfId="0" applyFont="1" applyFill="1" applyBorder="1"/>
    <xf numFmtId="0" fontId="75" fillId="5" borderId="1" xfId="0" applyFont="1" applyFill="1" applyBorder="1"/>
    <xf numFmtId="14" fontId="75" fillId="0" borderId="1" xfId="0" applyNumberFormat="1" applyFont="1" applyBorder="1"/>
    <xf numFmtId="0" fontId="79" fillId="5" borderId="1" xfId="0" applyFont="1" applyFill="1" applyBorder="1"/>
    <xf numFmtId="0" fontId="79" fillId="0" borderId="1" xfId="0" applyFont="1" applyBorder="1"/>
    <xf numFmtId="14" fontId="49" fillId="5" borderId="1" xfId="0" applyNumberFormat="1" applyFont="1" applyFill="1" applyBorder="1" applyAlignment="1">
      <alignment horizontal="right" vertical="center"/>
    </xf>
    <xf numFmtId="0" fontId="49" fillId="0" borderId="1" xfId="3" applyFont="1" applyBorder="1"/>
    <xf numFmtId="1" fontId="56" fillId="5" borderId="1" xfId="0" applyNumberFormat="1" applyFont="1" applyFill="1" applyBorder="1" applyAlignment="1">
      <alignment vertical="center"/>
    </xf>
    <xf numFmtId="173" fontId="56" fillId="5" borderId="1" xfId="0" applyNumberFormat="1" applyFont="1" applyFill="1" applyBorder="1" applyAlignment="1">
      <alignment vertical="center"/>
    </xf>
    <xf numFmtId="178" fontId="49" fillId="0" borderId="1" xfId="3" applyNumberFormat="1" applyFont="1" applyBorder="1" applyAlignment="1">
      <alignment vertical="top" wrapText="1"/>
    </xf>
    <xf numFmtId="0" fontId="78" fillId="0" borderId="1" xfId="0" applyFont="1" applyBorder="1"/>
    <xf numFmtId="14" fontId="56" fillId="5" borderId="1" xfId="0" applyNumberFormat="1" applyFont="1" applyFill="1" applyBorder="1" applyAlignment="1">
      <alignment horizontal="right"/>
    </xf>
    <xf numFmtId="168" fontId="55" fillId="5" borderId="1" xfId="1" applyNumberFormat="1" applyFont="1" applyFill="1" applyBorder="1"/>
    <xf numFmtId="0" fontId="56" fillId="0" borderId="1" xfId="0" applyFont="1" applyBorder="1"/>
    <xf numFmtId="168" fontId="55" fillId="0" borderId="1" xfId="1" applyNumberFormat="1" applyFont="1" applyFill="1" applyBorder="1"/>
    <xf numFmtId="14" fontId="56" fillId="5" borderId="1" xfId="0" applyNumberFormat="1" applyFont="1" applyFill="1" applyBorder="1"/>
    <xf numFmtId="168" fontId="56" fillId="0" borderId="1" xfId="1" applyNumberFormat="1" applyFont="1" applyBorder="1"/>
    <xf numFmtId="14" fontId="56" fillId="5" borderId="1" xfId="0" applyNumberFormat="1" applyFont="1" applyFill="1" applyBorder="1" applyAlignment="1">
      <alignment vertical="center"/>
    </xf>
    <xf numFmtId="14" fontId="56" fillId="0" borderId="1" xfId="0" applyNumberFormat="1" applyFont="1" applyBorder="1" applyAlignment="1">
      <alignment vertical="center"/>
    </xf>
    <xf numFmtId="0" fontId="56" fillId="0" borderId="1" xfId="0" applyFont="1" applyBorder="1" applyAlignment="1">
      <alignment vertical="center"/>
    </xf>
    <xf numFmtId="14" fontId="56" fillId="0" borderId="1" xfId="0" applyNumberFormat="1" applyFont="1" applyBorder="1"/>
    <xf numFmtId="41" fontId="56" fillId="5" borderId="1" xfId="11" applyFont="1" applyFill="1" applyBorder="1"/>
    <xf numFmtId="168" fontId="56" fillId="5" borderId="1" xfId="1" applyNumberFormat="1" applyFont="1" applyFill="1" applyBorder="1"/>
    <xf numFmtId="0" fontId="78" fillId="5" borderId="1" xfId="0" applyFont="1" applyFill="1" applyBorder="1"/>
    <xf numFmtId="0" fontId="56" fillId="5" borderId="1" xfId="0" applyFont="1" applyFill="1" applyBorder="1" applyAlignment="1">
      <alignment horizontal="left" vertical="center"/>
    </xf>
    <xf numFmtId="14" fontId="55" fillId="0" borderId="1" xfId="0" applyNumberFormat="1" applyFont="1" applyBorder="1" applyAlignment="1">
      <alignment vertical="center"/>
    </xf>
    <xf numFmtId="168" fontId="56" fillId="0" borderId="1" xfId="1" applyNumberFormat="1" applyFont="1" applyFill="1" applyBorder="1"/>
    <xf numFmtId="168" fontId="55" fillId="5" borderId="1" xfId="1" applyNumberFormat="1" applyFont="1" applyFill="1" applyBorder="1" applyProtection="1"/>
    <xf numFmtId="0" fontId="55" fillId="0" borderId="1" xfId="0" applyFont="1" applyBorder="1" applyAlignment="1">
      <alignment horizontal="left"/>
    </xf>
    <xf numFmtId="0" fontId="56" fillId="0" borderId="9" xfId="0" applyFont="1" applyBorder="1"/>
    <xf numFmtId="172" fontId="56" fillId="5" borderId="1" xfId="0" applyNumberFormat="1" applyFont="1" applyFill="1" applyBorder="1"/>
    <xf numFmtId="0" fontId="55" fillId="5" borderId="1" xfId="0" applyFont="1" applyFill="1" applyBorder="1" applyAlignment="1">
      <alignment horizontal="left"/>
    </xf>
    <xf numFmtId="0" fontId="56" fillId="5" borderId="9" xfId="0" applyFont="1" applyFill="1" applyBorder="1"/>
    <xf numFmtId="172" fontId="55" fillId="5" borderId="1" xfId="0" applyNumberFormat="1" applyFont="1" applyFill="1" applyBorder="1"/>
    <xf numFmtId="0" fontId="56" fillId="0" borderId="9" xfId="0" applyFont="1" applyBorder="1" applyAlignment="1">
      <alignment vertical="center"/>
    </xf>
    <xf numFmtId="41" fontId="72" fillId="0" borderId="1" xfId="11" applyFont="1" applyBorder="1"/>
    <xf numFmtId="0" fontId="81" fillId="0" borderId="0" xfId="0" applyFont="1"/>
    <xf numFmtId="168" fontId="80" fillId="0" borderId="0" xfId="1" applyNumberFormat="1" applyFont="1" applyFill="1" applyBorder="1"/>
    <xf numFmtId="14" fontId="55" fillId="5" borderId="1" xfId="0" applyNumberFormat="1" applyFont="1" applyFill="1" applyBorder="1" applyAlignment="1">
      <alignment horizontal="right" vertical="center"/>
    </xf>
    <xf numFmtId="0" fontId="55" fillId="5" borderId="1" xfId="0" applyFont="1" applyFill="1" applyBorder="1"/>
    <xf numFmtId="0" fontId="62" fillId="0" borderId="1" xfId="0" applyFont="1" applyBorder="1"/>
    <xf numFmtId="168" fontId="29" fillId="5" borderId="9" xfId="1" applyNumberFormat="1" applyFont="1" applyFill="1" applyBorder="1"/>
    <xf numFmtId="0" fontId="34" fillId="5" borderId="1" xfId="0" applyFont="1" applyFill="1" applyBorder="1"/>
    <xf numFmtId="172" fontId="34" fillId="5" borderId="1" xfId="0" applyNumberFormat="1" applyFont="1" applyFill="1" applyBorder="1" applyAlignment="1">
      <alignment vertical="top"/>
    </xf>
    <xf numFmtId="168" fontId="35" fillId="0" borderId="9" xfId="1" applyNumberFormat="1" applyFont="1" applyFill="1" applyBorder="1"/>
    <xf numFmtId="0" fontId="34" fillId="4" borderId="1" xfId="0" applyFont="1" applyFill="1" applyBorder="1"/>
    <xf numFmtId="0" fontId="38" fillId="4" borderId="1" xfId="0" applyFont="1" applyFill="1" applyBorder="1" applyAlignment="1">
      <alignment horizontal="left"/>
    </xf>
    <xf numFmtId="172" fontId="39" fillId="4" borderId="1" xfId="0" applyNumberFormat="1" applyFont="1" applyFill="1" applyBorder="1"/>
    <xf numFmtId="0" fontId="0" fillId="3" borderId="0" xfId="0" applyFill="1"/>
    <xf numFmtId="0" fontId="72" fillId="5" borderId="0" xfId="0" applyFont="1" applyFill="1" applyBorder="1"/>
    <xf numFmtId="168" fontId="47" fillId="5" borderId="0" xfId="1" applyNumberFormat="1" applyFont="1" applyFill="1" applyBorder="1"/>
    <xf numFmtId="0" fontId="55" fillId="5" borderId="1" xfId="0" applyFont="1" applyFill="1" applyBorder="1" applyAlignment="1">
      <alignment horizontal="right" vertical="center"/>
    </xf>
    <xf numFmtId="0" fontId="55" fillId="5" borderId="9" xfId="0" applyFont="1" applyFill="1" applyBorder="1" applyAlignment="1">
      <alignment horizontal="right" vertical="center"/>
    </xf>
    <xf numFmtId="0" fontId="49" fillId="5" borderId="1" xfId="3" applyFont="1" applyFill="1" applyBorder="1"/>
    <xf numFmtId="178" fontId="49" fillId="5" borderId="1" xfId="3" applyNumberFormat="1" applyFont="1" applyFill="1" applyBorder="1" applyAlignment="1">
      <alignment vertical="top" wrapText="1"/>
    </xf>
    <xf numFmtId="0" fontId="83" fillId="5" borderId="1" xfId="0" applyFont="1" applyFill="1" applyBorder="1"/>
    <xf numFmtId="0" fontId="84" fillId="5" borderId="1" xfId="0" applyFont="1" applyFill="1" applyBorder="1"/>
    <xf numFmtId="168" fontId="56" fillId="5" borderId="1" xfId="1" applyNumberFormat="1" applyFont="1" applyFill="1" applyBorder="1" applyAlignment="1">
      <alignment horizontal="right"/>
    </xf>
    <xf numFmtId="0" fontId="49" fillId="5" borderId="1" xfId="0" applyFont="1" applyFill="1" applyBorder="1" applyAlignment="1">
      <alignment horizontal="right"/>
    </xf>
    <xf numFmtId="0" fontId="56" fillId="5" borderId="1" xfId="0" applyFont="1" applyFill="1" applyBorder="1" applyAlignment="1">
      <alignment horizontal="right" vertical="center"/>
    </xf>
    <xf numFmtId="0" fontId="56" fillId="5" borderId="1" xfId="0" applyFont="1" applyFill="1" applyBorder="1" applyAlignment="1">
      <alignment horizontal="right"/>
    </xf>
    <xf numFmtId="0" fontId="70" fillId="5" borderId="1" xfId="0" applyFont="1" applyFill="1" applyBorder="1"/>
    <xf numFmtId="0" fontId="55" fillId="5" borderId="1" xfId="0" applyFont="1" applyFill="1" applyBorder="1" applyAlignment="1">
      <alignment horizontal="right"/>
    </xf>
    <xf numFmtId="168" fontId="55" fillId="5" borderId="1" xfId="1" applyNumberFormat="1" applyFont="1" applyFill="1" applyBorder="1" applyAlignment="1">
      <alignment horizontal="right"/>
    </xf>
    <xf numFmtId="168" fontId="70" fillId="5" borderId="1" xfId="1" applyNumberFormat="1" applyFont="1" applyFill="1" applyBorder="1" applyAlignment="1">
      <alignment horizontal="right"/>
    </xf>
    <xf numFmtId="168" fontId="78" fillId="5" borderId="1" xfId="1" applyNumberFormat="1" applyFont="1" applyFill="1" applyBorder="1" applyAlignment="1">
      <alignment horizontal="right"/>
    </xf>
    <xf numFmtId="0" fontId="78" fillId="5" borderId="9" xfId="0" applyFont="1" applyFill="1" applyBorder="1"/>
    <xf numFmtId="168" fontId="56" fillId="5" borderId="9" xfId="1" applyNumberFormat="1" applyFont="1" applyFill="1" applyBorder="1" applyAlignment="1">
      <alignment horizontal="right"/>
    </xf>
    <xf numFmtId="168" fontId="55" fillId="5" borderId="9" xfId="1" applyNumberFormat="1" applyFont="1" applyFill="1" applyBorder="1" applyAlignment="1">
      <alignment horizontal="right"/>
    </xf>
    <xf numFmtId="14" fontId="0" fillId="5" borderId="1" xfId="0" applyNumberFormat="1" applyFill="1" applyBorder="1"/>
    <xf numFmtId="3" fontId="0" fillId="3" borderId="0" xfId="0" applyNumberFormat="1" applyFill="1"/>
    <xf numFmtId="0" fontId="78" fillId="5" borderId="1" xfId="0" applyFont="1" applyFill="1" applyBorder="1" applyAlignment="1">
      <alignment horizontal="right"/>
    </xf>
    <xf numFmtId="41" fontId="72" fillId="5" borderId="1" xfId="11" applyFont="1" applyFill="1" applyBorder="1"/>
    <xf numFmtId="168" fontId="56" fillId="5" borderId="1" xfId="1" applyNumberFormat="1" applyFont="1" applyFill="1" applyBorder="1" applyAlignment="1">
      <alignment horizontal="right" vertical="center"/>
    </xf>
    <xf numFmtId="0" fontId="70" fillId="5" borderId="9" xfId="0" applyFont="1" applyFill="1" applyBorder="1"/>
    <xf numFmtId="3" fontId="0" fillId="5" borderId="0" xfId="0" applyNumberFormat="1" applyFill="1"/>
    <xf numFmtId="0" fontId="77" fillId="5" borderId="3" xfId="0" applyFont="1" applyFill="1" applyBorder="1" applyAlignment="1">
      <alignment horizontal="center" vertical="center" wrapText="1"/>
    </xf>
    <xf numFmtId="14" fontId="42" fillId="5" borderId="1" xfId="0" applyNumberFormat="1" applyFont="1" applyFill="1" applyBorder="1" applyAlignment="1">
      <alignment horizontal="right"/>
    </xf>
    <xf numFmtId="0" fontId="57" fillId="0" borderId="1" xfId="0" applyFont="1" applyBorder="1"/>
    <xf numFmtId="0" fontId="59" fillId="0" borderId="1" xfId="3" applyFont="1" applyBorder="1"/>
    <xf numFmtId="41" fontId="57" fillId="0" borderId="1" xfId="11" applyFont="1" applyBorder="1"/>
    <xf numFmtId="41" fontId="57" fillId="0" borderId="1" xfId="11" applyFont="1" applyFill="1" applyBorder="1"/>
    <xf numFmtId="178" fontId="59" fillId="0" borderId="1" xfId="3" applyNumberFormat="1" applyFont="1" applyBorder="1" applyAlignment="1">
      <alignment vertical="top" wrapText="1"/>
    </xf>
    <xf numFmtId="41" fontId="55" fillId="0" borderId="1" xfId="11" applyFont="1" applyBorder="1" applyAlignment="1">
      <alignment vertical="center"/>
    </xf>
    <xf numFmtId="0" fontId="55" fillId="0" borderId="1" xfId="0" applyFont="1" applyBorder="1"/>
    <xf numFmtId="168" fontId="62" fillId="5" borderId="1" xfId="1" applyNumberFormat="1" applyFont="1" applyFill="1" applyBorder="1" applyProtection="1"/>
    <xf numFmtId="14" fontId="57" fillId="0" borderId="1" xfId="0" applyNumberFormat="1" applyFont="1" applyBorder="1"/>
    <xf numFmtId="168" fontId="42" fillId="0" borderId="1" xfId="1" applyNumberFormat="1" applyFont="1" applyFill="1" applyBorder="1"/>
    <xf numFmtId="168" fontId="62" fillId="0" borderId="1" xfId="1" applyNumberFormat="1" applyFont="1" applyFill="1" applyBorder="1"/>
    <xf numFmtId="168" fontId="42" fillId="0" borderId="0" xfId="1" applyNumberFormat="1" applyFont="1" applyBorder="1"/>
    <xf numFmtId="0" fontId="42" fillId="0" borderId="3" xfId="0" applyFont="1" applyBorder="1"/>
    <xf numFmtId="0" fontId="82" fillId="0" borderId="1" xfId="0" applyFont="1" applyBorder="1"/>
    <xf numFmtId="0" fontId="85" fillId="0" borderId="1" xfId="0" applyFont="1" applyBorder="1"/>
    <xf numFmtId="168" fontId="42" fillId="0" borderId="3" xfId="1" applyNumberFormat="1" applyFont="1" applyFill="1" applyBorder="1"/>
    <xf numFmtId="168" fontId="42" fillId="0" borderId="2" xfId="1" applyNumberFormat="1" applyFont="1" applyBorder="1"/>
    <xf numFmtId="168" fontId="42" fillId="0" borderId="4" xfId="1" applyNumberFormat="1" applyFont="1" applyFill="1" applyBorder="1"/>
    <xf numFmtId="168" fontId="42" fillId="0" borderId="9" xfId="1" applyNumberFormat="1" applyFont="1" applyFill="1" applyBorder="1"/>
    <xf numFmtId="0" fontId="49" fillId="20" borderId="1" xfId="0" applyFont="1" applyFill="1" applyBorder="1"/>
    <xf numFmtId="14" fontId="62" fillId="0" borderId="1" xfId="0" applyNumberFormat="1" applyFont="1" applyBorder="1"/>
    <xf numFmtId="168" fontId="62" fillId="0" borderId="1" xfId="1" applyNumberFormat="1" applyFont="1" applyBorder="1"/>
    <xf numFmtId="168" fontId="62" fillId="5" borderId="9" xfId="1" applyNumberFormat="1" applyFont="1" applyFill="1" applyBorder="1"/>
    <xf numFmtId="0" fontId="57" fillId="0" borderId="1" xfId="3" applyFont="1" applyBorder="1"/>
    <xf numFmtId="1" fontId="86" fillId="5" borderId="1" xfId="0" applyNumberFormat="1" applyFont="1" applyFill="1" applyBorder="1" applyAlignment="1">
      <alignment vertical="center"/>
    </xf>
    <xf numFmtId="173" fontId="86" fillId="5" borderId="1" xfId="0" applyNumberFormat="1" applyFont="1" applyFill="1" applyBorder="1" applyAlignment="1">
      <alignment vertical="center"/>
    </xf>
    <xf numFmtId="178" fontId="57" fillId="0" borderId="1" xfId="3" applyNumberFormat="1" applyFont="1" applyBorder="1" applyAlignment="1">
      <alignment vertical="top" wrapText="1"/>
    </xf>
    <xf numFmtId="0" fontId="86" fillId="5" borderId="1" xfId="0" applyFont="1" applyFill="1" applyBorder="1"/>
    <xf numFmtId="0" fontId="57" fillId="5" borderId="1" xfId="3" applyFont="1" applyFill="1" applyBorder="1"/>
    <xf numFmtId="14" fontId="87" fillId="5" borderId="1" xfId="0" applyNumberFormat="1" applyFont="1" applyFill="1" applyBorder="1" applyAlignment="1">
      <alignment vertical="center"/>
    </xf>
    <xf numFmtId="0" fontId="87" fillId="5" borderId="1" xfId="0" applyFont="1" applyFill="1" applyBorder="1" applyAlignment="1">
      <alignment vertical="center"/>
    </xf>
    <xf numFmtId="41" fontId="87" fillId="5" borderId="1" xfId="11" applyFont="1" applyFill="1" applyBorder="1" applyAlignment="1">
      <alignment vertical="center"/>
    </xf>
    <xf numFmtId="0" fontId="86" fillId="5" borderId="1" xfId="0" applyFont="1" applyFill="1" applyBorder="1" applyAlignment="1">
      <alignment vertical="center"/>
    </xf>
    <xf numFmtId="14" fontId="87" fillId="0" borderId="1" xfId="0" applyNumberFormat="1" applyFont="1" applyBorder="1" applyAlignment="1">
      <alignment vertical="center"/>
    </xf>
    <xf numFmtId="0" fontId="87" fillId="0" borderId="1" xfId="0" applyFont="1" applyBorder="1" applyAlignment="1">
      <alignment vertical="center"/>
    </xf>
    <xf numFmtId="41" fontId="87" fillId="0" borderId="1" xfId="11" applyFont="1" applyBorder="1" applyAlignment="1">
      <alignment vertical="center"/>
    </xf>
    <xf numFmtId="0" fontId="87" fillId="5" borderId="1" xfId="0" applyFont="1" applyFill="1" applyBorder="1"/>
    <xf numFmtId="14" fontId="86" fillId="5" borderId="1" xfId="0" applyNumberFormat="1" applyFont="1" applyFill="1" applyBorder="1"/>
    <xf numFmtId="0" fontId="87" fillId="0" borderId="1" xfId="0" applyFont="1" applyBorder="1"/>
    <xf numFmtId="14" fontId="86" fillId="5" borderId="1" xfId="0" applyNumberFormat="1" applyFont="1" applyFill="1" applyBorder="1" applyAlignment="1">
      <alignment horizontal="right"/>
    </xf>
    <xf numFmtId="168" fontId="87" fillId="5" borderId="1" xfId="1" applyNumberFormat="1" applyFont="1" applyFill="1" applyBorder="1"/>
    <xf numFmtId="0" fontId="86" fillId="0" borderId="1" xfId="0" applyFont="1" applyBorder="1"/>
    <xf numFmtId="168" fontId="87" fillId="0" borderId="1" xfId="1" applyNumberFormat="1" applyFont="1" applyFill="1" applyBorder="1"/>
    <xf numFmtId="168" fontId="86" fillId="0" borderId="1" xfId="1" applyNumberFormat="1" applyFont="1" applyBorder="1"/>
    <xf numFmtId="0" fontId="86" fillId="0" borderId="3" xfId="0" applyFont="1" applyBorder="1"/>
    <xf numFmtId="14" fontId="86" fillId="5" borderId="1" xfId="0" applyNumberFormat="1" applyFont="1" applyFill="1" applyBorder="1" applyAlignment="1">
      <alignment vertical="center"/>
    </xf>
    <xf numFmtId="14" fontId="86" fillId="0" borderId="1" xfId="0" applyNumberFormat="1" applyFont="1" applyBorder="1" applyAlignment="1">
      <alignment vertical="center"/>
    </xf>
    <xf numFmtId="0" fontId="86" fillId="0" borderId="1" xfId="0" applyFont="1" applyBorder="1" applyAlignment="1">
      <alignment vertical="center"/>
    </xf>
    <xf numFmtId="14" fontId="86" fillId="0" borderId="1" xfId="0" applyNumberFormat="1" applyFont="1" applyBorder="1"/>
    <xf numFmtId="168" fontId="86" fillId="0" borderId="3" xfId="1" applyNumberFormat="1" applyFont="1" applyFill="1" applyBorder="1"/>
    <xf numFmtId="168" fontId="86" fillId="0" borderId="1" xfId="1" applyNumberFormat="1" applyFont="1" applyFill="1" applyBorder="1"/>
    <xf numFmtId="14" fontId="57" fillId="5" borderId="1" xfId="0" applyNumberFormat="1" applyFont="1" applyFill="1" applyBorder="1" applyAlignment="1">
      <alignment horizontal="right" vertical="center"/>
    </xf>
    <xf numFmtId="168" fontId="86" fillId="5" borderId="1" xfId="1" applyNumberFormat="1" applyFont="1" applyFill="1" applyBorder="1"/>
    <xf numFmtId="14" fontId="87" fillId="5" borderId="1" xfId="0" applyNumberFormat="1" applyFont="1" applyFill="1" applyBorder="1"/>
    <xf numFmtId="14" fontId="87" fillId="0" borderId="1" xfId="0" applyNumberFormat="1" applyFont="1" applyBorder="1"/>
    <xf numFmtId="168" fontId="87" fillId="0" borderId="1" xfId="1" applyNumberFormat="1" applyFont="1" applyBorder="1"/>
    <xf numFmtId="168" fontId="87" fillId="5" borderId="9" xfId="1" applyNumberFormat="1" applyFont="1" applyFill="1" applyBorder="1"/>
    <xf numFmtId="0" fontId="0" fillId="0" borderId="9" xfId="0" applyBorder="1"/>
    <xf numFmtId="168" fontId="1" fillId="0" borderId="1" xfId="1" applyNumberFormat="1" applyFont="1" applyFill="1" applyBorder="1"/>
    <xf numFmtId="168" fontId="1" fillId="5" borderId="1" xfId="1" applyNumberFormat="1" applyFont="1" applyFill="1" applyBorder="1"/>
    <xf numFmtId="168" fontId="1" fillId="0" borderId="9" xfId="1" applyNumberFormat="1" applyFont="1" applyFill="1" applyBorder="1"/>
    <xf numFmtId="0" fontId="35" fillId="5" borderId="1" xfId="0" applyFont="1" applyFill="1" applyBorder="1" applyAlignment="1">
      <alignment horizontal="left"/>
    </xf>
    <xf numFmtId="0" fontId="35" fillId="0" borderId="1" xfId="0" applyFont="1" applyBorder="1" applyAlignment="1">
      <alignment horizontal="left"/>
    </xf>
    <xf numFmtId="14" fontId="88" fillId="0" borderId="1" xfId="3" applyNumberFormat="1" applyFont="1" applyBorder="1"/>
    <xf numFmtId="0" fontId="86" fillId="0" borderId="9" xfId="0" applyFont="1" applyBorder="1"/>
    <xf numFmtId="14" fontId="88" fillId="5" borderId="1" xfId="3" applyNumberFormat="1" applyFont="1" applyFill="1" applyBorder="1"/>
    <xf numFmtId="0" fontId="87" fillId="5" borderId="1" xfId="0" applyFont="1" applyFill="1" applyBorder="1" applyAlignment="1">
      <alignment horizontal="left"/>
    </xf>
    <xf numFmtId="0" fontId="86" fillId="5" borderId="9" xfId="0" applyFont="1" applyFill="1" applyBorder="1"/>
    <xf numFmtId="172" fontId="86" fillId="5" borderId="1" xfId="0" applyNumberFormat="1" applyFont="1" applyFill="1" applyBorder="1"/>
    <xf numFmtId="172" fontId="87" fillId="5" borderId="1" xfId="0" applyNumberFormat="1" applyFont="1" applyFill="1" applyBorder="1"/>
    <xf numFmtId="168" fontId="87" fillId="0" borderId="9" xfId="1" applyNumberFormat="1" applyFont="1" applyFill="1" applyBorder="1"/>
    <xf numFmtId="0" fontId="87" fillId="0" borderId="1" xfId="0" applyFont="1" applyBorder="1" applyAlignment="1">
      <alignment horizontal="left"/>
    </xf>
    <xf numFmtId="0" fontId="86" fillId="5" borderId="3" xfId="0" applyFont="1" applyFill="1" applyBorder="1"/>
    <xf numFmtId="0" fontId="57" fillId="5" borderId="9" xfId="0" applyFont="1" applyFill="1" applyBorder="1"/>
    <xf numFmtId="168" fontId="86" fillId="0" borderId="3" xfId="1" applyNumberFormat="1" applyFont="1" applyBorder="1"/>
    <xf numFmtId="168" fontId="87" fillId="5" borderId="3" xfId="1" applyNumberFormat="1" applyFont="1" applyFill="1" applyBorder="1"/>
    <xf numFmtId="168" fontId="86" fillId="5" borderId="9" xfId="1" applyNumberFormat="1" applyFont="1" applyFill="1" applyBorder="1"/>
    <xf numFmtId="168" fontId="86" fillId="0" borderId="9" xfId="1" applyNumberFormat="1" applyFont="1" applyBorder="1"/>
    <xf numFmtId="168" fontId="87" fillId="0" borderId="3" xfId="1" applyNumberFormat="1" applyFont="1" applyBorder="1"/>
    <xf numFmtId="41" fontId="57" fillId="0" borderId="3" xfId="11" applyFont="1" applyFill="1" applyBorder="1"/>
    <xf numFmtId="168" fontId="87" fillId="0" borderId="3" xfId="1" applyNumberFormat="1" applyFont="1" applyFill="1" applyBorder="1"/>
    <xf numFmtId="41" fontId="57" fillId="0" borderId="9" xfId="11" applyFont="1" applyBorder="1"/>
    <xf numFmtId="0" fontId="86" fillId="0" borderId="3" xfId="0" applyFont="1" applyBorder="1" applyAlignment="1">
      <alignment vertical="center"/>
    </xf>
    <xf numFmtId="0" fontId="86" fillId="0" borderId="9" xfId="0" applyFont="1" applyBorder="1" applyAlignment="1">
      <alignment vertical="center"/>
    </xf>
    <xf numFmtId="168" fontId="87" fillId="0" borderId="4" xfId="1" applyNumberFormat="1" applyFont="1" applyFill="1" applyBorder="1"/>
    <xf numFmtId="0" fontId="86" fillId="0" borderId="4" xfId="0" applyFont="1" applyBorder="1"/>
    <xf numFmtId="14" fontId="87" fillId="5" borderId="1" xfId="0" applyNumberFormat="1" applyFont="1" applyFill="1" applyBorder="1" applyAlignment="1">
      <alignment horizontal="right" vertical="center"/>
    </xf>
    <xf numFmtId="0" fontId="61" fillId="0" borderId="0" xfId="0" applyFont="1" applyAlignment="1">
      <alignment vertical="center"/>
    </xf>
    <xf numFmtId="0" fontId="42" fillId="0" borderId="0" xfId="0" applyFont="1" applyAlignment="1">
      <alignment vertical="center"/>
    </xf>
    <xf numFmtId="0" fontId="89" fillId="0" borderId="0" xfId="0" applyFont="1" applyAlignment="1">
      <alignment vertical="center"/>
    </xf>
    <xf numFmtId="0" fontId="89" fillId="0" borderId="0" xfId="0" applyFont="1" applyAlignment="1">
      <alignment horizontal="right" vertical="center"/>
    </xf>
    <xf numFmtId="17" fontId="89" fillId="0" borderId="0" xfId="0" applyNumberFormat="1" applyFont="1" applyAlignment="1">
      <alignment vertical="center"/>
    </xf>
    <xf numFmtId="17" fontId="89" fillId="0" borderId="0" xfId="0" applyNumberFormat="1" applyFont="1" applyAlignment="1">
      <alignment horizontal="left" vertical="center"/>
    </xf>
    <xf numFmtId="0" fontId="89" fillId="0" borderId="22" xfId="0" applyFont="1" applyBorder="1" applyAlignment="1">
      <alignment vertical="center"/>
    </xf>
    <xf numFmtId="0" fontId="61" fillId="11" borderId="6" xfId="0" applyFont="1" applyFill="1" applyBorder="1" applyAlignment="1">
      <alignment vertical="center"/>
    </xf>
    <xf numFmtId="0" fontId="61" fillId="11" borderId="7" xfId="0" applyFont="1" applyFill="1" applyBorder="1" applyAlignment="1">
      <alignment vertical="center"/>
    </xf>
    <xf numFmtId="0" fontId="61" fillId="11" borderId="25" xfId="0" applyFont="1" applyFill="1" applyBorder="1" applyAlignment="1">
      <alignment vertical="center"/>
    </xf>
    <xf numFmtId="0" fontId="61" fillId="11" borderId="40" xfId="0" applyFont="1" applyFill="1" applyBorder="1" applyAlignment="1">
      <alignment vertical="center"/>
    </xf>
    <xf numFmtId="0" fontId="61" fillId="11" borderId="36" xfId="0" applyFont="1" applyFill="1" applyBorder="1" applyAlignment="1">
      <alignment vertical="center"/>
    </xf>
    <xf numFmtId="0" fontId="89" fillId="11" borderId="27" xfId="0" applyFont="1" applyFill="1" applyBorder="1" applyAlignment="1">
      <alignment horizontal="center" vertical="center"/>
    </xf>
    <xf numFmtId="0" fontId="89" fillId="11" borderId="10" xfId="0" applyFont="1" applyFill="1" applyBorder="1" applyAlignment="1">
      <alignment horizontal="center" vertical="center"/>
    </xf>
    <xf numFmtId="0" fontId="89" fillId="11" borderId="1" xfId="0" applyFont="1" applyFill="1" applyBorder="1" applyAlignment="1">
      <alignment horizontal="center" vertical="center"/>
    </xf>
    <xf numFmtId="171" fontId="71" fillId="0" borderId="1" xfId="3" applyNumberFormat="1" applyFont="1" applyBorder="1" applyAlignment="1"/>
    <xf numFmtId="171" fontId="71" fillId="0" borderId="2" xfId="3" applyNumberFormat="1" applyFont="1" applyBorder="1" applyAlignment="1"/>
    <xf numFmtId="166" fontId="61" fillId="0" borderId="1" xfId="0" applyNumberFormat="1" applyFont="1" applyBorder="1"/>
    <xf numFmtId="168" fontId="43" fillId="0" borderId="1" xfId="1" applyNumberFormat="1" applyFont="1" applyFill="1" applyBorder="1"/>
    <xf numFmtId="171" fontId="71" fillId="0" borderId="1" xfId="3" applyNumberFormat="1" applyFont="1" applyBorder="1"/>
    <xf numFmtId="171" fontId="71" fillId="0" borderId="2" xfId="3" applyNumberFormat="1" applyFont="1" applyBorder="1"/>
    <xf numFmtId="168" fontId="47" fillId="0" borderId="1" xfId="1" applyNumberFormat="1" applyFont="1" applyBorder="1"/>
    <xf numFmtId="171" fontId="71" fillId="5" borderId="1" xfId="3" applyNumberFormat="1" applyFont="1" applyFill="1" applyBorder="1"/>
    <xf numFmtId="171" fontId="71" fillId="5" borderId="2" xfId="3" applyNumberFormat="1" applyFont="1" applyFill="1" applyBorder="1"/>
    <xf numFmtId="0" fontId="43" fillId="0" borderId="1" xfId="0" applyFont="1" applyBorder="1" applyAlignment="1">
      <alignment horizontal="left"/>
    </xf>
    <xf numFmtId="0" fontId="43" fillId="4" borderId="1" xfId="0" applyFont="1" applyFill="1" applyBorder="1" applyAlignment="1">
      <alignment horizontal="left"/>
    </xf>
    <xf numFmtId="0" fontId="47" fillId="5" borderId="2" xfId="0" applyFont="1" applyFill="1" applyBorder="1" applyAlignment="1">
      <alignment horizontal="left" vertical="center"/>
    </xf>
    <xf numFmtId="14" fontId="89" fillId="6" borderId="6" xfId="0" applyNumberFormat="1" applyFont="1" applyFill="1" applyBorder="1" applyAlignment="1">
      <alignment horizontal="left" vertical="center"/>
    </xf>
    <xf numFmtId="0" fontId="62" fillId="6" borderId="8" xfId="0" applyFont="1" applyFill="1" applyBorder="1" applyAlignment="1">
      <alignment vertical="center"/>
    </xf>
    <xf numFmtId="0" fontId="89" fillId="6" borderId="1" xfId="0" applyFont="1" applyFill="1" applyBorder="1" applyAlignment="1">
      <alignment vertical="center"/>
    </xf>
    <xf numFmtId="165" fontId="62" fillId="6" borderId="1" xfId="0" applyNumberFormat="1" applyFont="1" applyFill="1" applyBorder="1" applyAlignment="1">
      <alignment vertical="center"/>
    </xf>
    <xf numFmtId="0" fontId="62" fillId="6" borderId="1" xfId="0" applyFont="1" applyFill="1" applyBorder="1" applyAlignment="1">
      <alignment vertical="center"/>
    </xf>
    <xf numFmtId="0" fontId="42" fillId="0" borderId="30" xfId="0" applyFont="1" applyBorder="1" applyAlignment="1">
      <alignment vertical="center"/>
    </xf>
    <xf numFmtId="0" fontId="42" fillId="0" borderId="39" xfId="0" applyFont="1" applyBorder="1" applyAlignment="1">
      <alignment vertical="center"/>
    </xf>
    <xf numFmtId="3" fontId="62" fillId="0" borderId="1" xfId="0" applyNumberFormat="1" applyFont="1" applyBorder="1" applyAlignment="1">
      <alignment vertical="center"/>
    </xf>
    <xf numFmtId="0" fontId="62" fillId="0" borderId="0" xfId="0" applyFont="1" applyAlignment="1">
      <alignment vertical="center"/>
    </xf>
    <xf numFmtId="0" fontId="89" fillId="0" borderId="1" xfId="0" applyFont="1" applyBorder="1" applyAlignment="1">
      <alignment vertical="center"/>
    </xf>
    <xf numFmtId="0" fontId="62" fillId="0" borderId="1" xfId="0" applyFont="1" applyBorder="1" applyAlignment="1">
      <alignment vertical="center"/>
    </xf>
    <xf numFmtId="0" fontId="90" fillId="0" borderId="0" xfId="0" applyFont="1" applyAlignment="1">
      <alignment vertical="center"/>
    </xf>
    <xf numFmtId="0" fontId="91" fillId="0" borderId="1" xfId="0" applyFont="1" applyBorder="1" applyAlignment="1">
      <alignment horizontal="center" vertical="center"/>
    </xf>
    <xf numFmtId="0" fontId="92" fillId="0" borderId="1" xfId="0" applyFont="1" applyBorder="1" applyAlignment="1">
      <alignment vertical="center"/>
    </xf>
    <xf numFmtId="0" fontId="42" fillId="0" borderId="0" xfId="0" applyFont="1"/>
    <xf numFmtId="0" fontId="61" fillId="0" borderId="1" xfId="0" applyFont="1" applyBorder="1"/>
    <xf numFmtId="166" fontId="42" fillId="0" borderId="1" xfId="0" applyNumberFormat="1" applyFont="1" applyBorder="1"/>
    <xf numFmtId="17" fontId="61" fillId="0" borderId="1" xfId="0" applyNumberFormat="1" applyFont="1" applyBorder="1" applyAlignment="1">
      <alignment horizontal="center"/>
    </xf>
    <xf numFmtId="0" fontId="94" fillId="0" borderId="1" xfId="0" applyFont="1" applyBorder="1" applyAlignment="1">
      <alignment vertical="center"/>
    </xf>
    <xf numFmtId="14" fontId="42" fillId="0" borderId="0" xfId="0" applyNumberFormat="1" applyFont="1"/>
    <xf numFmtId="0" fontId="42" fillId="0" borderId="35" xfId="0" applyFont="1" applyBorder="1"/>
    <xf numFmtId="0" fontId="42" fillId="0" borderId="2" xfId="0" applyFont="1" applyBorder="1"/>
    <xf numFmtId="0" fontId="44" fillId="4" borderId="1" xfId="0" applyFont="1" applyFill="1" applyBorder="1" applyAlignment="1">
      <alignment horizontal="left"/>
    </xf>
    <xf numFmtId="166" fontId="43" fillId="19" borderId="1" xfId="1" applyNumberFormat="1" applyFont="1" applyFill="1" applyBorder="1"/>
    <xf numFmtId="0" fontId="47" fillId="0" borderId="2" xfId="0" applyFont="1" applyBorder="1" applyAlignment="1">
      <alignment horizontal="left" vertical="center"/>
    </xf>
    <xf numFmtId="168" fontId="47" fillId="0" borderId="1" xfId="1" applyNumberFormat="1" applyFont="1" applyFill="1" applyBorder="1"/>
    <xf numFmtId="0" fontId="42" fillId="0" borderId="2" xfId="0" applyFont="1" applyBorder="1" applyAlignment="1">
      <alignment horizontal="center"/>
    </xf>
    <xf numFmtId="14" fontId="42" fillId="0" borderId="29" xfId="0" applyNumberFormat="1" applyFont="1" applyBorder="1"/>
    <xf numFmtId="0" fontId="42" fillId="0" borderId="29" xfId="0" applyFont="1" applyBorder="1" applyAlignment="1">
      <alignment horizontal="center"/>
    </xf>
    <xf numFmtId="14" fontId="42" fillId="0" borderId="19" xfId="0" applyNumberFormat="1" applyFont="1" applyBorder="1"/>
    <xf numFmtId="0" fontId="42" fillId="0" borderId="19" xfId="0" applyFont="1" applyBorder="1"/>
    <xf numFmtId="14" fontId="61" fillId="0" borderId="6" xfId="0" applyNumberFormat="1" applyFont="1" applyBorder="1"/>
    <xf numFmtId="0" fontId="61" fillId="0" borderId="8" xfId="0" applyFont="1" applyBorder="1"/>
    <xf numFmtId="169" fontId="61" fillId="0" borderId="1" xfId="0" applyNumberFormat="1" applyFont="1" applyBorder="1"/>
    <xf numFmtId="166" fontId="61" fillId="0" borderId="1" xfId="0" applyNumberFormat="1" applyFont="1" applyBorder="1" applyAlignment="1">
      <alignment horizontal="right" wrapText="1"/>
    </xf>
    <xf numFmtId="166" fontId="42" fillId="0" borderId="0" xfId="0" applyNumberFormat="1" applyFont="1"/>
    <xf numFmtId="0" fontId="61" fillId="0" borderId="0" xfId="0" applyFont="1"/>
    <xf numFmtId="14" fontId="57" fillId="5" borderId="1" xfId="0" applyNumberFormat="1" applyFont="1" applyFill="1" applyBorder="1"/>
    <xf numFmtId="41" fontId="57" fillId="5" borderId="1" xfId="11" applyFont="1" applyFill="1" applyBorder="1"/>
    <xf numFmtId="178" fontId="57" fillId="5" borderId="1" xfId="3" applyNumberFormat="1" applyFont="1" applyFill="1" applyBorder="1" applyAlignment="1">
      <alignment vertical="top" wrapText="1"/>
    </xf>
    <xf numFmtId="41" fontId="57" fillId="5" borderId="3" xfId="11" applyFont="1" applyFill="1" applyBorder="1"/>
    <xf numFmtId="168" fontId="87" fillId="5" borderId="4" xfId="1" applyNumberFormat="1" applyFont="1" applyFill="1" applyBorder="1"/>
    <xf numFmtId="0" fontId="86" fillId="5" borderId="3" xfId="0" applyFont="1" applyFill="1" applyBorder="1" applyAlignment="1">
      <alignment vertical="center"/>
    </xf>
    <xf numFmtId="168" fontId="86" fillId="5" borderId="3" xfId="1" applyNumberFormat="1" applyFont="1" applyFill="1" applyBorder="1"/>
    <xf numFmtId="0" fontId="86" fillId="5" borderId="4" xfId="0" applyFont="1" applyFill="1" applyBorder="1"/>
    <xf numFmtId="41" fontId="57" fillId="5" borderId="9" xfId="11" applyFont="1" applyFill="1" applyBorder="1"/>
    <xf numFmtId="0" fontId="86" fillId="5" borderId="9" xfId="0" applyFont="1" applyFill="1" applyBorder="1" applyAlignment="1">
      <alignment vertical="center"/>
    </xf>
    <xf numFmtId="14" fontId="47" fillId="5" borderId="0" xfId="0" applyNumberFormat="1" applyFont="1" applyFill="1"/>
    <xf numFmtId="166" fontId="25" fillId="8" borderId="13" xfId="0" applyNumberFormat="1" applyFont="1" applyFill="1" applyBorder="1" applyAlignment="1">
      <alignment horizontal="center"/>
    </xf>
    <xf numFmtId="174" fontId="47" fillId="5" borderId="2" xfId="3" applyNumberFormat="1" applyFont="1" applyFill="1" applyBorder="1" applyAlignment="1">
      <alignment horizontal="center" vertical="top" wrapText="1"/>
    </xf>
    <xf numFmtId="174" fontId="47" fillId="5" borderId="31" xfId="3" applyNumberFormat="1" applyFont="1" applyFill="1" applyBorder="1" applyAlignment="1">
      <alignment horizontal="center" vertical="top" wrapText="1"/>
    </xf>
    <xf numFmtId="174" fontId="47" fillId="5" borderId="28" xfId="3" applyNumberFormat="1" applyFont="1" applyFill="1" applyBorder="1" applyAlignment="1">
      <alignment horizontal="center" vertical="top" wrapText="1"/>
    </xf>
    <xf numFmtId="0" fontId="50" fillId="5" borderId="0" xfId="0" applyFont="1" applyFill="1" applyAlignment="1">
      <alignment horizontal="center"/>
    </xf>
    <xf numFmtId="0" fontId="89" fillId="11" borderId="24" xfId="0" applyFont="1" applyFill="1" applyBorder="1" applyAlignment="1">
      <alignment horizontal="center" vertical="center"/>
    </xf>
    <xf numFmtId="0" fontId="89" fillId="11" borderId="25" xfId="0" applyFont="1" applyFill="1" applyBorder="1" applyAlignment="1">
      <alignment horizontal="center" vertical="center"/>
    </xf>
    <xf numFmtId="0" fontId="89" fillId="11" borderId="26" xfId="0" applyFont="1" applyFill="1" applyBorder="1" applyAlignment="1">
      <alignment horizontal="center" vertical="center"/>
    </xf>
    <xf numFmtId="0" fontId="93" fillId="0" borderId="1" xfId="0" applyFont="1" applyBorder="1" applyAlignment="1">
      <alignment horizontal="center" vertical="center"/>
    </xf>
    <xf numFmtId="166" fontId="94" fillId="0" borderId="1" xfId="0" applyNumberFormat="1" applyFont="1" applyBorder="1" applyAlignment="1">
      <alignment horizontal="left" vertical="center"/>
    </xf>
    <xf numFmtId="49" fontId="95" fillId="0" borderId="1" xfId="0" applyNumberFormat="1" applyFont="1" applyBorder="1" applyAlignment="1">
      <alignment horizontal="left" vertical="center"/>
    </xf>
    <xf numFmtId="166" fontId="94" fillId="0" borderId="1" xfId="0" applyNumberFormat="1" applyFont="1" applyBorder="1" applyAlignment="1">
      <alignment horizontal="center" vertical="center" wrapText="1"/>
    </xf>
  </cellXfs>
  <cellStyles count="13">
    <cellStyle name="Comma 2" xfId="8" xr:uid="{00000000-0005-0000-0000-000000000000}"/>
    <cellStyle name="Excel Built-in Comma" xfId="4" xr:uid="{00000000-0005-0000-0000-000001000000}"/>
    <cellStyle name="Excel Built-in Normal" xfId="3" xr:uid="{00000000-0005-0000-0000-000002000000}"/>
    <cellStyle name="Milliers" xfId="1" builtinId="3"/>
    <cellStyle name="Milliers [0]" xfId="11" builtinId="6"/>
    <cellStyle name="Milliers 2" xfId="5" xr:uid="{00000000-0005-0000-0000-000005000000}"/>
    <cellStyle name="Milliers 3" xfId="9" xr:uid="{00000000-0005-0000-0000-000006000000}"/>
    <cellStyle name="Milliers 4" xfId="6" xr:uid="{00000000-0005-0000-0000-000007000000}"/>
    <cellStyle name="Milliers 4 2" xfId="10" xr:uid="{00000000-0005-0000-0000-000008000000}"/>
    <cellStyle name="Normal" xfId="0" builtinId="0"/>
    <cellStyle name="Normal 2" xfId="7" xr:uid="{00000000-0005-0000-0000-00000A000000}"/>
    <cellStyle name="Normal_Total expenses by date" xfId="2" xr:uid="{00000000-0005-0000-0000-00000B000000}"/>
    <cellStyle name="Normal_Total expenses by date 2" xfId="12" xr:uid="{00000000-0005-0000-0000-00000C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26" Type="http://schemas.microsoft.com/office/2017/10/relationships/person" Target="persons/person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4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3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2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6</xdr:row>
      <xdr:rowOff>0</xdr:rowOff>
    </xdr:from>
    <xdr:to>
      <xdr:col>17</xdr:col>
      <xdr:colOff>10333</xdr:colOff>
      <xdr:row>56</xdr:row>
      <xdr:rowOff>114300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631ADA91-F128-4EB4-B8C4-AF40BEBBF3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49400" y="1333500"/>
          <a:ext cx="7302673" cy="1005840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6</xdr:row>
      <xdr:rowOff>0</xdr:rowOff>
    </xdr:from>
    <xdr:to>
      <xdr:col>29</xdr:col>
      <xdr:colOff>10333</xdr:colOff>
      <xdr:row>56</xdr:row>
      <xdr:rowOff>114300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9A58E3A8-1924-404A-92AB-B39AE2728D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204680" y="1333500"/>
          <a:ext cx="7302673" cy="100584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411480</xdr:colOff>
      <xdr:row>2</xdr:row>
      <xdr:rowOff>152400</xdr:rowOff>
    </xdr:from>
    <xdr:to>
      <xdr:col>17</xdr:col>
      <xdr:colOff>421813</xdr:colOff>
      <xdr:row>60</xdr:row>
      <xdr:rowOff>45720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5D7B5E55-E769-460A-8735-692FC46109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25440" y="502920"/>
          <a:ext cx="7302673" cy="10058400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Jana Hajduchová" id="{98584D5A-8469-40CB-92DE-DDEA7199F951}" userId="05fcd02066e7ea79" providerId="Windows Live"/>
</personList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User" refreshedDate="45994.965176504629" createdVersion="7" refreshedVersion="7" minRefreshableVersion="3" recordCount="39" xr:uid="{00000000-000A-0000-FFFF-FFFF00000000}">
  <cacheSource type="worksheet">
    <worksheetSource ref="A1:E40" sheet="phone credit "/>
  </cacheSource>
  <cacheFields count="5">
    <cacheField name="Date+A1:E38" numFmtId="14">
      <sharedItems containsSemiMixedTypes="0" containsNonDate="0" containsDate="1" containsString="0" minDate="2025-11-03T00:00:00" maxDate="2025-11-18T00:00:00"/>
    </cacheField>
    <cacheField name="phone credit bought" numFmtId="0">
      <sharedItems containsString="0" containsBlank="1" containsNumber="1" containsInteger="1" minValue="112500" maxValue="112500"/>
    </cacheField>
    <cacheField name="distributed" numFmtId="0">
      <sharedItems containsString="0" containsBlank="1" containsNumber="1" containsInteger="1" minValue="7500" maxValue="12500"/>
    </cacheField>
    <cacheField name="balance" numFmtId="3">
      <sharedItems containsSemiMixedTypes="0" containsString="0" containsNumber="1" containsInteger="1" minValue="0" maxValue="112500"/>
    </cacheField>
    <cacheField name="name" numFmtId="0">
      <sharedItems containsBlank="1" count="13">
        <m/>
        <s v="Dovi"/>
        <s v="Parfaite"/>
        <s v="Crepin"/>
        <s v="Donald-Romeo"/>
        <s v="Roderlin"/>
        <s v="Abraham"/>
        <s v="Romain"/>
        <s v="Evariste"/>
        <s v="T73"/>
        <s v="G12"/>
        <s v="P29"/>
        <s v="IT87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User" refreshedDate="45999.726143402775" createdVersion="7" refreshedVersion="7" minRefreshableVersion="3" recordCount="159" xr:uid="{00000000-000A-0000-FFFF-FFFF01000000}">
  <cacheSource type="worksheet">
    <worksheetSource ref="A1:J160" sheet="Cash journal   "/>
  </cacheSource>
  <cacheFields count="10">
    <cacheField name="Date" numFmtId="14">
      <sharedItems containsSemiMixedTypes="0" containsNonDate="0" containsDate="1" containsString="0" minDate="2025-11-03T00:00:00" maxDate="2025-11-28T00:00:00"/>
    </cacheField>
    <cacheField name="Details" numFmtId="0">
      <sharedItems/>
    </cacheField>
    <cacheField name="Type of expenses" numFmtId="0">
      <sharedItems containsBlank="1"/>
    </cacheField>
    <cacheField name="Department " numFmtId="0">
      <sharedItems containsBlank="1"/>
    </cacheField>
    <cacheField name="Spent " numFmtId="168">
      <sharedItems containsString="0" containsBlank="1" containsNumber="1" containsInteger="1" minValue="1000" maxValue="175000"/>
    </cacheField>
    <cacheField name="Received" numFmtId="0">
      <sharedItems containsString="0" containsBlank="1" containsNumber="1" containsInteger="1" minValue="350000" maxValue="2000000"/>
    </cacheField>
    <cacheField name="Balance" numFmtId="168">
      <sharedItems containsSemiMixedTypes="0" containsString="0" containsNumber="1" containsInteger="1" minValue="4753" maxValue="2050145"/>
    </cacheField>
    <cacheField name="Name" numFmtId="0">
      <sharedItems containsBlank="1" count="17">
        <m/>
        <s v="Crépin"/>
        <s v="Roderlin"/>
        <s v="Abraham"/>
        <s v="BCI"/>
        <s v="Phone Credit"/>
        <s v="Parfaite"/>
        <s v="Evariste"/>
        <s v="DOVI"/>
        <s v="G12"/>
        <s v="T73"/>
        <s v="IT87"/>
        <s v="Romain"/>
        <s v="P29"/>
        <s v="Donald-Roméo"/>
        <s v="Crepin" u="1"/>
        <s v="Parfaite " u="1"/>
      </sharedItems>
    </cacheField>
    <cacheField name="Receipt" numFmtId="0">
      <sharedItems containsBlank="1"/>
    </cacheField>
    <cacheField name="comments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User" refreshedDate="45999.7262275463" createdVersion="7" refreshedVersion="7" minRefreshableVersion="3" recordCount="760" xr:uid="{00000000-000A-0000-FFFF-FFFF02000000}">
  <cacheSource type="worksheet">
    <worksheetSource ref="A1:O761" sheet="DATA "/>
  </cacheSource>
  <cacheFields count="15">
    <cacheField name="Date" numFmtId="14">
      <sharedItems containsSemiMixedTypes="0" containsNonDate="0" containsDate="1" containsString="0" minDate="2025-11-01T00:00:00" maxDate="2025-12-01T00:00:00"/>
    </cacheField>
    <cacheField name="Details" numFmtId="0">
      <sharedItems/>
    </cacheField>
    <cacheField name="Type of expenses" numFmtId="0">
      <sharedItems count="17">
        <s v="Transport"/>
        <s v="Lawyer Fees"/>
        <s v="Telephone"/>
        <s v="Travel subsistence"/>
        <s v="Transfert fees"/>
        <s v="Office Materiels"/>
        <s v="Jail visits"/>
        <s v="Bonus to media officer"/>
        <s v="Rent &amp; Utilities"/>
        <s v="Bonus"/>
        <s v="Services"/>
        <s v="Trust building"/>
        <s v="Personnel"/>
        <s v="Transport "/>
        <s v="Internet"/>
        <s v="Versement" u="1"/>
        <s v="jail visit" u="1"/>
      </sharedItems>
    </cacheField>
    <cacheField name="Department " numFmtId="0">
      <sharedItems count="6">
        <s v="Media"/>
        <s v="Legal"/>
        <s v="Management"/>
        <s v="Office"/>
        <s v="Investigation"/>
        <s v="Operation"/>
      </sharedItems>
    </cacheField>
    <cacheField name="Spent  in XAF" numFmtId="0">
      <sharedItems containsSemiMixedTypes="0" containsString="0" containsNumber="1" containsInteger="1" minValue="250" maxValue="500000"/>
    </cacheField>
    <cacheField name="Spent in $" numFmtId="1">
      <sharedItems containsString="0" containsBlank="1" containsNumber="1" minValue="0.46860092633031114" maxValue="937.20185266062231"/>
    </cacheField>
    <cacheField name="Exchange Rate $" numFmtId="173">
      <sharedItems containsSemiMixedTypes="0" containsString="0" containsNumber="1" minValue="533.50300000000004" maxValue="543.43799999999999"/>
    </cacheField>
    <cacheField name="Name" numFmtId="0">
      <sharedItems count="14">
        <s v="Evariste"/>
        <s v="Roderlin"/>
        <s v="BCI"/>
        <s v="DOVI"/>
        <s v="Crépin"/>
        <s v="Parfaite"/>
        <s v="P29"/>
        <s v="T73"/>
        <s v="IT87"/>
        <s v="G12"/>
        <s v="Abraham"/>
        <s v="Donald-Romeo"/>
        <s v="Romain"/>
        <s v="Donald-Roméo" u="1"/>
      </sharedItems>
    </cacheField>
    <cacheField name="Receipt" numFmtId="0">
      <sharedItems/>
    </cacheField>
    <cacheField name="Project" numFmtId="0">
      <sharedItems/>
    </cacheField>
    <cacheField name="Donor" numFmtId="0">
      <sharedItems/>
    </cacheField>
    <cacheField name="Country" numFmtId="0">
      <sharedItems/>
    </cacheField>
    <cacheField name="Received in XAF" numFmtId="0">
      <sharedItems containsNonDate="0" containsString="0" containsBlank="1"/>
    </cacheField>
    <cacheField name="Received in $" numFmtId="0">
      <sharedItems containsNonDate="0" containsString="0" containsBlank="1"/>
    </cacheField>
    <cacheField name="Comments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User" refreshedDate="45999.726651851852" createdVersion="6" refreshedVersion="7" minRefreshableVersion="3" recordCount="4600" xr:uid="{00000000-000A-0000-FFFF-FFFF03000000}">
  <cacheSource type="worksheet">
    <worksheetSource ref="A1:O4601" sheet="Global data "/>
  </cacheSource>
  <cacheFields count="16">
    <cacheField name="Date" numFmtId="0">
      <sharedItems containsSemiMixedTypes="0" containsNonDate="0" containsDate="1" containsString="0" minDate="2025-01-02T00:00:00" maxDate="2025-12-01T00:00:00" count="301">
        <d v="2025-01-02T00:00:00"/>
        <d v="2025-01-03T00:00:00"/>
        <d v="2025-01-06T00:00:00"/>
        <d v="2025-01-07T00:00:00"/>
        <d v="2025-01-08T00:00:00"/>
        <d v="2025-01-09T00:00:00"/>
        <d v="2025-01-10T00:00:00"/>
        <d v="2025-01-13T00:00:00"/>
        <d v="2025-01-14T00:00:00"/>
        <d v="2025-01-15T00:00:00"/>
        <d v="2025-01-16T00:00:00"/>
        <d v="2025-01-17T00:00:00"/>
        <d v="2025-01-18T00:00:00"/>
        <d v="2025-01-19T00:00:00"/>
        <d v="2025-01-20T00:00:00"/>
        <d v="2025-01-21T00:00:00"/>
        <d v="2025-01-22T00:00:00"/>
        <d v="2025-01-23T00:00:00"/>
        <d v="2025-01-24T00:00:00"/>
        <d v="2025-01-25T00:00:00"/>
        <d v="2025-01-26T00:00:00"/>
        <d v="2025-01-27T00:00:00"/>
        <d v="2025-01-28T00:00:00"/>
        <d v="2025-01-29T00:00:00"/>
        <d v="2025-01-30T00:00:00"/>
        <d v="2025-01-31T00:00:00"/>
        <d v="2025-02-03T00:00:00"/>
        <d v="2025-02-04T00:00:00"/>
        <d v="2025-02-05T00:00:00"/>
        <d v="2025-02-06T00:00:00"/>
        <d v="2025-02-07T00:00:00"/>
        <d v="2025-02-08T00:00:00"/>
        <d v="2025-02-09T00:00:00"/>
        <d v="2025-02-10T00:00:00"/>
        <d v="2025-02-11T00:00:00"/>
        <d v="2025-02-12T00:00:00"/>
        <d v="2025-02-13T00:00:00"/>
        <d v="2025-02-14T00:00:00"/>
        <d v="2025-02-15T00:00:00"/>
        <d v="2025-02-17T00:00:00"/>
        <d v="2025-02-18T00:00:00"/>
        <d v="2025-02-19T00:00:00"/>
        <d v="2025-02-20T00:00:00"/>
        <d v="2025-02-21T00:00:00"/>
        <d v="2025-02-22T00:00:00"/>
        <d v="2025-02-23T00:00:00"/>
        <d v="2025-02-24T00:00:00"/>
        <d v="2025-02-25T00:00:00"/>
        <d v="2025-02-26T00:00:00"/>
        <d v="2025-02-27T00:00:00"/>
        <d v="2025-02-28T00:00:00"/>
        <d v="2025-03-01T00:00:00"/>
        <d v="2025-03-03T00:00:00"/>
        <d v="2025-03-04T00:00:00"/>
        <d v="2025-03-05T00:00:00"/>
        <d v="2025-03-06T00:00:00"/>
        <d v="2025-03-07T00:00:00"/>
        <d v="2025-03-08T00:00:00"/>
        <d v="2025-03-10T00:00:00"/>
        <d v="2025-03-11T00:00:00"/>
        <d v="2025-03-12T00:00:00"/>
        <d v="2025-03-13T00:00:00"/>
        <d v="2025-03-14T00:00:00"/>
        <d v="2025-03-15T00:00:00"/>
        <d v="2025-03-16T00:00:00"/>
        <d v="2025-03-17T00:00:00"/>
        <d v="2025-03-18T00:00:00"/>
        <d v="2025-03-19T00:00:00"/>
        <d v="2025-03-20T00:00:00"/>
        <d v="2025-03-21T00:00:00"/>
        <d v="2025-03-22T00:00:00"/>
        <d v="2025-03-23T00:00:00"/>
        <d v="2025-03-24T00:00:00"/>
        <d v="2025-03-25T00:00:00"/>
        <d v="2025-03-26T00:00:00"/>
        <d v="2025-03-27T00:00:00"/>
        <d v="2025-03-28T00:00:00"/>
        <d v="2025-03-29T00:00:00"/>
        <d v="2025-03-31T00:00:00"/>
        <d v="2025-04-01T00:00:00"/>
        <d v="2025-04-02T00:00:00"/>
        <d v="2025-04-03T00:00:00"/>
        <d v="2025-04-04T00:00:00"/>
        <d v="2025-04-05T00:00:00"/>
        <d v="2025-04-07T00:00:00"/>
        <d v="2025-04-08T00:00:00"/>
        <d v="2025-04-09T00:00:00"/>
        <d v="2025-04-10T00:00:00"/>
        <d v="2025-04-11T00:00:00"/>
        <d v="2025-04-12T00:00:00"/>
        <d v="2025-04-13T00:00:00"/>
        <d v="2025-04-14T00:00:00"/>
        <d v="2025-04-15T00:00:00"/>
        <d v="2025-04-16T00:00:00"/>
        <d v="2025-04-17T00:00:00"/>
        <d v="2025-04-18T00:00:00"/>
        <d v="2025-04-19T00:00:00"/>
        <d v="2025-04-22T00:00:00"/>
        <d v="2025-04-23T00:00:00"/>
        <d v="2025-04-24T00:00:00"/>
        <d v="2025-04-25T00:00:00"/>
        <d v="2025-04-26T00:00:00"/>
        <d v="2025-04-27T00:00:00"/>
        <d v="2025-04-28T00:00:00"/>
        <d v="2025-04-29T00:00:00"/>
        <d v="2025-04-30T00:00:00"/>
        <d v="2025-05-01T00:00:00"/>
        <d v="2025-05-03T00:00:00"/>
        <d v="2025-05-05T00:00:00"/>
        <d v="2025-05-06T00:00:00"/>
        <d v="2025-05-07T00:00:00"/>
        <d v="2025-05-08T00:00:00"/>
        <d v="2025-05-09T00:00:00"/>
        <d v="2025-05-10T00:00:00"/>
        <d v="2025-05-12T00:00:00"/>
        <d v="2025-05-14T00:00:00"/>
        <d v="2025-05-15T00:00:00"/>
        <d v="2025-05-16T00:00:00"/>
        <d v="2025-05-19T00:00:00"/>
        <d v="2025-05-20T00:00:00"/>
        <d v="2025-05-21T00:00:00"/>
        <d v="2025-05-22T00:00:00"/>
        <d v="2025-05-23T00:00:00"/>
        <d v="2025-05-24T00:00:00"/>
        <d v="2025-05-25T00:00:00"/>
        <d v="2025-05-26T00:00:00"/>
        <d v="2025-05-27T00:00:00"/>
        <d v="2025-05-28T00:00:00"/>
        <d v="2025-05-29T00:00:00"/>
        <d v="2025-05-30T00:00:00"/>
        <d v="2025-05-31T00:00:00"/>
        <d v="2025-06-01T00:00:00"/>
        <d v="2025-06-02T00:00:00"/>
        <d v="2025-06-03T00:00:00"/>
        <d v="2025-06-04T00:00:00"/>
        <d v="2025-06-05T00:00:00"/>
        <d v="2025-06-06T00:00:00"/>
        <d v="2025-06-07T00:00:00"/>
        <d v="2025-06-08T00:00:00"/>
        <d v="2025-06-09T00:00:00"/>
        <d v="2025-06-10T00:00:00"/>
        <d v="2025-06-11T00:00:00"/>
        <d v="2025-06-12T00:00:00"/>
        <d v="2025-06-13T00:00:00"/>
        <d v="2025-06-14T00:00:00"/>
        <d v="2025-06-15T00:00:00"/>
        <d v="2025-06-16T00:00:00"/>
        <d v="2025-06-17T00:00:00"/>
        <d v="2025-06-18T00:00:00"/>
        <d v="2025-06-19T00:00:00"/>
        <d v="2025-06-20T00:00:00"/>
        <d v="2025-06-22T00:00:00"/>
        <d v="2025-06-23T00:00:00"/>
        <d v="2025-06-24T00:00:00"/>
        <d v="2025-06-25T00:00:00"/>
        <d v="2025-06-26T00:00:00"/>
        <d v="2025-06-27T00:00:00"/>
        <d v="2025-06-28T00:00:00"/>
        <d v="2025-06-29T00:00:00"/>
        <d v="2025-06-30T00:00:00"/>
        <d v="2025-07-01T00:00:00"/>
        <d v="2025-07-02T00:00:00"/>
        <d v="2025-07-03T00:00:00"/>
        <d v="2025-07-04T00:00:00"/>
        <d v="2025-07-05T00:00:00"/>
        <d v="2025-07-06T00:00:00"/>
        <d v="2025-07-07T00:00:00"/>
        <d v="2025-07-08T00:00:00"/>
        <d v="2025-07-09T00:00:00"/>
        <d v="2025-07-10T00:00:00"/>
        <d v="2025-07-11T00:00:00"/>
        <d v="2025-07-14T00:00:00"/>
        <d v="2025-07-15T00:00:00"/>
        <d v="2025-07-16T00:00:00"/>
        <d v="2025-07-17T00:00:00"/>
        <d v="2025-07-18T00:00:00"/>
        <d v="2025-07-21T00:00:00"/>
        <d v="2025-07-22T00:00:00"/>
        <d v="2025-07-23T00:00:00"/>
        <d v="2025-07-24T00:00:00"/>
        <d v="2025-07-25T00:00:00"/>
        <d v="2025-07-28T00:00:00"/>
        <d v="2025-07-29T00:00:00"/>
        <d v="2025-07-30T00:00:00"/>
        <d v="2025-07-31T00:00:00"/>
        <d v="2025-08-01T00:00:00"/>
        <d v="2025-08-04T00:00:00"/>
        <d v="2025-08-05T00:00:00"/>
        <d v="2025-08-06T00:00:00"/>
        <d v="2025-08-07T00:00:00"/>
        <d v="2025-08-08T00:00:00"/>
        <d v="2025-08-11T00:00:00"/>
        <d v="2025-08-12T00:00:00"/>
        <d v="2025-08-13T00:00:00"/>
        <d v="2025-08-14T00:00:00"/>
        <d v="2025-08-15T00:00:00"/>
        <d v="2025-08-16T00:00:00"/>
        <d v="2025-08-18T00:00:00"/>
        <d v="2025-08-19T00:00:00"/>
        <d v="2025-08-20T00:00:00"/>
        <d v="2025-08-21T00:00:00"/>
        <d v="2025-08-22T00:00:00"/>
        <d v="2025-08-23T00:00:00"/>
        <d v="2025-08-24T00:00:00"/>
        <d v="2025-08-25T00:00:00"/>
        <d v="2025-08-26T00:00:00"/>
        <d v="2025-08-27T00:00:00"/>
        <d v="2025-08-28T00:00:00"/>
        <d v="2025-08-29T00:00:00"/>
        <d v="2025-08-30T00:00:00"/>
        <d v="2025-08-31T00:00:00"/>
        <d v="2025-09-01T00:00:00"/>
        <d v="2025-09-02T00:00:00"/>
        <d v="2025-09-04T00:00:00"/>
        <d v="2025-09-03T00:00:00"/>
        <d v="2025-09-05T00:00:00"/>
        <d v="2025-09-06T00:00:00"/>
        <d v="2025-09-07T00:00:00"/>
        <d v="2025-09-08T00:00:00"/>
        <d v="2025-09-09T00:00:00"/>
        <d v="2025-09-11T00:00:00"/>
        <d v="2025-09-10T00:00:00"/>
        <d v="2025-09-12T00:00:00"/>
        <d v="2025-09-13T00:00:00"/>
        <d v="2025-09-14T00:00:00"/>
        <d v="2025-09-15T00:00:00"/>
        <d v="2025-09-16T00:00:00"/>
        <d v="2025-09-17T00:00:00"/>
        <d v="2025-09-18T00:00:00"/>
        <d v="2025-09-19T00:00:00"/>
        <d v="2025-09-20T00:00:00"/>
        <d v="2025-09-21T00:00:00"/>
        <d v="2025-09-22T00:00:00"/>
        <d v="2025-09-23T00:00:00"/>
        <d v="2025-09-24T00:00:00"/>
        <d v="2025-09-25T00:00:00"/>
        <d v="2025-09-26T00:00:00"/>
        <d v="2025-09-27T00:00:00"/>
        <d v="2025-09-28T00:00:00"/>
        <d v="2025-09-29T00:00:00"/>
        <d v="2025-09-30T00:00:00"/>
        <d v="2025-10-01T00:00:00"/>
        <d v="2025-10-02T00:00:00"/>
        <d v="2025-10-03T00:00:00"/>
        <d v="2025-10-04T00:00:00"/>
        <d v="2025-10-05T00:00:00"/>
        <d v="2025-10-06T00:00:00"/>
        <d v="2025-10-07T00:00:00"/>
        <d v="2025-10-08T00:00:00"/>
        <d v="2025-10-09T00:00:00"/>
        <d v="2025-10-10T00:00:00"/>
        <d v="2025-10-11T00:00:00"/>
        <d v="2025-10-12T00:00:00"/>
        <d v="2025-10-13T00:00:00"/>
        <d v="2025-10-14T00:00:00"/>
        <d v="2025-10-15T00:00:00"/>
        <d v="2025-10-16T00:00:00"/>
        <d v="2025-10-17T00:00:00"/>
        <d v="2025-10-18T00:00:00"/>
        <d v="2025-10-19T00:00:00"/>
        <d v="2025-10-20T00:00:00"/>
        <d v="2025-10-21T00:00:00"/>
        <d v="2025-10-22T00:00:00"/>
        <d v="2025-10-23T00:00:00"/>
        <d v="2025-10-24T00:00:00"/>
        <d v="2025-10-25T00:00:00"/>
        <d v="2025-10-26T00:00:00"/>
        <d v="2025-10-27T00:00:00"/>
        <d v="2025-10-28T00:00:00"/>
        <d v="2025-10-29T00:00:00"/>
        <d v="2025-10-30T00:00:00"/>
        <d v="2025-10-31T00:00:00"/>
        <d v="2025-11-01T00:00:00"/>
        <d v="2025-11-02T00:00:00"/>
        <d v="2025-11-03T00:00:00"/>
        <d v="2025-11-04T00:00:00"/>
        <d v="2025-11-05T00:00:00"/>
        <d v="2025-11-06T00:00:00"/>
        <d v="2025-11-07T00:00:00"/>
        <d v="2025-11-08T00:00:00"/>
        <d v="2025-11-10T00:00:00"/>
        <d v="2025-11-11T00:00:00"/>
        <d v="2025-11-12T00:00:00"/>
        <d v="2025-11-13T00:00:00"/>
        <d v="2025-11-14T00:00:00"/>
        <d v="2025-11-15T00:00:00"/>
        <d v="2025-11-16T00:00:00"/>
        <d v="2025-11-17T00:00:00"/>
        <d v="2025-11-18T00:00:00"/>
        <d v="2025-11-19T00:00:00"/>
        <d v="2025-11-20T00:00:00"/>
        <d v="2025-11-21T00:00:00"/>
        <d v="2025-11-22T00:00:00"/>
        <d v="2025-11-23T00:00:00"/>
        <d v="2025-11-24T00:00:00"/>
        <d v="2025-11-25T00:00:00"/>
        <d v="2025-11-26T00:00:00"/>
        <d v="2025-11-27T00:00:00"/>
        <d v="2025-11-28T00:00:00"/>
        <d v="2025-11-29T00:00:00"/>
        <d v="2025-11-30T00:00:00"/>
      </sharedItems>
      <fieldGroup par="15" base="0">
        <rangePr groupBy="days" startDate="2025-01-02T00:00:00" endDate="2025-12-01T00:00:00"/>
        <groupItems count="368">
          <s v="&lt;02/01/2025"/>
          <s v="01-janv"/>
          <s v="02-janv"/>
          <s v="03-janv"/>
          <s v="04-janv"/>
          <s v="05-janv"/>
          <s v="06-janv"/>
          <s v="07-janv"/>
          <s v="08-janv"/>
          <s v="09-janv"/>
          <s v="10-janv"/>
          <s v="11-janv"/>
          <s v="12-janv"/>
          <s v="13-janv"/>
          <s v="14-janv"/>
          <s v="15-janv"/>
          <s v="16-janv"/>
          <s v="17-janv"/>
          <s v="18-janv"/>
          <s v="19-janv"/>
          <s v="20-janv"/>
          <s v="21-janv"/>
          <s v="22-janv"/>
          <s v="23-janv"/>
          <s v="24-janv"/>
          <s v="25-janv"/>
          <s v="26-janv"/>
          <s v="27-janv"/>
          <s v="28-janv"/>
          <s v="29-janv"/>
          <s v="30-janv"/>
          <s v="31-janv"/>
          <s v="01-févr"/>
          <s v="02-févr"/>
          <s v="03-févr"/>
          <s v="04-févr"/>
          <s v="05-févr"/>
          <s v="06-févr"/>
          <s v="07-févr"/>
          <s v="08-févr"/>
          <s v="09-févr"/>
          <s v="10-févr"/>
          <s v="11-févr"/>
          <s v="12-févr"/>
          <s v="13-févr"/>
          <s v="14-févr"/>
          <s v="15-févr"/>
          <s v="16-févr"/>
          <s v="17-févr"/>
          <s v="18-févr"/>
          <s v="19-févr"/>
          <s v="20-févr"/>
          <s v="21-févr"/>
          <s v="22-févr"/>
          <s v="23-févr"/>
          <s v="24-févr"/>
          <s v="25-févr"/>
          <s v="26-févr"/>
          <s v="27-févr"/>
          <s v="28-févr"/>
          <s v="29-févr"/>
          <s v="01-mars"/>
          <s v="02-mars"/>
          <s v="03-mars"/>
          <s v="04-mars"/>
          <s v="05-mars"/>
          <s v="06-mars"/>
          <s v="07-mars"/>
          <s v="08-mars"/>
          <s v="09-mars"/>
          <s v="10-mars"/>
          <s v="11-mars"/>
          <s v="12-mars"/>
          <s v="13-mars"/>
          <s v="14-mars"/>
          <s v="15-mars"/>
          <s v="16-mars"/>
          <s v="17-mars"/>
          <s v="18-mars"/>
          <s v="19-mars"/>
          <s v="20-mars"/>
          <s v="21-mars"/>
          <s v="22-mars"/>
          <s v="23-mars"/>
          <s v="24-mars"/>
          <s v="25-mars"/>
          <s v="26-mars"/>
          <s v="27-mars"/>
          <s v="28-mars"/>
          <s v="29-mars"/>
          <s v="30-mars"/>
          <s v="31-mars"/>
          <s v="01-avr"/>
          <s v="02-avr"/>
          <s v="03-avr"/>
          <s v="04-avr"/>
          <s v="05-avr"/>
          <s v="06-avr"/>
          <s v="07-avr"/>
          <s v="08-avr"/>
          <s v="09-avr"/>
          <s v="10-avr"/>
          <s v="11-avr"/>
          <s v="12-avr"/>
          <s v="13-avr"/>
          <s v="14-avr"/>
          <s v="15-avr"/>
          <s v="16-avr"/>
          <s v="17-avr"/>
          <s v="18-avr"/>
          <s v="19-avr"/>
          <s v="20-avr"/>
          <s v="21-avr"/>
          <s v="22-avr"/>
          <s v="23-avr"/>
          <s v="24-avr"/>
          <s v="25-avr"/>
          <s v="26-avr"/>
          <s v="27-avr"/>
          <s v="28-avr"/>
          <s v="29-avr"/>
          <s v="30-avr"/>
          <s v="01-mai"/>
          <s v="02-mai"/>
          <s v="03-mai"/>
          <s v="04-mai"/>
          <s v="05-mai"/>
          <s v="06-mai"/>
          <s v="07-mai"/>
          <s v="08-mai"/>
          <s v="09-mai"/>
          <s v="10-mai"/>
          <s v="11-mai"/>
          <s v="12-mai"/>
          <s v="13-mai"/>
          <s v="14-mai"/>
          <s v="15-mai"/>
          <s v="16-mai"/>
          <s v="17-mai"/>
          <s v="18-mai"/>
          <s v="19-mai"/>
          <s v="20-mai"/>
          <s v="21-mai"/>
          <s v="22-mai"/>
          <s v="23-mai"/>
          <s v="24-mai"/>
          <s v="25-mai"/>
          <s v="26-mai"/>
          <s v="27-mai"/>
          <s v="28-mai"/>
          <s v="29-mai"/>
          <s v="30-mai"/>
          <s v="31-mai"/>
          <s v="01-juin"/>
          <s v="02-juin"/>
          <s v="03-juin"/>
          <s v="04-juin"/>
          <s v="05-juin"/>
          <s v="06-juin"/>
          <s v="07-juin"/>
          <s v="08-juin"/>
          <s v="09-juin"/>
          <s v="10-juin"/>
          <s v="11-juin"/>
          <s v="12-juin"/>
          <s v="13-juin"/>
          <s v="14-juin"/>
          <s v="15-juin"/>
          <s v="16-juin"/>
          <s v="17-juin"/>
          <s v="18-juin"/>
          <s v="19-juin"/>
          <s v="20-juin"/>
          <s v="21-juin"/>
          <s v="22-juin"/>
          <s v="23-juin"/>
          <s v="24-juin"/>
          <s v="25-juin"/>
          <s v="26-juin"/>
          <s v="27-juin"/>
          <s v="28-juin"/>
          <s v="29-juin"/>
          <s v="30-juin"/>
          <s v="01-juil"/>
          <s v="02-juil"/>
          <s v="03-juil"/>
          <s v="04-juil"/>
          <s v="05-juil"/>
          <s v="06-juil"/>
          <s v="07-juil"/>
          <s v="08-juil"/>
          <s v="09-juil"/>
          <s v="10-juil"/>
          <s v="11-juil"/>
          <s v="12-juil"/>
          <s v="13-juil"/>
          <s v="14-juil"/>
          <s v="15-juil"/>
          <s v="16-juil"/>
          <s v="17-juil"/>
          <s v="18-juil"/>
          <s v="19-juil"/>
          <s v="20-juil"/>
          <s v="21-juil"/>
          <s v="22-juil"/>
          <s v="23-juil"/>
          <s v="24-juil"/>
          <s v="25-juil"/>
          <s v="26-juil"/>
          <s v="27-juil"/>
          <s v="28-juil"/>
          <s v="29-juil"/>
          <s v="30-juil"/>
          <s v="31-juil"/>
          <s v="01-août"/>
          <s v="02-août"/>
          <s v="03-août"/>
          <s v="04-août"/>
          <s v="05-août"/>
          <s v="06-août"/>
          <s v="07-août"/>
          <s v="08-août"/>
          <s v="09-août"/>
          <s v="10-août"/>
          <s v="11-août"/>
          <s v="12-août"/>
          <s v="13-août"/>
          <s v="14-août"/>
          <s v="15-août"/>
          <s v="16-août"/>
          <s v="17-août"/>
          <s v="18-août"/>
          <s v="19-août"/>
          <s v="20-août"/>
          <s v="21-août"/>
          <s v="22-août"/>
          <s v="23-août"/>
          <s v="24-août"/>
          <s v="25-août"/>
          <s v="26-août"/>
          <s v="27-août"/>
          <s v="28-août"/>
          <s v="29-août"/>
          <s v="30-août"/>
          <s v="31-août"/>
          <s v="01-sept"/>
          <s v="02-sept"/>
          <s v="03-sept"/>
          <s v="04-sept"/>
          <s v="05-sept"/>
          <s v="06-sept"/>
          <s v="07-sept"/>
          <s v="08-sept"/>
          <s v="09-sept"/>
          <s v="10-sept"/>
          <s v="11-sept"/>
          <s v="12-sept"/>
          <s v="13-sept"/>
          <s v="14-sept"/>
          <s v="15-sept"/>
          <s v="16-sept"/>
          <s v="17-sept"/>
          <s v="18-sept"/>
          <s v="19-sept"/>
          <s v="20-sept"/>
          <s v="21-sept"/>
          <s v="22-sept"/>
          <s v="23-sept"/>
          <s v="24-sept"/>
          <s v="25-sept"/>
          <s v="26-sept"/>
          <s v="27-sept"/>
          <s v="28-sept"/>
          <s v="29-sept"/>
          <s v="30-sept"/>
          <s v="01-oct"/>
          <s v="02-oct"/>
          <s v="03-oct"/>
          <s v="04-oct"/>
          <s v="05-oct"/>
          <s v="06-oct"/>
          <s v="07-oct"/>
          <s v="08-oct"/>
          <s v="09-oct"/>
          <s v="10-oct"/>
          <s v="11-oct"/>
          <s v="12-oct"/>
          <s v="13-oct"/>
          <s v="14-oct"/>
          <s v="15-oct"/>
          <s v="16-oct"/>
          <s v="17-oct"/>
          <s v="18-oct"/>
          <s v="19-oct"/>
          <s v="20-oct"/>
          <s v="21-oct"/>
          <s v="22-oct"/>
          <s v="23-oct"/>
          <s v="24-oct"/>
          <s v="25-oct"/>
          <s v="26-oct"/>
          <s v="27-oct"/>
          <s v="28-oct"/>
          <s v="29-oct"/>
          <s v="30-oct"/>
          <s v="31-oct"/>
          <s v="01-nov"/>
          <s v="02-nov"/>
          <s v="03-nov"/>
          <s v="04-nov"/>
          <s v="05-nov"/>
          <s v="06-nov"/>
          <s v="07-nov"/>
          <s v="08-nov"/>
          <s v="09-nov"/>
          <s v="10-nov"/>
          <s v="11-nov"/>
          <s v="12-nov"/>
          <s v="13-nov"/>
          <s v="14-nov"/>
          <s v="15-nov"/>
          <s v="16-nov"/>
          <s v="17-nov"/>
          <s v="18-nov"/>
          <s v="19-nov"/>
          <s v="20-nov"/>
          <s v="21-nov"/>
          <s v="22-nov"/>
          <s v="23-nov"/>
          <s v="24-nov"/>
          <s v="25-nov"/>
          <s v="26-nov"/>
          <s v="27-nov"/>
          <s v="28-nov"/>
          <s v="29-nov"/>
          <s v="30-nov"/>
          <s v="01-déc"/>
          <s v="02-déc"/>
          <s v="03-déc"/>
          <s v="04-déc"/>
          <s v="05-déc"/>
          <s v="06-déc"/>
          <s v="07-déc"/>
          <s v="08-déc"/>
          <s v="09-déc"/>
          <s v="10-déc"/>
          <s v="11-déc"/>
          <s v="12-déc"/>
          <s v="13-déc"/>
          <s v="14-déc"/>
          <s v="15-déc"/>
          <s v="16-déc"/>
          <s v="17-déc"/>
          <s v="18-déc"/>
          <s v="19-déc"/>
          <s v="20-déc"/>
          <s v="21-déc"/>
          <s v="22-déc"/>
          <s v="23-déc"/>
          <s v="24-déc"/>
          <s v="25-déc"/>
          <s v="26-déc"/>
          <s v="27-déc"/>
          <s v="28-déc"/>
          <s v="29-déc"/>
          <s v="30-déc"/>
          <s v="31-déc"/>
          <s v="&gt;01/12/2025"/>
        </groupItems>
      </fieldGroup>
    </cacheField>
    <cacheField name="Details" numFmtId="0">
      <sharedItems/>
    </cacheField>
    <cacheField name="Type of expenses" numFmtId="0">
      <sharedItems containsBlank="1"/>
    </cacheField>
    <cacheField name="Department " numFmtId="0">
      <sharedItems containsBlank="1"/>
    </cacheField>
    <cacheField name="Spent  in XAF" numFmtId="0">
      <sharedItems containsString="0" containsBlank="1" containsNumber="1" minValue="-60000" maxValue="2107400"/>
    </cacheField>
    <cacheField name="Spent in $" numFmtId="0">
      <sharedItems containsString="0" containsBlank="1" containsNumber="1" minValue="-106.96283868534969" maxValue="3635.6672865852611"/>
    </cacheField>
    <cacheField name="Exchange Rate $" numFmtId="0">
      <sharedItems containsSemiMixedTypes="0" containsString="0" containsNumber="1" minValue="532.90192592592598" maxValue="613.82180000000005"/>
    </cacheField>
    <cacheField name="Name" numFmtId="0">
      <sharedItems/>
    </cacheField>
    <cacheField name="Receipt" numFmtId="0">
      <sharedItems/>
    </cacheField>
    <cacheField name="Project" numFmtId="0">
      <sharedItems/>
    </cacheField>
    <cacheField name="Donor" numFmtId="0">
      <sharedItems count="9">
        <s v="Wildcat 2024"/>
        <s v="OAK"/>
        <s v="Rufford"/>
        <s v="OAT"/>
        <s v="UE"/>
        <s v="Wildcat 2025"/>
        <s v="ELONGA"/>
        <s v="Dahan"/>
        <s v="Marchig Trust"/>
      </sharedItems>
    </cacheField>
    <cacheField name="Country" numFmtId="0">
      <sharedItems/>
    </cacheField>
    <cacheField name="Receved in XAF" numFmtId="0">
      <sharedItems containsString="0" containsBlank="1" containsNumber="1" containsInteger="1" minValue="266752" maxValue="23367849"/>
    </cacheField>
    <cacheField name="Receved  $" numFmtId="0">
      <sharedItems containsString="0" containsBlank="1" containsNumber="1" containsInteger="1" minValue="500" maxValue="43000"/>
    </cacheField>
    <cacheField name="Comments" numFmtId="0">
      <sharedItems containsNonDate="0" containsString="0" containsBlank="1"/>
    </cacheField>
    <cacheField name="Mois" numFmtId="0" databaseField="0">
      <fieldGroup base="0">
        <rangePr groupBy="months" startDate="2025-01-02T00:00:00" endDate="2025-12-01T00:00:00"/>
        <groupItems count="14">
          <s v="&lt;02/01/2025"/>
          <s v="janv"/>
          <s v="févr"/>
          <s v="mars"/>
          <s v="avr"/>
          <s v="mai"/>
          <s v="juin"/>
          <s v="juil"/>
          <s v="août"/>
          <s v="sept"/>
          <s v="oct"/>
          <s v="nov"/>
          <s v="déc"/>
          <s v="&gt;01/12/2025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9">
  <r>
    <d v="2025-11-03T00:00:00"/>
    <n v="112500"/>
    <m/>
    <n v="112500"/>
    <x v="0"/>
  </r>
  <r>
    <d v="2025-11-03T00:00:00"/>
    <m/>
    <n v="12500"/>
    <n v="100000"/>
    <x v="1"/>
  </r>
  <r>
    <d v="2025-11-03T00:00:00"/>
    <m/>
    <n v="7500"/>
    <n v="92500"/>
    <x v="2"/>
  </r>
  <r>
    <d v="2025-11-03T00:00:00"/>
    <m/>
    <n v="10000"/>
    <n v="82500"/>
    <x v="3"/>
  </r>
  <r>
    <d v="2025-11-03T00:00:00"/>
    <m/>
    <n v="10000"/>
    <n v="72500"/>
    <x v="4"/>
  </r>
  <r>
    <d v="2025-11-03T00:00:00"/>
    <m/>
    <n v="7500"/>
    <n v="65000"/>
    <x v="5"/>
  </r>
  <r>
    <d v="2025-11-03T00:00:00"/>
    <m/>
    <n v="7500"/>
    <n v="57500"/>
    <x v="6"/>
  </r>
  <r>
    <d v="2025-11-03T00:00:00"/>
    <m/>
    <n v="7500"/>
    <n v="50000"/>
    <x v="7"/>
  </r>
  <r>
    <d v="2025-11-03T00:00:00"/>
    <m/>
    <n v="10000"/>
    <n v="40000"/>
    <x v="8"/>
  </r>
  <r>
    <d v="2025-11-03T00:00:00"/>
    <m/>
    <n v="10000"/>
    <n v="30000"/>
    <x v="9"/>
  </r>
  <r>
    <d v="2025-11-03T00:00:00"/>
    <m/>
    <n v="10000"/>
    <n v="20000"/>
    <x v="10"/>
  </r>
  <r>
    <d v="2025-11-03T00:00:00"/>
    <m/>
    <n v="10000"/>
    <n v="10000"/>
    <x v="11"/>
  </r>
  <r>
    <d v="2025-11-03T00:00:00"/>
    <m/>
    <n v="10000"/>
    <n v="0"/>
    <x v="12"/>
  </r>
  <r>
    <d v="2025-11-10T00:00:00"/>
    <n v="112500"/>
    <m/>
    <n v="112500"/>
    <x v="0"/>
  </r>
  <r>
    <d v="2025-11-10T00:00:00"/>
    <m/>
    <n v="12500"/>
    <n v="100000"/>
    <x v="1"/>
  </r>
  <r>
    <d v="2025-11-10T00:00:00"/>
    <m/>
    <n v="7500"/>
    <n v="92500"/>
    <x v="2"/>
  </r>
  <r>
    <d v="2025-11-10T00:00:00"/>
    <m/>
    <n v="10000"/>
    <n v="82500"/>
    <x v="3"/>
  </r>
  <r>
    <d v="2025-11-10T00:00:00"/>
    <m/>
    <n v="10000"/>
    <n v="72500"/>
    <x v="4"/>
  </r>
  <r>
    <d v="2025-11-10T00:00:00"/>
    <m/>
    <n v="7500"/>
    <n v="65000"/>
    <x v="5"/>
  </r>
  <r>
    <d v="2025-11-10T00:00:00"/>
    <m/>
    <n v="7500"/>
    <n v="57500"/>
    <x v="6"/>
  </r>
  <r>
    <d v="2025-11-10T00:00:00"/>
    <m/>
    <n v="7500"/>
    <n v="50000"/>
    <x v="7"/>
  </r>
  <r>
    <d v="2025-11-10T00:00:00"/>
    <m/>
    <n v="10000"/>
    <n v="40000"/>
    <x v="8"/>
  </r>
  <r>
    <d v="2025-11-10T00:00:00"/>
    <m/>
    <n v="10000"/>
    <n v="30000"/>
    <x v="9"/>
  </r>
  <r>
    <d v="2025-11-10T00:00:00"/>
    <m/>
    <n v="10000"/>
    <n v="20000"/>
    <x v="10"/>
  </r>
  <r>
    <d v="2025-11-10T00:00:00"/>
    <m/>
    <n v="10000"/>
    <n v="10000"/>
    <x v="11"/>
  </r>
  <r>
    <d v="2025-11-10T00:00:00"/>
    <m/>
    <n v="10000"/>
    <n v="0"/>
    <x v="12"/>
  </r>
  <r>
    <d v="2025-11-17T00:00:00"/>
    <n v="112500"/>
    <m/>
    <n v="112500"/>
    <x v="0"/>
  </r>
  <r>
    <d v="2025-11-17T00:00:00"/>
    <m/>
    <n v="12500"/>
    <n v="100000"/>
    <x v="1"/>
  </r>
  <r>
    <d v="2025-11-17T00:00:00"/>
    <m/>
    <n v="7500"/>
    <n v="92500"/>
    <x v="2"/>
  </r>
  <r>
    <d v="2025-11-17T00:00:00"/>
    <m/>
    <n v="10000"/>
    <n v="82500"/>
    <x v="3"/>
  </r>
  <r>
    <d v="2025-11-17T00:00:00"/>
    <m/>
    <n v="10000"/>
    <n v="72500"/>
    <x v="4"/>
  </r>
  <r>
    <d v="2025-11-17T00:00:00"/>
    <m/>
    <n v="7500"/>
    <n v="65000"/>
    <x v="5"/>
  </r>
  <r>
    <d v="2025-11-17T00:00:00"/>
    <m/>
    <n v="7500"/>
    <n v="57500"/>
    <x v="6"/>
  </r>
  <r>
    <d v="2025-11-17T00:00:00"/>
    <m/>
    <n v="7500"/>
    <n v="50000"/>
    <x v="7"/>
  </r>
  <r>
    <d v="2025-11-17T00:00:00"/>
    <m/>
    <n v="10000"/>
    <n v="40000"/>
    <x v="8"/>
  </r>
  <r>
    <d v="2025-11-17T00:00:00"/>
    <m/>
    <n v="10000"/>
    <n v="30000"/>
    <x v="9"/>
  </r>
  <r>
    <d v="2025-11-17T00:00:00"/>
    <m/>
    <n v="10000"/>
    <n v="20000"/>
    <x v="10"/>
  </r>
  <r>
    <d v="2025-11-17T00:00:00"/>
    <m/>
    <n v="10000"/>
    <n v="10000"/>
    <x v="11"/>
  </r>
  <r>
    <d v="2025-11-17T00:00:00"/>
    <m/>
    <n v="10000"/>
    <n v="0"/>
    <x v="12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59">
  <r>
    <d v="2025-11-10T00:00:00"/>
    <s v="Report au 01/11/2025"/>
    <m/>
    <m/>
    <m/>
    <m/>
    <n v="396225"/>
    <x v="0"/>
    <m/>
    <m/>
  </r>
  <r>
    <d v="2025-11-03T00:00:00"/>
    <s v="Crépin"/>
    <s v="Versement"/>
    <m/>
    <n v="112000"/>
    <m/>
    <n v="284225"/>
    <x v="1"/>
    <s v="CA-N-V2"/>
    <m/>
  </r>
  <r>
    <d v="2025-11-03T00:00:00"/>
    <s v="Roderlin"/>
    <s v="Versement"/>
    <m/>
    <n v="112000"/>
    <m/>
    <n v="172225"/>
    <x v="2"/>
    <s v="CA-N-V3"/>
    <m/>
  </r>
  <r>
    <d v="2025-11-03T00:00:00"/>
    <s v="Frais de transport mission Maitre Helene à Madingou du 03 au 07/11/2025"/>
    <s v="Transport"/>
    <s v="Legal"/>
    <n v="12000"/>
    <m/>
    <n v="160225"/>
    <x v="3"/>
    <s v="CA-N-R1"/>
    <m/>
  </r>
  <r>
    <d v="2025-11-03T00:00:00"/>
    <s v="Ration et frais d'hotel mission maitre Helène à Madingou du 03 au 07/11/2025"/>
    <s v="Travel Subsistence"/>
    <s v="Legal"/>
    <n v="100000"/>
    <m/>
    <n v="60225"/>
    <x v="3"/>
    <s v="CA-N-R2"/>
    <m/>
  </r>
  <r>
    <d v="2025-11-03T00:00:00"/>
    <s v="Frais de tansfert d'argent Charden Frarell  a crepin ,Roderlin"/>
    <s v="Transfert fees"/>
    <s v="Office"/>
    <n v="10080"/>
    <m/>
    <n v="50145"/>
    <x v="3"/>
    <s v="CA-N-R3"/>
    <m/>
  </r>
  <r>
    <d v="2025-11-03T00:00:00"/>
    <s v="Retrait espèces/3655345"/>
    <s v="Versement"/>
    <m/>
    <m/>
    <n v="2000000"/>
    <n v="2050145"/>
    <x v="4"/>
    <s v="CA-N-V4"/>
    <m/>
  </r>
  <r>
    <d v="2025-11-03T00:00:00"/>
    <s v="Achat credit  teléphonique MTN/PALF/du 03 au 09/11/2025 "/>
    <s v="Telephone"/>
    <s v="Office"/>
    <n v="112500"/>
    <m/>
    <n v="1937645"/>
    <x v="5"/>
    <s v="Oui"/>
    <m/>
  </r>
  <r>
    <d v="2025-11-04T00:00:00"/>
    <s v="Achat carburant groupe electrogène Bureau "/>
    <s v="Office Materiels"/>
    <s v="Office"/>
    <n v="62500"/>
    <m/>
    <n v="1875145"/>
    <x v="3"/>
    <s v="CA-N-R4"/>
    <m/>
  </r>
  <r>
    <d v="2025-11-04T00:00:00"/>
    <s v="Achat produit d'entretien  et Main d'œuvre du groupe électrogène/Bureau PALF"/>
    <s v="Office Materiels"/>
    <s v="Office"/>
    <n v="27000"/>
    <m/>
    <n v="1848145"/>
    <x v="6"/>
    <s v="CA-N-R5"/>
    <m/>
  </r>
  <r>
    <d v="2025-11-04T00:00:00"/>
    <s v="Bonus media portant sur l'interpellation d'un trafiquant d'un bébé chimpanzé le 28 octobre 2025 à Nkayi pièces presse Internet (https://www.panoramik-actu.com)"/>
    <s v="Bonus to media officer"/>
    <s v="Media"/>
    <n v="6000"/>
    <m/>
    <n v="1842145"/>
    <x v="7"/>
    <s v="CA-N-D1"/>
    <m/>
  </r>
  <r>
    <d v="2025-11-04T00:00:00"/>
    <s v="Bonus media portant sur l'interpellation d'un trafiquant d'un bébé chimpanzé le 28 octobre 2025 à Nkayi pièces presse Internet(https://www.tribune-eco.cg)"/>
    <s v="Bonus to media officer"/>
    <s v="Media"/>
    <n v="6000"/>
    <m/>
    <n v="1836145"/>
    <x v="7"/>
    <s v="CA-N-D1"/>
    <m/>
  </r>
  <r>
    <d v="2025-11-04T00:00:00"/>
    <s v="Bonus media portant sur l'interpellation d'un trafiquant d'un bébé chimpanzé le 28 octobre 2025 à Nkayi pièces presse Internet(https://www.groupecongomedias.com)"/>
    <s v="Bonus to media officer"/>
    <s v="Media"/>
    <n v="6000"/>
    <m/>
    <n v="1830145"/>
    <x v="7"/>
    <s v="CA-N-D1"/>
    <m/>
  </r>
  <r>
    <d v="2025-11-04T00:00:00"/>
    <s v="Bonus media portant sur l'interpellation d'un trafiquant d'un bébé chimpanzé le 28 octobre 2025 à Nkayi pièces presse Internet (https://www.labreveonline.com)"/>
    <s v="Bonus to media officer"/>
    <s v="Media"/>
    <n v="6000"/>
    <m/>
    <n v="1824145"/>
    <x v="7"/>
    <s v="CA-N-D1"/>
    <m/>
  </r>
  <r>
    <d v="2025-11-04T00:00:00"/>
    <s v="Bonus media portant sur l'interpellation d'un trafiquant d'un bébé chimpanzé le 28 octobre 2025 à Nkayi pièces presse Internet (https://www.adiac-congo.com)"/>
    <s v="Bonus to media officer"/>
    <s v="Media"/>
    <n v="6000"/>
    <m/>
    <n v="1818145"/>
    <x v="7"/>
    <s v="CA-N-D1"/>
    <m/>
  </r>
  <r>
    <d v="2025-11-04T00:00:00"/>
    <s v="Bonus media portant sur l'interpellation d'un trafiquant d'un bébé chimpanzé le 28 octobre 2025 à Nkayi pièces presse Internet (https://www.lasemaineafricaine.info)"/>
    <s v="Bonus to media officer"/>
    <s v="Media"/>
    <n v="6000"/>
    <m/>
    <n v="1812145"/>
    <x v="7"/>
    <s v="CA-N-D1"/>
    <m/>
  </r>
  <r>
    <d v="2025-11-04T00:00:00"/>
    <s v="Bonus media portant sur l'interpellation d'un trafiquant d'un bébé chimpanzé le 28 octobre 2025 à Nkayi pièces presse Internet (https://www.matinlibre.cg)"/>
    <s v="Bonus to media officer"/>
    <s v="Media"/>
    <n v="6000"/>
    <m/>
    <n v="1806145"/>
    <x v="7"/>
    <s v="CA-N-D1"/>
    <m/>
  </r>
  <r>
    <d v="2025-11-04T00:00:00"/>
    <s v="Bonus media portant sur l'interpellation d'un trafiquant d'un bébé chimpanzé le 28 octobre 2025 à Nkayi pièces presse Internet (https://www.firstmediac.com)"/>
    <s v="Bonus to media officer"/>
    <s v="Media"/>
    <n v="6000"/>
    <m/>
    <n v="1800145"/>
    <x v="7"/>
    <s v="CA-N-D1"/>
    <m/>
  </r>
  <r>
    <d v="2025-11-04T00:00:00"/>
    <s v="Bonus media portant sur l'interpellation d'un trafiquant d'un bébé chimpanzé le 28 octobre 2025 à Nkayi pièces presse Internet (https://www.journaldebrazza.com)"/>
    <s v="Bonus to media officer"/>
    <s v="Media"/>
    <n v="6000"/>
    <m/>
    <n v="1794145"/>
    <x v="7"/>
    <s v="CA-N-D1"/>
    <m/>
  </r>
  <r>
    <d v="2025-11-04T00:00:00"/>
    <s v="Bonus media portant sur l'interpellation d'un trafiquant d'un bébé chimpanzé le 28 octobre 2025 à Nkayi pièces presse Internet (https://vmmedias.info)"/>
    <s v="Bonus to media officer"/>
    <s v="Media"/>
    <n v="6000"/>
    <m/>
    <n v="1788145"/>
    <x v="7"/>
    <s v="CA-N-D1"/>
    <m/>
  </r>
  <r>
    <d v="2025-11-04T00:00:00"/>
    <s v="Bonus media portant sur l'interpellation d'un trafiquant d'un bébé chimpanzé le 28 octobre 2025 à Nkayi pièces presse Internet (https://aci.cg)"/>
    <s v="Bonus to media officer"/>
    <s v="Media"/>
    <n v="6000"/>
    <m/>
    <n v="1782145"/>
    <x v="7"/>
    <s v="CA-N-D1"/>
    <m/>
  </r>
  <r>
    <d v="2025-11-04T00:00:00"/>
    <s v="Bonus media portant sur l'interpellation d'un trafiquant d'un bébé chimpanzé le 28 octobre 2025 à Nkayi pièces presse Internet (https://lesechos-congobrazza.com/)"/>
    <s v="Bonus to media officer"/>
    <s v="Media"/>
    <n v="6000"/>
    <m/>
    <n v="1776145"/>
    <x v="7"/>
    <s v="CA-N-D1"/>
    <m/>
  </r>
  <r>
    <d v="2025-11-04T00:00:00"/>
    <s v="Bonus media portant sur l'interpellation d'un trafiquant d'un bébé chimpanzé le 28 octobre 2025 à Nkayi pièces presse Internet (https://opinionpublique.cg)"/>
    <s v="Bonus to media officer"/>
    <s v="Media"/>
    <n v="6000"/>
    <m/>
    <n v="1770145"/>
    <x v="7"/>
    <s v="CA-N-D1"/>
    <m/>
  </r>
  <r>
    <d v="2025-11-04T00:00:00"/>
    <s v="Bonus media portant sur l'interpellation d'un trafiquant d'un bébé chimpanzé le 28 octobre 2025 à Nkayi pièces presse Internet (https://www.lhorizonafricain.com)"/>
    <s v="Bonus to media officer"/>
    <s v="Media"/>
    <n v="6000"/>
    <m/>
    <n v="1764145"/>
    <x v="7"/>
    <s v="CA-N-D1"/>
    <m/>
  </r>
  <r>
    <d v="2025-11-04T00:00:00"/>
    <s v="Bonus media portant sur l'interpallation  d'un trafiquant d'un bébé chimpanzé le 28 octobre 2025 à Nkayi  pieces presse papier(les depêches de brazzaville, l'horizion africain, l'agence congolaise de l'information"/>
    <s v="Bonus to media officer"/>
    <s v="Media"/>
    <n v="10000"/>
    <m/>
    <n v="1754145"/>
    <x v="7"/>
    <s v="CA-N-D2"/>
    <m/>
  </r>
  <r>
    <d v="2025-11-04T00:00:00"/>
    <s v="Bonus media portant sur l'interpallation  d'un trafiquant d'un bébé chimpanzé le 28 octobre 2025 à Nkayi  pieces presse papier(les depêches de brazzaville)"/>
    <s v="Bonus to media officer"/>
    <s v="Media"/>
    <n v="10000"/>
    <m/>
    <n v="1744145"/>
    <x v="7"/>
    <s v="CA-N-D2"/>
    <m/>
  </r>
  <r>
    <d v="2025-11-04T00:00:00"/>
    <s v="Bonus media portant sur l'interpallation  d'un trafiquant d'un bébé chimpanzé le 28 octobre 2025 à Nkayi  pieces presse papier ( l'horizion africain)"/>
    <s v="Bonus to media officer"/>
    <s v="Media"/>
    <n v="10000"/>
    <m/>
    <n v="1734145"/>
    <x v="7"/>
    <s v="CA-N-D2"/>
    <m/>
  </r>
  <r>
    <d v="2025-11-04T00:00:00"/>
    <s v="Bonus media portant sur l'interpellation  d'un trafiquant d'un bébé chimpanzé le 28 octobre 2025 à Nkayi presse Radio citoyenne des jeunes"/>
    <s v="Bonus to media officer"/>
    <s v="Media"/>
    <n v="6000"/>
    <m/>
    <n v="1728145"/>
    <x v="7"/>
    <s v="CA-N-D3"/>
    <m/>
  </r>
  <r>
    <d v="2025-11-04T00:00:00"/>
    <s v="Bonus media portant sur l'interpellation  d'un trafiquant d'un bébé chimpanzé le 28 octobre 2025 à Nkayi presse Radio Liberté Kituba"/>
    <s v="Bonus to media officer"/>
    <s v="Media"/>
    <n v="6000"/>
    <m/>
    <n v="1722145"/>
    <x v="7"/>
    <s v="CA-N-D3"/>
    <m/>
  </r>
  <r>
    <d v="2025-11-04T00:00:00"/>
    <s v="Bonus media portant sur l'interpellation  d'un trafiquant d'un bébé chimpanzé le 28 octobre 2025 à Nkayi presse Radio Liberté Français"/>
    <s v="Bonus to media officer"/>
    <s v="Media"/>
    <n v="6000"/>
    <m/>
    <n v="1716145"/>
    <x v="7"/>
    <s v="CA-N-D3"/>
    <m/>
  </r>
  <r>
    <d v="2025-11-04T00:00:00"/>
    <s v="Bonus media portant sur l'interpellation  d'un trafiquant d'un bébé chimpanzé le 28 octobre 2025 à Nkayi presse Radio Liberté Lingala"/>
    <s v="Bonus to media officer"/>
    <s v="Media"/>
    <n v="6000"/>
    <m/>
    <n v="1710145"/>
    <x v="7"/>
    <s v="CA-N-D3"/>
    <m/>
  </r>
  <r>
    <d v="2025-11-04T00:00:00"/>
    <s v="Evariste"/>
    <s v="Versement"/>
    <m/>
    <n v="20000"/>
    <m/>
    <n v="1690145"/>
    <x v="7"/>
    <s v="CA-N-V5"/>
    <m/>
  </r>
  <r>
    <d v="2025-11-04T00:00:00"/>
    <s v="DOVI"/>
    <s v="Versement"/>
    <m/>
    <n v="175000"/>
    <m/>
    <n v="1515145"/>
    <x v="8"/>
    <s v="CA-N-V6"/>
    <m/>
  </r>
  <r>
    <d v="2025-11-05T00:00:00"/>
    <s v="Achat fourniture de bureau PALF Classeur "/>
    <s v="Office Materiels"/>
    <s v="Office"/>
    <n v="25000"/>
    <m/>
    <n v="1490145"/>
    <x v="6"/>
    <s v="CA-N-R6"/>
    <m/>
  </r>
  <r>
    <d v="2025-11-05T00:00:00"/>
    <s v="Achat fourniture de bureau PALF  paque papier bristol"/>
    <s v="Office Materiels"/>
    <s v="Office"/>
    <n v="3500"/>
    <m/>
    <n v="1486645"/>
    <x v="6"/>
    <s v="CA-N-R6"/>
    <m/>
  </r>
  <r>
    <d v="2025-11-05T00:00:00"/>
    <s v="Achat fourniture de bureau PALF deux cartons de paquet RAME A4"/>
    <s v="Office Materiels"/>
    <s v="Office"/>
    <n v="34000"/>
    <m/>
    <n v="1452645"/>
    <x v="6"/>
    <s v="CA-N-R6"/>
    <m/>
  </r>
  <r>
    <d v="2025-11-05T00:00:00"/>
    <s v="Achat fourniture de bureau PALF  Carnet reçu"/>
    <s v="Office Materiels"/>
    <s v="Office"/>
    <n v="7500"/>
    <m/>
    <n v="1445145"/>
    <x v="6"/>
    <s v="CA-N-R6"/>
    <m/>
  </r>
  <r>
    <d v="2025-11-05T00:00:00"/>
    <s v="Achat fourniture de bureau PALF  cole en pate"/>
    <s v="Office Materiels"/>
    <s v="Office"/>
    <n v="1000"/>
    <m/>
    <n v="1444145"/>
    <x v="6"/>
    <s v="CA-N-R6"/>
    <m/>
  </r>
  <r>
    <d v="2025-11-05T00:00:00"/>
    <s v="Achat fourniture de bureau PALF  paquet stylo bleu"/>
    <s v="Office Materiels"/>
    <s v="Office"/>
    <n v="5000"/>
    <m/>
    <n v="1439145"/>
    <x v="6"/>
    <s v="CA-N-R6"/>
    <m/>
  </r>
  <r>
    <d v="2025-11-05T00:00:00"/>
    <s v="Achat fourniture de bureau PALF un  Agrafeuse"/>
    <s v="Office Materiels"/>
    <s v="Office"/>
    <n v="5000"/>
    <m/>
    <n v="1434145"/>
    <x v="6"/>
    <s v="CA-N-R6"/>
    <m/>
  </r>
  <r>
    <d v="2025-11-05T00:00:00"/>
    <s v="Achat fourniture de bureau PALF un desagrafeuse"/>
    <s v="Office Materiels"/>
    <s v="Office"/>
    <n v="1000"/>
    <m/>
    <n v="1433145"/>
    <x v="6"/>
    <s v="CA-N-R6"/>
    <m/>
  </r>
  <r>
    <d v="2025-11-05T00:00:00"/>
    <s v="Achat fourniture de bureau PALF un paquet d'intercalaire"/>
    <s v="Office Materiels"/>
    <s v="Office"/>
    <n v="3500"/>
    <m/>
    <n v="1429645"/>
    <x v="6"/>
    <s v="CA-N-R6"/>
    <m/>
  </r>
  <r>
    <d v="2025-11-05T00:00:00"/>
    <s v="Bonus opération du 28/10/2025 à Nkayi/Evariste"/>
    <s v="Bonus"/>
    <s v="Operation"/>
    <n v="25000"/>
    <m/>
    <n v="1404645"/>
    <x v="7"/>
    <s v="CA-N-D4"/>
    <m/>
  </r>
  <r>
    <d v="2025-11-05T00:00:00"/>
    <s v="Bonus opération du 28/10/2025 à Nkayi/Evariste"/>
    <s v="Bonus"/>
    <s v="Operation"/>
    <n v="25000"/>
    <m/>
    <n v="1379645"/>
    <x v="3"/>
    <s v="CA-N-D5"/>
    <m/>
  </r>
  <r>
    <d v="2025-11-06T00:00:00"/>
    <s v="G12"/>
    <s v="Versement"/>
    <m/>
    <n v="20000"/>
    <m/>
    <n v="1359645"/>
    <x v="9"/>
    <s v="CA-N-V7"/>
    <m/>
  </r>
  <r>
    <d v="2025-11-06T00:00:00"/>
    <s v="Achat produit d'entretien  02 laits 900g  /Bureau PALF"/>
    <s v="Office Materiels"/>
    <s v="Office"/>
    <n v="11000"/>
    <m/>
    <n v="1348645"/>
    <x v="6"/>
    <s v="CA-N-R7"/>
    <m/>
  </r>
  <r>
    <d v="2025-11-06T00:00:00"/>
    <s v="Achat produit d'entretien 02 bouteille des  javels /Bureau PALF"/>
    <s v="Office Materiels"/>
    <s v="Office"/>
    <n v="5000"/>
    <m/>
    <n v="1343645"/>
    <x v="6"/>
    <s v="CA-N-R7"/>
    <m/>
  </r>
  <r>
    <d v="2025-11-06T00:00:00"/>
    <s v="Achat produit d'entretien nettoyant menage/Bureau PALF"/>
    <s v="Office Materiels"/>
    <s v="Office"/>
    <n v="2750"/>
    <m/>
    <n v="1340895"/>
    <x v="6"/>
    <s v="CA-N-R7"/>
    <m/>
  </r>
  <r>
    <d v="2025-11-06T00:00:00"/>
    <s v="Achat produit d'entretien 06 papiers toilette/Bureau PALF"/>
    <s v="Office Materiels"/>
    <s v="Office"/>
    <n v="11700"/>
    <m/>
    <n v="1329195"/>
    <x v="6"/>
    <s v="CA-N-R7"/>
    <m/>
  </r>
  <r>
    <d v="2025-11-06T00:00:00"/>
    <s v="Achat produit d'entretien 02 bloc wc/Bureau PALF"/>
    <s v="Office Materiels"/>
    <s v="Office"/>
    <n v="4000"/>
    <m/>
    <n v="1325195"/>
    <x v="6"/>
    <s v="CA-N-R7"/>
    <m/>
  </r>
  <r>
    <d v="2025-11-06T00:00:00"/>
    <s v="Achat produit d'entretien 02 bloc chasse/Bureau PALF"/>
    <s v="Office Materiels"/>
    <s v="Office"/>
    <n v="3000"/>
    <m/>
    <n v="1322195"/>
    <x v="6"/>
    <s v="CA-N-R7"/>
    <m/>
  </r>
  <r>
    <d v="2025-11-06T00:00:00"/>
    <s v="Achat produit d'entretien Matinal/Bureau PALF"/>
    <s v="Office Materiels"/>
    <s v="Office"/>
    <n v="2750"/>
    <m/>
    <n v="1319445"/>
    <x v="6"/>
    <s v="CA-N-R7"/>
    <m/>
  </r>
  <r>
    <d v="2025-11-06T00:00:00"/>
    <s v="Achat produit d'entretien liquide vaisselle/Bureau PALF"/>
    <s v="Office Materiels"/>
    <s v="Office"/>
    <n v="1500"/>
    <m/>
    <n v="1317945"/>
    <x v="6"/>
    <s v="CA-N-R7"/>
    <m/>
  </r>
  <r>
    <d v="2025-11-06T00:00:00"/>
    <s v="Achat produit d'entretien savon de menage/Bureau PALF"/>
    <s v="Office Materiels"/>
    <s v="Office"/>
    <n v="2000"/>
    <m/>
    <n v="1315945"/>
    <x v="6"/>
    <s v="CA-N-R7"/>
    <m/>
  </r>
  <r>
    <d v="2025-11-06T00:00:00"/>
    <s v="Achat produit d'entretien Proclin 1000 kg/Bureau PALF"/>
    <s v="Office Materiels"/>
    <s v="Office"/>
    <n v="3700"/>
    <m/>
    <n v="1312245"/>
    <x v="6"/>
    <s v="CA-N-R7"/>
    <m/>
  </r>
  <r>
    <d v="2025-11-06T00:00:00"/>
    <s v="Achat produit d'entretien sac sucre 5kg /Bureau PALF"/>
    <s v="Office Materiels"/>
    <s v="Office"/>
    <n v="3750"/>
    <m/>
    <n v="1308495"/>
    <x v="6"/>
    <s v="CA-N-R7"/>
    <m/>
  </r>
  <r>
    <d v="2025-11-06T00:00:00"/>
    <s v="Achat produit d'entretien sac à poubelle/Bureau PALF"/>
    <s v="Office Materiels"/>
    <s v="Office"/>
    <n v="8750"/>
    <m/>
    <n v="1299745"/>
    <x v="6"/>
    <s v="CA-N-R7"/>
    <m/>
  </r>
  <r>
    <d v="2025-11-06T00:00:00"/>
    <s v="Achat produit d'entretien thé/Bureau PALF"/>
    <s v="Office Materiels"/>
    <s v="Office"/>
    <n v="1750"/>
    <m/>
    <n v="1297995"/>
    <x v="6"/>
    <s v="CA-N-R7"/>
    <m/>
  </r>
  <r>
    <d v="2025-11-06T00:00:00"/>
    <s v="T73"/>
    <s v="Versement"/>
    <m/>
    <n v="20000"/>
    <m/>
    <n v="1277995"/>
    <x v="10"/>
    <s v="CA-N-V8"/>
    <m/>
  </r>
  <r>
    <d v="2025-11-07T00:00:00"/>
    <s v="IT87"/>
    <s v="Versement"/>
    <m/>
    <n v="20000"/>
    <m/>
    <n v="1257995"/>
    <x v="11"/>
    <s v="CA-N-V9"/>
    <m/>
  </r>
  <r>
    <d v="2025-11-10T00:00:00"/>
    <s v="Frais de transport mission Maitre Helene à Owando du 11 au 13/11/2025"/>
    <s v="Transport"/>
    <s v="Legal"/>
    <n v="22000"/>
    <m/>
    <n v="1235995"/>
    <x v="12"/>
    <s v="CA-N-R8"/>
    <m/>
  </r>
  <r>
    <d v="2025-11-10T00:00:00"/>
    <s v="Ration et frais d'hotel mission maitre Helène à Owando du 11 au 13/11/2025"/>
    <s v="Travel Subsistence"/>
    <s v="Legal"/>
    <n v="50000"/>
    <m/>
    <n v="1185995"/>
    <x v="12"/>
    <s v="CA-N-R9"/>
    <m/>
  </r>
  <r>
    <d v="2025-11-10T00:00:00"/>
    <s v="P29"/>
    <s v="Versement"/>
    <m/>
    <n v="20000"/>
    <m/>
    <n v="1165995"/>
    <x v="13"/>
    <s v="CA-N-V10"/>
    <m/>
  </r>
  <r>
    <d v="2025-11-10T00:00:00"/>
    <s v="Bonus opération du 28/10/2025 à Nkayi/Crepin"/>
    <s v="Bonus"/>
    <s v="Operation"/>
    <n v="30000"/>
    <m/>
    <n v="1135995"/>
    <x v="1"/>
    <s v="CA-N-D6"/>
    <m/>
  </r>
  <r>
    <d v="2025-11-10T00:00:00"/>
    <s v="Bonus opération du 28/10/2025 à Nkayi/Roderlin"/>
    <s v="Bonus"/>
    <s v="Operation"/>
    <n v="25000"/>
    <m/>
    <n v="1110995"/>
    <x v="2"/>
    <s v="CA-N-D7"/>
    <m/>
  </r>
  <r>
    <d v="2025-11-10T00:00:00"/>
    <s v="Achat credit  teléphonique MTN/PALF/Du 10 au 16/11/2025 "/>
    <s v="Telephone"/>
    <s v="Office"/>
    <n v="112500"/>
    <m/>
    <n v="998495"/>
    <x v="5"/>
    <s v="Oui"/>
    <m/>
  </r>
  <r>
    <d v="2025-11-10T00:00:00"/>
    <s v="Abraham"/>
    <s v="Versement"/>
    <m/>
    <n v="84000"/>
    <m/>
    <n v="914495"/>
    <x v="3"/>
    <s v="CA-N-V11"/>
    <m/>
  </r>
  <r>
    <d v="2025-11-11T00:00:00"/>
    <s v="Réglement facture électricité periode Septembre-Octobre 2025/bureau PALF"/>
    <s v="Rent &amp; Utilities"/>
    <s v="Office"/>
    <n v="31187"/>
    <m/>
    <n v="883308"/>
    <x v="12"/>
    <s v="CA-N-R10"/>
    <m/>
  </r>
  <r>
    <d v="2025-11-12T00:00:00"/>
    <s v="IT87"/>
    <s v="Versement"/>
    <m/>
    <n v="15000"/>
    <m/>
    <n v="868308"/>
    <x v="11"/>
    <s v="CA-N-V12"/>
    <m/>
  </r>
  <r>
    <d v="2025-11-12T00:00:00"/>
    <s v="Parfaite"/>
    <s v="Versement"/>
    <m/>
    <n v="20000"/>
    <m/>
    <n v="848308"/>
    <x v="6"/>
    <s v="CA-N-V13"/>
    <m/>
  </r>
  <r>
    <d v="2025-11-12T00:00:00"/>
    <s v="DOVI"/>
    <s v="Versement"/>
    <m/>
    <n v="20000"/>
    <m/>
    <n v="828308"/>
    <x v="8"/>
    <s v="CA-N-V14"/>
    <m/>
  </r>
  <r>
    <d v="2025-11-13T00:00:00"/>
    <s v="Roderlin"/>
    <s v="Versement"/>
    <m/>
    <n v="20000"/>
    <m/>
    <n v="808308"/>
    <x v="2"/>
    <s v="CA-N-V15"/>
    <m/>
  </r>
  <r>
    <d v="2025-11-13T00:00:00"/>
    <s v="Romain"/>
    <s v="Versement"/>
    <m/>
    <n v="20000"/>
    <m/>
    <n v="788308"/>
    <x v="12"/>
    <s v="CA-N-V16"/>
    <m/>
  </r>
  <r>
    <d v="2025-11-13T00:00:00"/>
    <s v="P29"/>
    <s v="Versement"/>
    <m/>
    <n v="20000"/>
    <m/>
    <n v="768308"/>
    <x v="13"/>
    <s v="CA-N-V17"/>
    <m/>
  </r>
  <r>
    <d v="2025-11-13T00:00:00"/>
    <s v="G12"/>
    <s v="Versement"/>
    <m/>
    <n v="100000"/>
    <m/>
    <n v="668308"/>
    <x v="9"/>
    <s v="CA-N-V18"/>
    <m/>
  </r>
  <r>
    <d v="2025-11-13T00:00:00"/>
    <s v="IT87"/>
    <s v="Versement"/>
    <m/>
    <n v="100000"/>
    <m/>
    <n v="568308"/>
    <x v="11"/>
    <s v="CA-N-V19"/>
    <m/>
  </r>
  <r>
    <d v="2025-11-13T00:00:00"/>
    <s v="T73"/>
    <s v="Versement"/>
    <m/>
    <n v="100000"/>
    <m/>
    <n v="468308"/>
    <x v="10"/>
    <s v="CA-N-V20"/>
    <m/>
  </r>
  <r>
    <d v="2025-11-13T00:00:00"/>
    <s v="P29"/>
    <s v="Versement"/>
    <m/>
    <n v="100000"/>
    <m/>
    <n v="368308"/>
    <x v="13"/>
    <s v="CA-N-V21"/>
    <m/>
  </r>
  <r>
    <d v="2025-11-14T00:00:00"/>
    <s v="Bonus media portant sur l'annonce audience du 20 novembre 2025 au TGI de Madingou  pièces presse Internet (https://www.panoramik-actu.com)"/>
    <s v="Bonus to media officer"/>
    <s v="Media"/>
    <n v="6000"/>
    <m/>
    <n v="362308"/>
    <x v="7"/>
    <s v="CA-N-D8"/>
    <m/>
  </r>
  <r>
    <d v="2025-11-14T00:00:00"/>
    <s v="Bonus media portant sur l'annonce audience du 20 novembre 2025 au TGI de Madingou  pièces presse Internet(https://www.tribune-eco.cg)"/>
    <s v="Bonus to media officer"/>
    <s v="Media"/>
    <n v="6000"/>
    <m/>
    <n v="356308"/>
    <x v="7"/>
    <s v="CA-N-D8"/>
    <m/>
  </r>
  <r>
    <d v="2025-11-14T00:00:00"/>
    <s v="Bonus media portant sur l'annonce audience du 20 novembre 2025 au TGI de Madingou  pièces presse Internet(https://www.groupecongomedias.com)"/>
    <s v="Bonus to media officer"/>
    <s v="Media"/>
    <n v="6000"/>
    <m/>
    <n v="350308"/>
    <x v="7"/>
    <s v="CA-N-D8"/>
    <m/>
  </r>
  <r>
    <d v="2025-11-14T00:00:00"/>
    <s v="Bonus media portant sur l'annonce audience du 20 novembre 2025 au TGI de Madingou  pièces presse Internet (https://www.labreveonline.com)"/>
    <s v="Bonus to media officer"/>
    <s v="Media"/>
    <n v="6000"/>
    <m/>
    <n v="344308"/>
    <x v="7"/>
    <s v="CA-N-D8"/>
    <m/>
  </r>
  <r>
    <d v="2025-11-14T00:00:00"/>
    <s v="Bonus media portant sur l'annonce audience du 20 novembre 2025 au TGI de Madingou  pièces presse Internet (https://www.adiac-congo.com)"/>
    <s v="Bonus to media officer"/>
    <s v="Media"/>
    <n v="6000"/>
    <m/>
    <n v="338308"/>
    <x v="7"/>
    <s v="CA-N-D8"/>
    <m/>
  </r>
  <r>
    <d v="2025-11-14T00:00:00"/>
    <s v="Bonus media portant sur l'annonce audience du 20 novembre 2025 au TGI de Madingou  pièces presse Internet (https://www.lasemaineafricaine.info)"/>
    <s v="Bonus to media officer"/>
    <s v="Media"/>
    <n v="6000"/>
    <m/>
    <n v="332308"/>
    <x v="7"/>
    <s v="CA-N-D8"/>
    <m/>
  </r>
  <r>
    <d v="2025-11-14T00:00:00"/>
    <s v="Bonus media portant sur l'annonce audience du 20 novembre 2025 au TGI de Madingou  pièces presse Internet (https://www.matinlibre.cg)"/>
    <s v="Bonus to media officer"/>
    <s v="Media"/>
    <n v="6000"/>
    <m/>
    <n v="326308"/>
    <x v="7"/>
    <s v="CA-N-D8"/>
    <m/>
  </r>
  <r>
    <d v="2025-11-14T00:00:00"/>
    <s v="Bonus media portant sur l'annonce audience du 20 novembre 2025 au TGI de Madingou  pièces presse Internet (https://www.firstmediac.com)"/>
    <s v="Bonus to media officer"/>
    <s v="Media"/>
    <n v="6000"/>
    <m/>
    <n v="320308"/>
    <x v="7"/>
    <s v="CA-N-D8"/>
    <m/>
  </r>
  <r>
    <d v="2025-11-14T00:00:00"/>
    <s v="Bonus media portant sur l'annonce audience du 20 novembre 2025 au TGI de Madingou  pièces presse Internet (https://www.journaldebrazza.com)"/>
    <s v="Bonus to media officer"/>
    <s v="Media"/>
    <n v="6000"/>
    <m/>
    <n v="314308"/>
    <x v="7"/>
    <s v="CA-N-D8"/>
    <m/>
  </r>
  <r>
    <d v="2025-11-14T00:00:00"/>
    <s v="Bonus media portant sur l'annonce audience du 20 novembre 2025 au TGI de Madingou  pièces presse Internet (https://vmmedias.info)"/>
    <s v="Bonus to media officer"/>
    <s v="Media"/>
    <n v="6000"/>
    <m/>
    <n v="308308"/>
    <x v="7"/>
    <s v="CA-N-D8"/>
    <m/>
  </r>
  <r>
    <d v="2025-11-14T00:00:00"/>
    <s v="Bonus media portant sur l'annonce audience du 20 novembre 2025 au TGI de Madingou  pièces presse Internet (https://aci.cg)"/>
    <s v="Bonus to media officer"/>
    <s v="Media"/>
    <n v="6000"/>
    <m/>
    <n v="302308"/>
    <x v="7"/>
    <s v="CA-N-D8"/>
    <m/>
  </r>
  <r>
    <d v="2025-11-14T00:00:00"/>
    <s v="Bonus media portant sur l'annonce audience du 20 novembre 2025 au TGI de Madingou  pièces presse Internet (https://lesechos-congobrazza.com/)"/>
    <s v="Bonus to media officer"/>
    <s v="Media"/>
    <n v="6000"/>
    <m/>
    <n v="296308"/>
    <x v="7"/>
    <s v="CA-N-D8"/>
    <m/>
  </r>
  <r>
    <d v="2025-11-14T00:00:00"/>
    <s v="Bonus media portant sur l'annonce audience du 20 novembre 2025 au TGI de Madingou  pièces presse Internet (https://opinionpublique.cg)"/>
    <s v="Bonus to media officer"/>
    <s v="Media"/>
    <n v="6000"/>
    <m/>
    <n v="290308"/>
    <x v="7"/>
    <s v="CA-N-D8"/>
    <m/>
  </r>
  <r>
    <d v="2025-11-14T00:00:00"/>
    <s v="Bonus media portant sur l'annonce audience du 20 novembre 2025 au TGI de Madingou  pièces presse Internet (https://www.lhorizonafricain.com)"/>
    <s v="Bonus to media officer"/>
    <s v="Media"/>
    <n v="6000"/>
    <m/>
    <n v="284308"/>
    <x v="7"/>
    <s v="CA-N-D8"/>
    <m/>
  </r>
  <r>
    <d v="2025-11-14T00:00:00"/>
    <s v="Bonus media portant sur l'annonce audience du 20 novembre 2025 au TGI de Madingou pieces presse papier(les depêches de brazzaville)"/>
    <s v="Bonus to media officer"/>
    <s v="Media"/>
    <n v="10000"/>
    <m/>
    <n v="274308"/>
    <x v="7"/>
    <s v="CA-N-D9"/>
    <m/>
  </r>
  <r>
    <d v="2025-11-14T00:00:00"/>
    <s v="Bonus media portant sur l'annonce audience du 20 novembre 2025 au TGI de Madingou pieces presse papier( l'horizion africain)"/>
    <s v="Bonus to media officer"/>
    <s v="Media"/>
    <n v="10000"/>
    <m/>
    <n v="264308"/>
    <x v="7"/>
    <s v="CA-N-D9"/>
    <m/>
  </r>
  <r>
    <d v="2025-11-14T00:00:00"/>
    <s v="Bonus media portant sur l'annonce audience du 20 novembre 2025 au TGI de Madingou pieces presse papier(l'agence congolaise de l'information)"/>
    <s v="Bonus to media officer"/>
    <s v="Media"/>
    <n v="10000"/>
    <m/>
    <n v="254308"/>
    <x v="7"/>
    <s v="CA-N-D9"/>
    <m/>
  </r>
  <r>
    <d v="2025-11-14T00:00:00"/>
    <s v="Bonus media portant sur l'annonce audience du 20 novembre 2025 au TGI de Madingou pieces presse papier(Opinion Publique,)"/>
    <s v="Bonus to media officer"/>
    <s v="Media"/>
    <n v="10000"/>
    <m/>
    <n v="244308"/>
    <x v="7"/>
    <s v="CA-N-D9"/>
    <m/>
  </r>
  <r>
    <d v="2025-11-14T00:00:00"/>
    <s v="Bonus media portant sur l'annonce audience du 20 novembre 2025 au TGI de Madingou pieces presse papier (La semaine Africaine)"/>
    <s v="Bonus to media officer"/>
    <s v="Media"/>
    <n v="10000"/>
    <m/>
    <n v="234308"/>
    <x v="7"/>
    <s v="CA-N-D9"/>
    <m/>
  </r>
  <r>
    <d v="2025-11-14T00:00:00"/>
    <s v="Bonus media portant sur l'annonce audience du 20 novembre 2025 au TGI de Madingou presse Radio citoyenne des jeunes"/>
    <s v="Bonus to media officer"/>
    <s v="Media"/>
    <n v="6000"/>
    <m/>
    <n v="228308"/>
    <x v="7"/>
    <s v="CA-N-D10"/>
    <m/>
  </r>
  <r>
    <d v="2025-11-14T00:00:00"/>
    <s v="Bonus media portant sur l'annonce audience du 20 novembre 2025 au TGI de Madingou presse Radio Liberté Kituba"/>
    <s v="Bonus to media officer"/>
    <s v="Media"/>
    <n v="6000"/>
    <m/>
    <n v="222308"/>
    <x v="7"/>
    <s v="CA-N-D10"/>
    <m/>
  </r>
  <r>
    <d v="2025-11-14T00:00:00"/>
    <s v="Bonus media portant sur l'annonce audience du 20 novembre 2025 au TGI de Madingou presse Radio Liberté Français"/>
    <s v="Bonus to media officer"/>
    <s v="Media"/>
    <n v="6000"/>
    <m/>
    <n v="216308"/>
    <x v="7"/>
    <s v="CA-N-D10"/>
    <m/>
  </r>
  <r>
    <d v="2025-11-14T00:00:00"/>
    <s v="Bonus media portant sur l'annonce audience du 20 novembre 2025 au TGI de Madingou presse Radio Liberté Lingala"/>
    <s v="Bonus to media officer"/>
    <s v="Media"/>
    <n v="6000"/>
    <m/>
    <n v="210308"/>
    <x v="7"/>
    <s v="CA-N-D10"/>
    <m/>
  </r>
  <r>
    <d v="2025-11-17T00:00:00"/>
    <s v="P29"/>
    <s v="Versement"/>
    <m/>
    <n v="75000"/>
    <m/>
    <n v="135308"/>
    <x v="13"/>
    <s v="CA-N-V22"/>
    <m/>
  </r>
  <r>
    <d v="2025-11-17T00:00:00"/>
    <s v="IT87"/>
    <s v="Versement"/>
    <m/>
    <n v="75000"/>
    <m/>
    <n v="60308"/>
    <x v="11"/>
    <s v="CA-N-V23"/>
    <m/>
  </r>
  <r>
    <d v="2025-11-17T00:00:00"/>
    <s v="Frais de tansfert d'argent  a P29, et IT87 par Charden farell"/>
    <s v="Transfert fees"/>
    <s v="Office"/>
    <n v="3000"/>
    <m/>
    <n v="57308"/>
    <x v="3"/>
    <s v="CA-N-R11"/>
    <m/>
  </r>
  <r>
    <d v="2025-11-17T00:00:00"/>
    <s v="Retrait espèces/3655349"/>
    <s v="Versement"/>
    <m/>
    <m/>
    <n v="350000"/>
    <n v="407308"/>
    <x v="4"/>
    <s v="CA-N-V24"/>
    <m/>
  </r>
  <r>
    <d v="2025-11-17T00:00:00"/>
    <s v="Achat credit  teléphonique MTN/PALF/Du 17 au 23/11/2025 "/>
    <s v="Telephone"/>
    <s v="Office"/>
    <n v="112500"/>
    <m/>
    <n v="294808"/>
    <x v="5"/>
    <s v="Oui"/>
    <m/>
  </r>
  <r>
    <d v="2025-11-17T00:00:00"/>
    <s v="T73"/>
    <s v="Versement"/>
    <m/>
    <n v="73000"/>
    <m/>
    <n v="221808"/>
    <x v="10"/>
    <s v="CA-N-V25"/>
    <m/>
  </r>
  <r>
    <d v="2025-11-17T00:00:00"/>
    <s v="G12"/>
    <s v="Versement"/>
    <m/>
    <n v="84000"/>
    <m/>
    <n v="137808"/>
    <x v="9"/>
    <s v="CA-N-V26"/>
    <m/>
  </r>
  <r>
    <d v="2025-11-17T00:00:00"/>
    <s v="Frais de tansfert d'argent  a G12, et T73 par momo"/>
    <s v="Transfert fees"/>
    <s v="Office"/>
    <n v="5495"/>
    <m/>
    <n v="132313"/>
    <x v="6"/>
    <s v="CA-N-R12"/>
    <m/>
  </r>
  <r>
    <d v="2025-11-18T00:00:00"/>
    <s v="Abraham"/>
    <s v="Versement"/>
    <m/>
    <n v="10000"/>
    <m/>
    <n v="122313"/>
    <x v="3"/>
    <s v="CA-N-V27"/>
    <m/>
  </r>
  <r>
    <d v="2025-11-18T00:00:00"/>
    <s v="Evariste"/>
    <s v="Versement"/>
    <m/>
    <n v="10000"/>
    <m/>
    <n v="112313"/>
    <x v="7"/>
    <s v="CA-N-V28"/>
    <m/>
  </r>
  <r>
    <d v="2025-11-18T00:00:00"/>
    <s v="Achat eau mineral 10 LITRES/Bureau"/>
    <s v="Office Materiels"/>
    <s v="Office"/>
    <n v="25000"/>
    <m/>
    <n v="87313"/>
    <x v="12"/>
    <s v="CA-N-R13"/>
    <m/>
  </r>
  <r>
    <d v="2025-11-18T00:00:00"/>
    <s v="Achat carburant groupe electrogène Bureau "/>
    <s v="Office Materiels"/>
    <s v="Office"/>
    <n v="31250"/>
    <m/>
    <n v="56063"/>
    <x v="3"/>
    <s v="CA-N-R14"/>
    <m/>
  </r>
  <r>
    <d v="2025-11-18T00:00:00"/>
    <s v="Retrait espèces/3655351"/>
    <s v="Versement"/>
    <m/>
    <m/>
    <n v="1000000"/>
    <n v="1056063"/>
    <x v="4"/>
    <s v="CA-N-V29"/>
    <m/>
  </r>
  <r>
    <d v="2025-11-18T00:00:00"/>
    <s v="Romain"/>
    <s v="Versement"/>
    <m/>
    <n v="71000"/>
    <m/>
    <n v="985063"/>
    <x v="12"/>
    <s v="CA-N-V30"/>
    <m/>
  </r>
  <r>
    <d v="2025-11-18T00:00:00"/>
    <s v="Frais de transport mission Maitre Helene à Madingou du 19 au 21/11/2025"/>
    <s v="Transport"/>
    <s v="Legal"/>
    <n v="20000"/>
    <m/>
    <n v="965063"/>
    <x v="12"/>
    <s v="CA-N-R15"/>
    <m/>
  </r>
  <r>
    <d v="2025-11-18T00:00:00"/>
    <s v="Ration et frais d'hotel mission maitre Helène à Madingou du 19 au 21/11/2025"/>
    <s v="Travel Subsistence"/>
    <s v="Legal"/>
    <n v="50000"/>
    <m/>
    <n v="915063"/>
    <x v="12"/>
    <s v="CA-N-R16"/>
    <m/>
  </r>
  <r>
    <d v="2025-11-18T00:00:00"/>
    <s v="Frais de notification affaire de merveille/ Maître OKEMBA NGABOMBA"/>
    <s v="Lawyer Fees"/>
    <s v="Legal"/>
    <n v="115000"/>
    <m/>
    <n v="800063"/>
    <x v="6"/>
    <s v="CA-N-R17"/>
    <m/>
  </r>
  <r>
    <d v="2025-11-19T00:00:00"/>
    <s v="DOVI"/>
    <s v="Versement"/>
    <m/>
    <n v="20000"/>
    <m/>
    <n v="780063"/>
    <x v="8"/>
    <s v="CA-N-V31"/>
    <m/>
  </r>
  <r>
    <d v="2025-11-19T00:00:00"/>
    <s v="P29"/>
    <s v="Versement"/>
    <m/>
    <n v="87000"/>
    <m/>
    <n v="693063"/>
    <x v="13"/>
    <s v="CA-N-V32"/>
    <m/>
  </r>
  <r>
    <d v="2025-11-19T00:00:00"/>
    <s v="IT87"/>
    <s v="Versement"/>
    <m/>
    <n v="97000"/>
    <m/>
    <n v="596063"/>
    <x v="11"/>
    <s v="CA-N-V33"/>
    <m/>
  </r>
  <r>
    <d v="2025-11-19T00:00:00"/>
    <s v="Frais de tansfert d'argent  à P29, et IT87 par momo"/>
    <s v="Transfert fees"/>
    <s v="Office"/>
    <n v="6440"/>
    <m/>
    <n v="589623"/>
    <x v="6"/>
    <s v="CA-N-R18"/>
    <m/>
  </r>
  <r>
    <d v="2025-11-19T00:00:00"/>
    <s v="T73"/>
    <s v="Versement"/>
    <m/>
    <n v="25000"/>
    <m/>
    <n v="564623"/>
    <x v="10"/>
    <s v="CA-N-V34"/>
    <m/>
  </r>
  <r>
    <d v="2025-11-20T00:00:00"/>
    <s v="Frais de transport mission Maitre Alain à Impfondo du 20 au 30/11/2025"/>
    <s v="Transport"/>
    <s v="Legal"/>
    <n v="88000"/>
    <m/>
    <n v="476623"/>
    <x v="14"/>
    <s v="CA-N-R19"/>
    <m/>
  </r>
  <r>
    <d v="2025-11-20T00:00:00"/>
    <s v="Ration et frais d'hotel mission maitre Alain à Impfondo du 20 au 30/11/2025"/>
    <s v="Travel Subsistence"/>
    <s v="Legal"/>
    <n v="175000"/>
    <m/>
    <n v="301623"/>
    <x v="14"/>
    <s v="CA-N-R20"/>
    <m/>
  </r>
  <r>
    <d v="2025-11-20T00:00:00"/>
    <s v="Donald-Roméo"/>
    <s v="Versement"/>
    <m/>
    <n v="136000"/>
    <m/>
    <n v="165623"/>
    <x v="14"/>
    <s v="CA-N-V35"/>
    <m/>
  </r>
  <r>
    <d v="2025-11-21T00:00:00"/>
    <s v="P29"/>
    <s v="Versement"/>
    <m/>
    <n v="58000"/>
    <m/>
    <n v="107623"/>
    <x v="13"/>
    <s v="CA-N-V36"/>
    <m/>
  </r>
  <r>
    <d v="2025-11-21T00:00:00"/>
    <s v="IT87"/>
    <s v="Versement"/>
    <m/>
    <n v="58000"/>
    <m/>
    <n v="49623"/>
    <x v="11"/>
    <s v="CA-N-V37"/>
    <m/>
  </r>
  <r>
    <d v="2025-11-21T00:00:00"/>
    <s v="Frais de tansfert d'argent  à P29, et IT87 par momo"/>
    <s v="Transfert fees"/>
    <s v="Office"/>
    <n v="4060"/>
    <m/>
    <n v="45563"/>
    <x v="6"/>
    <s v="CA-N-R21"/>
    <m/>
  </r>
  <r>
    <d v="2025-11-25T00:00:00"/>
    <s v="Retrait espèces/3655354"/>
    <s v="Versement"/>
    <m/>
    <m/>
    <n v="700000"/>
    <n v="745563"/>
    <x v="4"/>
    <s v="CA-N-V38"/>
    <m/>
  </r>
  <r>
    <d v="2025-11-25T00:00:00"/>
    <s v="Bonus media portant sur la condamnation d'un trafiquant d'un bébé chimpanzé le 20 novembre 2025 à Madingou pieces presse papier(La semain Africaine)"/>
    <s v="Bonus to media officer"/>
    <s v="Media"/>
    <n v="10000"/>
    <m/>
    <n v="735563"/>
    <x v="7"/>
    <s v="CA-N-D11"/>
    <m/>
  </r>
  <r>
    <d v="2025-11-25T00:00:00"/>
    <s v="Bonus media portant sur la condamnation d'un trafiquant d'un bébé chimpanzé le 20 novembre 2025 à Madingou pieces presse papier( Opinion Publique)"/>
    <s v="Bonus to media officer"/>
    <s v="Media"/>
    <n v="10000"/>
    <m/>
    <n v="725563"/>
    <x v="7"/>
    <s v="CA-N-D11"/>
    <m/>
  </r>
  <r>
    <d v="2025-11-25T00:00:00"/>
    <s v="Bonus media portant sur la condamnation d'un trafiquant d'un bébé chimpanzé le 20 novembre 2025 à Madingou pieces presse papier( l'agence congolaise de l'information)"/>
    <s v="Bonus to media officer"/>
    <s v="Media"/>
    <n v="10000"/>
    <m/>
    <n v="715563"/>
    <x v="7"/>
    <s v="CA-N-D11"/>
    <m/>
  </r>
  <r>
    <d v="2025-11-25T00:00:00"/>
    <s v="Bonus media portant sur la condamnation d'un trafiquant d'un bébé chimpanzé le 20 novembre 2025 à Madingou pieces presse papier(les depêches de brazzaville)"/>
    <s v="Bonus to media officer"/>
    <s v="Media"/>
    <n v="10000"/>
    <m/>
    <n v="705563"/>
    <x v="7"/>
    <s v="CA-N-D11"/>
    <m/>
  </r>
  <r>
    <d v="2025-11-25T00:00:00"/>
    <s v="Bonus media portant sur la condamnation d'un trafiquant d'un bébé chimpanzé le 20 novembre 2025 à Madingou pieces presse papier( l'horizion africain)"/>
    <s v="Bonus to media officer"/>
    <s v="Media"/>
    <n v="10000"/>
    <m/>
    <n v="695563"/>
    <x v="7"/>
    <s v="CA-N-D11"/>
    <m/>
  </r>
  <r>
    <d v="2025-11-25T00:00:00"/>
    <s v="Bonus media portant sur la condamnation  du trafiquant d'un bébé chimpanzé le 20 novembre 2025 à Madingou   pièces presse Internet (https://www.panoramik-actu.com)"/>
    <s v="Bonus to media officer"/>
    <s v="Media"/>
    <n v="6000"/>
    <m/>
    <n v="689563"/>
    <x v="7"/>
    <s v="CA-N-D12"/>
    <m/>
  </r>
  <r>
    <d v="2025-11-25T00:00:00"/>
    <s v="Bonus media portant sur la condamnation  du trafiquant d'un bébé chimpanzé le 20 novembre 2025 à Madingou   pièces presse Internet(https://www.tribune-eco.cg)"/>
    <s v="Bonus to media officer"/>
    <s v="Media"/>
    <n v="6000"/>
    <m/>
    <n v="683563"/>
    <x v="7"/>
    <s v="CA-N-D12"/>
    <m/>
  </r>
  <r>
    <d v="2025-11-25T00:00:00"/>
    <s v="Bonus media portant sur la condamnation  du trafiquant d'un bébé chimpanzé le 20 novembre 2025 à Madingou   pièces presse Internet(https://www.groupecongomedias.com)"/>
    <s v="Bonus to media officer"/>
    <s v="Media"/>
    <n v="6000"/>
    <m/>
    <n v="677563"/>
    <x v="7"/>
    <s v="CA-N-D12"/>
    <m/>
  </r>
  <r>
    <d v="2025-11-25T00:00:00"/>
    <s v="Bonus media portant sur la condamnation  du trafiquant d'un bébé chimpanzé le 20 novembre 2025 à Madingou   pièces presse Internet (https://www.labreveonline.com)"/>
    <s v="Bonus to media officer"/>
    <s v="Media"/>
    <n v="6000"/>
    <m/>
    <n v="671563"/>
    <x v="7"/>
    <s v="CA-N-D12"/>
    <m/>
  </r>
  <r>
    <d v="2025-11-25T00:00:00"/>
    <s v="Bonus media portant sur la condamnation  du trafiquant d'un bébé chimpanzé le 20 novembre 2025 à Madingou  pièces presse Internet (https://www.adiac-congo.com)"/>
    <s v="Bonus to media officer"/>
    <s v="Media"/>
    <n v="6000"/>
    <m/>
    <n v="665563"/>
    <x v="7"/>
    <s v="CA-N-D12"/>
    <m/>
  </r>
  <r>
    <d v="2025-11-25T00:00:00"/>
    <s v="Bonus media portant sur la condamnation  du trafiquant d'un bébé chimpanzé le 20 novembre 2025 à Madingou   pièces presse Internet (https://www.lasemaineafricaine.info)"/>
    <s v="Bonus to media officer"/>
    <s v="Media"/>
    <n v="6000"/>
    <m/>
    <n v="659563"/>
    <x v="7"/>
    <s v="CA-N-D12"/>
    <m/>
  </r>
  <r>
    <d v="2025-11-25T00:00:00"/>
    <s v="Bonus media portant sur la condamnation  du trafiquant d'un bébé chimpanzé le 20 novembre 2025 à Madingou   pièces presse Internet (https://www.matinlibre.cg)"/>
    <s v="Bonus to media officer"/>
    <s v="Media"/>
    <n v="6000"/>
    <m/>
    <n v="653563"/>
    <x v="7"/>
    <s v="CA-N-D12"/>
    <m/>
  </r>
  <r>
    <d v="2025-11-25T00:00:00"/>
    <s v="Bonus media portant sur la condamnation  du trafiquant d'un bébé chimpanzé le 20 novembre 2025 à Madingou   pièces presse Internet (https://www.Opinionpublique.cg)"/>
    <s v="Bonus to media officer"/>
    <s v="Media"/>
    <n v="6000"/>
    <m/>
    <n v="647563"/>
    <x v="7"/>
    <s v="CA-N-D12"/>
    <m/>
  </r>
  <r>
    <d v="2025-11-25T00:00:00"/>
    <s v="Bonus media portant sur la condamnation  du trafiquant d'un bébé chimpanzé le 20 novembre 2025 à Madingou   pièces presse Internet (https://wwwlesechos-congobrazza.com/)"/>
    <s v="Bonus to media officer"/>
    <s v="Media"/>
    <n v="6000"/>
    <m/>
    <n v="641563"/>
    <x v="7"/>
    <s v="CA-N-D12"/>
    <m/>
  </r>
  <r>
    <d v="2025-11-25T00:00:00"/>
    <s v="Bonus media portant sur la condamnation  du trafiquant d'un bébé chimpanzé le 20 novembre 2025 à Madingou   pièces presse Internet (https://vmmedias.info)"/>
    <s v="Bonus to media officer"/>
    <s v="Media"/>
    <n v="6000"/>
    <m/>
    <n v="635563"/>
    <x v="7"/>
    <s v="CA-N-D12"/>
    <m/>
  </r>
  <r>
    <d v="2025-11-25T00:00:00"/>
    <s v="Bonus media portant sur la condamnation  du trafiquant d'un bébé chimpanzé le 20 novembre 2025 à Madingou   pièces presse Internet (https://aci.cg)"/>
    <s v="Bonus to media officer"/>
    <s v="Media"/>
    <n v="6000"/>
    <m/>
    <n v="629563"/>
    <x v="7"/>
    <s v="CA-N-D12"/>
    <m/>
  </r>
  <r>
    <d v="2025-11-25T00:00:00"/>
    <s v="Bonus media portant sur la condamnation  du trafiquant d'un bébé chimpanzé le 20 novembre 2025 à Madingou   pièces presse Internet (https://www.lhorizonafricain.com)"/>
    <s v="Bonus to media officer"/>
    <s v="Media"/>
    <n v="6000"/>
    <m/>
    <n v="623563"/>
    <x v="7"/>
    <s v="CA-N-D12"/>
    <m/>
  </r>
  <r>
    <d v="2025-11-26T00:00:00"/>
    <s v="DOVI"/>
    <s v="Versement"/>
    <m/>
    <n v="175000"/>
    <m/>
    <n v="448563"/>
    <x v="8"/>
    <s v="CA-N-V39"/>
    <m/>
  </r>
  <r>
    <d v="2025-11-26T00:00:00"/>
    <s v="Donald-Roméo"/>
    <s v="Versement"/>
    <m/>
    <n v="136000"/>
    <m/>
    <n v="312563"/>
    <x v="14"/>
    <s v="CA-N-V40"/>
    <m/>
  </r>
  <r>
    <d v="2025-11-26T00:00:00"/>
    <s v="Frais de tansfert d'argent  à Donald-Roméo  par momo"/>
    <s v="Transfert fees"/>
    <s v="Office"/>
    <n v="4760"/>
    <m/>
    <n v="307803"/>
    <x v="6"/>
    <s v="CA-N-R22"/>
    <m/>
  </r>
  <r>
    <d v="2025-11-26T00:00:00"/>
    <s v="Evariste"/>
    <s v="Versement"/>
    <m/>
    <n v="15000"/>
    <m/>
    <n v="292803"/>
    <x v="7"/>
    <s v="CA-N-V41"/>
    <m/>
  </r>
  <r>
    <d v="2025-11-27T00:00:00"/>
    <s v=" Frais de prestation de nettoyage jardin PALF Novembre 2025"/>
    <s v="Services"/>
    <s v="Office"/>
    <n v="40000"/>
    <m/>
    <n v="252803"/>
    <x v="6"/>
    <s v="CA-N-R23"/>
    <m/>
  </r>
  <r>
    <d v="2025-11-27T00:00:00"/>
    <s v="Reglement prestation de nettoyage  PALF du mois de novembre 2025"/>
    <s v="Services"/>
    <s v="Office"/>
    <n v="80000"/>
    <m/>
    <n v="172803"/>
    <x v="6"/>
    <s v="CA-N-R24"/>
    <m/>
  </r>
  <r>
    <d v="2025-11-27T00:00:00"/>
    <s v="Frais de ramassage Ordure novembre 2025"/>
    <s v="Rent &amp; Utilities"/>
    <s v="Office"/>
    <n v="8000"/>
    <m/>
    <n v="164803"/>
    <x v="6"/>
    <s v="CA-N-R25"/>
    <m/>
  </r>
  <r>
    <d v="2025-11-27T00:00:00"/>
    <s v="Reglement facture internet periode du 01/12 au 31/12/2025 bureau PALF"/>
    <s v="Internet"/>
    <s v="Office"/>
    <n v="45050"/>
    <m/>
    <n v="119753"/>
    <x v="6"/>
    <s v="CA-N-R26"/>
    <m/>
  </r>
  <r>
    <d v="2025-11-27T00:00:00"/>
    <s v="Parfaite"/>
    <s v="Versement"/>
    <m/>
    <n v="15000"/>
    <m/>
    <n v="104753"/>
    <x v="6"/>
    <s v="CA-N-V42"/>
    <m/>
  </r>
  <r>
    <d v="2025-11-27T00:00:00"/>
    <s v="P29"/>
    <s v="Versement"/>
    <m/>
    <n v="40000"/>
    <m/>
    <n v="64753"/>
    <x v="13"/>
    <s v="CA-N-V43"/>
    <m/>
  </r>
  <r>
    <d v="2025-11-27T00:00:00"/>
    <s v="IT87"/>
    <s v="Versement"/>
    <m/>
    <n v="30000"/>
    <m/>
    <n v="34753"/>
    <x v="11"/>
    <s v="CA-N-V44"/>
    <m/>
  </r>
  <r>
    <d v="2025-11-27T00:00:00"/>
    <s v="G12"/>
    <s v="Versement"/>
    <m/>
    <n v="30000"/>
    <m/>
    <n v="4753"/>
    <x v="9"/>
    <s v="CA-N-V45"/>
    <m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60">
  <r>
    <d v="2025-11-01T00:00:00"/>
    <s v="Taxi, Domicile-Moukondo"/>
    <x v="0"/>
    <x v="0"/>
    <n v="1000"/>
    <n v="1.8744037053212446"/>
    <n v="533.50300000000004"/>
    <x v="0"/>
    <s v="EV-N-D1"/>
    <s v="PALF"/>
    <s v="Dahan"/>
    <s v="CONGO"/>
    <m/>
    <m/>
    <m/>
  </r>
  <r>
    <d v="2025-11-01T00:00:00"/>
    <s v="Taxi, Moukondo-Télé Congo"/>
    <x v="0"/>
    <x v="0"/>
    <n v="1000"/>
    <n v="1.8744037053212446"/>
    <n v="533.50300000000004"/>
    <x v="0"/>
    <s v="EV-N-D1"/>
    <s v="PALF"/>
    <s v="Dahan"/>
    <s v="CONGO"/>
    <m/>
    <m/>
    <m/>
  </r>
  <r>
    <d v="2025-11-01T00:00:00"/>
    <s v="Taxi, Télé Congo-Moukondo"/>
    <x v="0"/>
    <x v="0"/>
    <n v="1000"/>
    <n v="1.8744037053212446"/>
    <n v="533.50300000000004"/>
    <x v="0"/>
    <s v="EV-N-D1"/>
    <s v="PALF"/>
    <s v="Dahan"/>
    <s v="CONGO"/>
    <m/>
    <m/>
    <m/>
  </r>
  <r>
    <d v="2025-11-01T00:00:00"/>
    <s v="Taxi, Moukondo-Domicile"/>
    <x v="0"/>
    <x v="0"/>
    <n v="1000"/>
    <n v="1.8744037053212446"/>
    <n v="533.50300000000004"/>
    <x v="0"/>
    <s v="EV-N-D1"/>
    <s v="PALF"/>
    <s v="Dahan"/>
    <s v="CONGO"/>
    <m/>
    <m/>
    <m/>
  </r>
  <r>
    <d v="2025-11-02T00:00:00"/>
    <s v="Tricycle:Hôtel-Agence trans bony pour vérier la disponibilité du colis "/>
    <x v="0"/>
    <x v="1"/>
    <n v="500"/>
    <n v="0.93720185266062228"/>
    <n v="533.50300000000004"/>
    <x v="1"/>
    <s v="RO-N-D1"/>
    <s v="PALF"/>
    <s v="Dahan"/>
    <s v="CONGO"/>
    <m/>
    <m/>
    <m/>
  </r>
  <r>
    <d v="2025-11-02T00:00:00"/>
    <s v="Tricycle:Agence trans bony-Hôtel "/>
    <x v="0"/>
    <x v="1"/>
    <n v="500"/>
    <n v="0.93720185266062228"/>
    <n v="533.50300000000004"/>
    <x v="1"/>
    <s v="RO-N-D1"/>
    <s v="PALF"/>
    <s v="Dahan"/>
    <s v="CONGO"/>
    <m/>
    <m/>
    <m/>
  </r>
  <r>
    <d v="2025-11-02T00:00:00"/>
    <s v="Acompte honoraire contrat N°86 Dolisie cas MOMBO Lionel et MBIYABA Darel /Maitre  Alain BAZOUNZI/ 4527704"/>
    <x v="1"/>
    <x v="1"/>
    <n v="200000"/>
    <n v="374.88074106424892"/>
    <n v="533.50300000000004"/>
    <x v="2"/>
    <s v="BQ-N-R1"/>
    <s v="PALF"/>
    <s v="Dahan"/>
    <s v="CONGO"/>
    <m/>
    <m/>
    <m/>
  </r>
  <r>
    <d v="2025-11-03T00:00:00"/>
    <s v="Maison-Bureau"/>
    <x v="0"/>
    <x v="2"/>
    <n v="1000"/>
    <n v="1.8744037053212446"/>
    <n v="533.50300000000004"/>
    <x v="3"/>
    <s v="DH-N-D1"/>
    <s v="PALF"/>
    <s v="Dahan"/>
    <s v="CONGO"/>
    <m/>
    <m/>
    <m/>
  </r>
  <r>
    <d v="2025-11-03T00:00:00"/>
    <s v="Bureau - Cab d'huissier"/>
    <x v="0"/>
    <x v="2"/>
    <n v="1000"/>
    <n v="1.8744037053212446"/>
    <n v="533.50300000000004"/>
    <x v="3"/>
    <s v="DH-N-D1"/>
    <s v="PALF"/>
    <s v="Dahan"/>
    <s v="CONGO"/>
    <m/>
    <m/>
    <m/>
  </r>
  <r>
    <d v="2025-11-03T00:00:00"/>
    <s v="Cab d'huissier - Maison"/>
    <x v="0"/>
    <x v="2"/>
    <n v="1000"/>
    <n v="1.8744037053212446"/>
    <n v="533.50300000000004"/>
    <x v="3"/>
    <s v="DH-N-D1"/>
    <s v="PALF"/>
    <s v="Dahan"/>
    <s v="CONGO"/>
    <m/>
    <m/>
    <m/>
  </r>
  <r>
    <d v="2025-11-03T00:00:00"/>
    <s v="Credit telephonique MTN/PALF/ du 03 au 09 novembre 2025/ DOVI"/>
    <x v="2"/>
    <x v="2"/>
    <n v="12500"/>
    <n v="23.430046316515558"/>
    <n v="533.50300000000004"/>
    <x v="3"/>
    <s v="DH-N-R1"/>
    <s v="PALF"/>
    <s v="Dahan"/>
    <s v="CONGO"/>
    <m/>
    <m/>
    <m/>
  </r>
  <r>
    <d v="2025-11-03T00:00:00"/>
    <s v="Ration du 03 au 07/11/2025 à Madingou"/>
    <x v="3"/>
    <x v="1"/>
    <n v="40000"/>
    <n v="74.976148212849779"/>
    <n v="533.50300000000004"/>
    <x v="4"/>
    <s v="CR-N-D1"/>
    <s v="PALF"/>
    <s v="Dahan"/>
    <s v="CONGO"/>
    <m/>
    <m/>
    <m/>
  </r>
  <r>
    <d v="2025-11-03T00:00:00"/>
    <s v="Taxi moto: Hôtel-Parquet"/>
    <x v="0"/>
    <x v="1"/>
    <n v="500"/>
    <n v="0.93720185266062228"/>
    <n v="533.50300000000004"/>
    <x v="4"/>
    <s v="CR-N-D2"/>
    <s v="PALF"/>
    <s v="Dahan"/>
    <s v="CONGO"/>
    <m/>
    <m/>
    <m/>
  </r>
  <r>
    <d v="2025-11-03T00:00:00"/>
    <s v="Credit telephonique MTN PALF/du 03 au 09 novembre 2025/ crepin"/>
    <x v="2"/>
    <x v="1"/>
    <n v="10000"/>
    <n v="18.744037053212445"/>
    <n v="533.50300000000004"/>
    <x v="4"/>
    <s v="CR-N-R1"/>
    <s v="PALF"/>
    <s v="Dahan"/>
    <s v="CONGO"/>
    <m/>
    <m/>
    <m/>
  </r>
  <r>
    <d v="2025-11-03T00:00:00"/>
    <s v="Taxi moto: Parquet-Hôtel"/>
    <x v="0"/>
    <x v="1"/>
    <n v="500"/>
    <n v="0.93720185266062228"/>
    <n v="533.50300000000004"/>
    <x v="4"/>
    <s v="CR-N-D2"/>
    <s v="PALF"/>
    <s v="Dahan"/>
    <s v="CONGO"/>
    <m/>
    <m/>
    <m/>
  </r>
  <r>
    <d v="2025-11-03T00:00:00"/>
    <s v="Taxi:Bureau-Banque BCI/ Retrait espece 2025"/>
    <x v="0"/>
    <x v="3"/>
    <n v="1000"/>
    <n v="1.8744037053212446"/>
    <n v="533.50300000000004"/>
    <x v="5"/>
    <s v="P-N-D1"/>
    <s v="PALF"/>
    <s v="Dahan"/>
    <s v="CONGO"/>
    <m/>
    <m/>
    <m/>
  </r>
  <r>
    <d v="2025-11-03T00:00:00"/>
    <s v="Taxi: Banque BCI-Direction MTN/ achat credit telephonique "/>
    <x v="0"/>
    <x v="3"/>
    <n v="500"/>
    <n v="0.93720185266062228"/>
    <n v="533.50300000000004"/>
    <x v="5"/>
    <s v="P-N-D1"/>
    <s v="PALF"/>
    <s v="Dahan"/>
    <s v="CONGO"/>
    <m/>
    <m/>
    <m/>
  </r>
  <r>
    <d v="2025-11-03T00:00:00"/>
    <s v="Credit teléphonique MTN PALF/ du 03 au 09 novembre 2025/ Parfaite"/>
    <x v="2"/>
    <x v="2"/>
    <n v="7500"/>
    <n v="14.058027789909334"/>
    <n v="533.50300000000004"/>
    <x v="5"/>
    <s v="P-N-R1"/>
    <s v="PALF"/>
    <s v="Dahan"/>
    <s v="CONGO"/>
    <m/>
    <m/>
    <m/>
  </r>
  <r>
    <d v="2025-11-03T00:00:00"/>
    <s v="Taxi: Direction MTN-Bureau"/>
    <x v="0"/>
    <x v="3"/>
    <n v="1000"/>
    <n v="1.8744037053212446"/>
    <n v="533.50300000000004"/>
    <x v="5"/>
    <s v="P-N-D1"/>
    <s v="PALF"/>
    <s v="Dahan"/>
    <s v="CONGO"/>
    <m/>
    <m/>
    <m/>
  </r>
  <r>
    <d v="2025-11-03T00:00:00"/>
    <s v="Credit telephonique MTN PALF/ du 03 au 09 novembre 2025/ Investigation/P29"/>
    <x v="2"/>
    <x v="4"/>
    <n v="10000"/>
    <n v="18.744037053212445"/>
    <n v="533.50300000000004"/>
    <x v="6"/>
    <s v="P29-N-R1"/>
    <s v="PALF"/>
    <s v="Dahan"/>
    <s v="CONGO"/>
    <m/>
    <m/>
    <m/>
  </r>
  <r>
    <d v="2025-11-03T00:00:00"/>
    <s v="Credit telephonique MTN PALF/ du 03 au 09 novembre 2025/ Investigation/T73"/>
    <x v="2"/>
    <x v="4"/>
    <n v="10000"/>
    <n v="18.744037053212445"/>
    <n v="533.50300000000004"/>
    <x v="7"/>
    <s v="T73-N-R1"/>
    <s v="PALF"/>
    <s v="Dahan"/>
    <s v="CONGO"/>
    <m/>
    <m/>
    <m/>
  </r>
  <r>
    <d v="2025-11-03T00:00:00"/>
    <s v="Credit telephonique MTN PALF/du 03 au 09 novembre 2025/IT87"/>
    <x v="2"/>
    <x v="4"/>
    <n v="10000"/>
    <n v="18.744037053212445"/>
    <n v="533.50300000000004"/>
    <x v="8"/>
    <s v="IT87-N-R1"/>
    <s v="PALF"/>
    <s v="Dahan"/>
    <s v="CONGO"/>
    <m/>
    <m/>
    <m/>
  </r>
  <r>
    <d v="2025-11-03T00:00:00"/>
    <s v="Credit telephonique MTN PALF/du  03 au 09 novembre 2025/G12"/>
    <x v="2"/>
    <x v="4"/>
    <n v="10000"/>
    <n v="18.744037053212445"/>
    <n v="533.50300000000004"/>
    <x v="9"/>
    <s v="G12-N-R1"/>
    <s v="PALF"/>
    <s v="Dahan"/>
    <s v="CONGO"/>
    <m/>
    <m/>
    <m/>
  </r>
  <r>
    <d v="2025-11-03T00:00:00"/>
    <s v="Taxi: Bureau-Charden Farell/Transfert de fonds"/>
    <x v="0"/>
    <x v="1"/>
    <n v="500"/>
    <n v="0.93720185266062228"/>
    <n v="533.50300000000004"/>
    <x v="10"/>
    <s v="AB-N-D1"/>
    <s v="PALF"/>
    <s v="Dahan"/>
    <s v="CONGO"/>
    <m/>
    <m/>
    <m/>
  </r>
  <r>
    <d v="2025-11-03T00:00:00"/>
    <s v="Taxi: Charden Farel-Bureau"/>
    <x v="0"/>
    <x v="1"/>
    <n v="500"/>
    <n v="0.93720185266062228"/>
    <n v="533.50300000000004"/>
    <x v="10"/>
    <s v="AB-N-D1"/>
    <s v="PALF"/>
    <s v="Dahan"/>
    <s v="CONGO"/>
    <m/>
    <m/>
    <m/>
  </r>
  <r>
    <d v="2025-11-03T00:00:00"/>
    <s v="Frais de transport mission Maitre Helene à Madingou du 03 au 07/11/2025"/>
    <x v="0"/>
    <x v="1"/>
    <n v="12000"/>
    <n v="22.492844463854933"/>
    <n v="533.50300000000004"/>
    <x v="10"/>
    <s v="CA-N-R1"/>
    <s v="PALF"/>
    <s v="Dahan"/>
    <s v="CONGO"/>
    <m/>
    <m/>
    <m/>
  </r>
  <r>
    <d v="2025-11-03T00:00:00"/>
    <s v="Ration et frais d'hotel mission maitre Helène à Madingou du 03 au 07/11/2025"/>
    <x v="3"/>
    <x v="1"/>
    <n v="100000"/>
    <n v="187.44037053212446"/>
    <n v="533.50300000000004"/>
    <x v="10"/>
    <s v="CA-N-R2"/>
    <s v="PALF"/>
    <s v="Dahan"/>
    <s v="CONGO"/>
    <m/>
    <m/>
    <m/>
  </r>
  <r>
    <d v="2025-11-03T00:00:00"/>
    <s v="Frais de tansfert d'argent Charden Frarell  a crepin ,Roderlin"/>
    <x v="4"/>
    <x v="3"/>
    <n v="10080"/>
    <n v="18.893989349638144"/>
    <n v="533.50300000000004"/>
    <x v="10"/>
    <s v="CA-N-R3"/>
    <s v="PALF"/>
    <s v="Dahan"/>
    <s v="CONGO"/>
    <m/>
    <m/>
    <m/>
  </r>
  <r>
    <d v="2025-11-03T00:00:00"/>
    <s v="Credit telephonique MTN PALF/ du 03 au 09 novembre 2025/Abraham"/>
    <x v="2"/>
    <x v="1"/>
    <n v="7500"/>
    <n v="14.058027789909334"/>
    <n v="533.50300000000004"/>
    <x v="10"/>
    <s v="AB-N-R1"/>
    <s v="PALF"/>
    <s v="Dahan"/>
    <s v="CONGO"/>
    <m/>
    <m/>
    <m/>
  </r>
  <r>
    <d v="2025-11-03T00:00:00"/>
    <s v="Tricycle:Hôtel-Agence trans bony pour le rétrait du colis du colis "/>
    <x v="0"/>
    <x v="1"/>
    <n v="500"/>
    <n v="0.93720185266062228"/>
    <n v="533.50300000000004"/>
    <x v="1"/>
    <s v="RO-N-D1"/>
    <s v="PALF"/>
    <s v="Dahan"/>
    <s v="CONGO"/>
    <m/>
    <m/>
    <m/>
  </r>
  <r>
    <d v="2025-11-03T00:00:00"/>
    <s v="Tricycle:Agence trans bony-Hôtel "/>
    <x v="0"/>
    <x v="1"/>
    <n v="500"/>
    <n v="0.93720185266062228"/>
    <n v="533.50300000000004"/>
    <x v="1"/>
    <s v="RO-N-D1"/>
    <s v="PALF"/>
    <s v="Dahan"/>
    <s v="CONGO"/>
    <m/>
    <m/>
    <m/>
  </r>
  <r>
    <d v="2025-11-03T00:00:00"/>
    <s v="Ttricycle:Hôtel-Charden Farrel "/>
    <x v="0"/>
    <x v="1"/>
    <n v="500"/>
    <n v="0.93720185266062228"/>
    <n v="533.50300000000004"/>
    <x v="1"/>
    <s v="RO-N-D1"/>
    <s v="PALF"/>
    <s v="Dahan"/>
    <s v="CONGO"/>
    <m/>
    <m/>
    <m/>
  </r>
  <r>
    <d v="2025-11-03T00:00:00"/>
    <s v="Tricycle:Charden Farrel- Hôtel"/>
    <x v="0"/>
    <x v="1"/>
    <n v="500"/>
    <n v="0.93720185266062228"/>
    <n v="533.50300000000004"/>
    <x v="1"/>
    <s v="RO-N-D1"/>
    <s v="PALF"/>
    <s v="Dahan"/>
    <s v="CONGO"/>
    <m/>
    <m/>
    <m/>
  </r>
  <r>
    <d v="2025-11-03T00:00:00"/>
    <s v="Credit telephonique MTN PALF/du 03 au 09 novembre 2025/Roderlin"/>
    <x v="2"/>
    <x v="1"/>
    <n v="7500"/>
    <n v="14.058027789909334"/>
    <n v="533.50300000000004"/>
    <x v="1"/>
    <s v="RO-N-R1"/>
    <s v="PALF"/>
    <s v="Dahan"/>
    <s v="CONGO"/>
    <m/>
    <m/>
    <m/>
  </r>
  <r>
    <d v="2025-11-03T00:00:00"/>
    <s v="RODERLIN-CONGO Ration du  03 au 07/11/2025 à Madingou(04 nuitées)"/>
    <x v="3"/>
    <x v="1"/>
    <n v="40000"/>
    <n v="74.976148212849779"/>
    <n v="533.50300000000004"/>
    <x v="1"/>
    <s v="RO-N-D2"/>
    <s v="PALF"/>
    <s v="Dahan"/>
    <s v="CONGO"/>
    <m/>
    <m/>
    <m/>
  </r>
  <r>
    <d v="2025-11-03T00:00:00"/>
    <s v="Credit telephonique MTN PALF/ du 03 au 09 novembre 2025/Donald-Roméo"/>
    <x v="2"/>
    <x v="1"/>
    <n v="10000"/>
    <n v="18.744037053212445"/>
    <n v="533.50300000000004"/>
    <x v="11"/>
    <s v="DR-N-R1"/>
    <s v="PALF"/>
    <s v="Dahan"/>
    <s v="CONGO"/>
    <m/>
    <m/>
    <m/>
  </r>
  <r>
    <d v="2025-11-03T00:00:00"/>
    <s v="Taxi, Domicile-Moukondo"/>
    <x v="0"/>
    <x v="0"/>
    <n v="1000"/>
    <n v="1.8744037053212446"/>
    <n v="533.50300000000004"/>
    <x v="0"/>
    <s v="EV-N-D1"/>
    <s v="PALF"/>
    <s v="Dahan"/>
    <s v="CONGO"/>
    <m/>
    <m/>
    <m/>
  </r>
  <r>
    <d v="2025-11-03T00:00:00"/>
    <s v="Taxi, Moukondo-Télé Congo"/>
    <x v="0"/>
    <x v="0"/>
    <n v="1000"/>
    <n v="1.8744037053212446"/>
    <n v="533.50300000000004"/>
    <x v="0"/>
    <s v="EV-N-D1"/>
    <s v="PALF"/>
    <s v="Dahan"/>
    <s v="CONGO"/>
    <m/>
    <m/>
    <m/>
  </r>
  <r>
    <d v="2025-11-03T00:00:00"/>
    <s v="Credit telephonique MTN PALF/du 03  au 09 Novembre 2025/ Evariste"/>
    <x v="2"/>
    <x v="0"/>
    <n v="10000"/>
    <n v="18.744037053212445"/>
    <n v="533.50300000000004"/>
    <x v="0"/>
    <s v="EV-N-R1"/>
    <s v="PALF"/>
    <s v="Dahan"/>
    <s v="CONGO"/>
    <m/>
    <m/>
    <m/>
  </r>
  <r>
    <d v="2025-11-03T00:00:00"/>
    <s v="Taxi, Télé Congo-Moukondo"/>
    <x v="0"/>
    <x v="0"/>
    <n v="1000"/>
    <n v="1.8744037053212446"/>
    <n v="533.50300000000004"/>
    <x v="0"/>
    <s v="EV-N-D1"/>
    <s v="PALF"/>
    <s v="Dahan"/>
    <s v="CONGO"/>
    <m/>
    <m/>
    <m/>
  </r>
  <r>
    <d v="2025-11-03T00:00:00"/>
    <s v="Taxi, Moukondo-Bureau PALF"/>
    <x v="0"/>
    <x v="0"/>
    <n v="1000"/>
    <n v="1.8744037053212446"/>
    <n v="533.50300000000004"/>
    <x v="0"/>
    <s v="EV-N-D1"/>
    <s v="PALF"/>
    <s v="Dahan"/>
    <s v="CONGO"/>
    <m/>
    <m/>
    <m/>
  </r>
  <r>
    <d v="2025-11-03T00:00:00"/>
    <s v="ROMAIN-CONGO: Frais d'hotel du 28/10/2025 au 03/11/2025 à Impfondo(06 nuitées)"/>
    <x v="3"/>
    <x v="1"/>
    <n v="90000"/>
    <n v="168.69633347891201"/>
    <n v="533.50300000000004"/>
    <x v="12"/>
    <s v="RM-N-R1"/>
    <s v="PALF"/>
    <s v="Dahan"/>
    <s v="CONGO"/>
    <m/>
    <m/>
    <m/>
  </r>
  <r>
    <d v="2025-11-03T00:00:00"/>
    <s v="Taxi moto: Hotel Mithé-Agence Océan du Nord d'Impfondo"/>
    <x v="0"/>
    <x v="1"/>
    <n v="500"/>
    <n v="0.93720185266062228"/>
    <n v="533.50300000000004"/>
    <x v="12"/>
    <s v="RM-N-D1"/>
    <s v="PALF"/>
    <s v="Dahan"/>
    <s v="CONGO"/>
    <m/>
    <m/>
    <m/>
  </r>
  <r>
    <d v="2025-11-03T00:00:00"/>
    <s v="Taxi moto: Agence Océan du Nord d'Enyelé-Hotel Paulina"/>
    <x v="0"/>
    <x v="1"/>
    <n v="500"/>
    <n v="0.93720185266062228"/>
    <n v="533.50300000000004"/>
    <x v="12"/>
    <s v="RM-N-D1"/>
    <s v="PALF"/>
    <s v="Dahan"/>
    <s v="CONGO"/>
    <m/>
    <m/>
    <m/>
  </r>
  <r>
    <d v="2025-11-03T00:00:00"/>
    <s v="Credit telephonique MTN PALF/du 03 au 09 novembre 2025/Romain"/>
    <x v="2"/>
    <x v="1"/>
    <n v="7500"/>
    <n v="14.058027789909334"/>
    <n v="533.50300000000004"/>
    <x v="12"/>
    <s v="RM-N-R2"/>
    <s v="PALF"/>
    <s v="Dahan"/>
    <s v="CONGO"/>
    <m/>
    <m/>
    <m/>
  </r>
  <r>
    <d v="2025-11-04T00:00:00"/>
    <s v="Maison-Bureau"/>
    <x v="0"/>
    <x v="2"/>
    <n v="1000"/>
    <n v="1.8744037053212446"/>
    <n v="533.50300000000004"/>
    <x v="3"/>
    <s v="DH-N-D1"/>
    <s v="PALF"/>
    <s v="Dahan"/>
    <s v="CONGO"/>
    <m/>
    <m/>
    <m/>
  </r>
  <r>
    <d v="2025-11-04T00:00:00"/>
    <s v="Bureau-Maison"/>
    <x v="0"/>
    <x v="2"/>
    <n v="1000"/>
    <n v="1.8744037053212446"/>
    <n v="533.50300000000004"/>
    <x v="3"/>
    <s v="DH-N-D1"/>
    <s v="PALF"/>
    <s v="Dahan"/>
    <s v="CONGO"/>
    <m/>
    <m/>
    <m/>
  </r>
  <r>
    <d v="2025-11-04T00:00:00"/>
    <s v="Maison-Bureau"/>
    <x v="0"/>
    <x v="2"/>
    <n v="1000"/>
    <n v="1.8744037053212446"/>
    <n v="533.50300000000004"/>
    <x v="3"/>
    <s v="DH-N-D1"/>
    <s v="PALF"/>
    <s v="Dahan"/>
    <s v="CONGO"/>
    <m/>
    <m/>
    <m/>
  </r>
  <r>
    <d v="2025-11-04T00:00:00"/>
    <s v="Bureau-Maison"/>
    <x v="0"/>
    <x v="2"/>
    <n v="1000"/>
    <n v="1.8744037053212446"/>
    <n v="533.50300000000004"/>
    <x v="3"/>
    <s v="DH-N-D1"/>
    <s v="PALF"/>
    <s v="Dahan"/>
    <s v="CONGO"/>
    <m/>
    <m/>
    <m/>
  </r>
  <r>
    <d v="2025-11-04T00:00:00"/>
    <s v="Taxi moto: Hôtel-Parquet"/>
    <x v="0"/>
    <x v="1"/>
    <n v="500"/>
    <n v="0.93720185266062228"/>
    <n v="533.50300000000004"/>
    <x v="4"/>
    <s v="CR-N-D2"/>
    <s v="PALF"/>
    <s v="Dahan"/>
    <s v="CONGO"/>
    <m/>
    <m/>
    <m/>
  </r>
  <r>
    <d v="2025-11-04T00:00:00"/>
    <s v="Taxi moto: Parquet-Hôtel"/>
    <x v="0"/>
    <x v="1"/>
    <n v="500"/>
    <n v="0.93720185266062228"/>
    <n v="533.50300000000004"/>
    <x v="4"/>
    <s v="CR-N-D2"/>
    <s v="PALF"/>
    <s v="Dahan"/>
    <s v="CONGO"/>
    <m/>
    <m/>
    <m/>
  </r>
  <r>
    <d v="2025-11-04T00:00:00"/>
    <s v="Achat produit d'entretien  et Main d'œuvre du groupe électrogène/Bureau PALF"/>
    <x v="5"/>
    <x v="3"/>
    <n v="27000"/>
    <n v="50.6089000436736"/>
    <n v="533.50300000000004"/>
    <x v="5"/>
    <s v="CA-N-R5"/>
    <s v="PALF"/>
    <s v="Dahan"/>
    <s v="CONGO"/>
    <m/>
    <m/>
    <m/>
  </r>
  <r>
    <d v="2025-11-04T00:00:00"/>
    <s v="Taxi:Bureau-Domicile / Travail sur les pièces comptables octobre 2025/ heure 19h 50"/>
    <x v="0"/>
    <x v="3"/>
    <n v="1000"/>
    <n v="1.8744037053212446"/>
    <n v="533.50300000000004"/>
    <x v="5"/>
    <s v="P-N-D1"/>
    <s v="PALF"/>
    <s v="Dahan"/>
    <s v="CONGO"/>
    <m/>
    <m/>
    <m/>
  </r>
  <r>
    <d v="2025-11-04T00:00:00"/>
    <s v="Taxi: Bureau-Station/Station Achat carburant"/>
    <x v="0"/>
    <x v="1"/>
    <n v="2000"/>
    <n v="3.7488074106424891"/>
    <n v="533.50300000000004"/>
    <x v="10"/>
    <s v="AB-N-D1"/>
    <s v="PALF"/>
    <s v="Dahan"/>
    <s v="CONGO"/>
    <m/>
    <m/>
    <m/>
  </r>
  <r>
    <d v="2025-11-04T00:00:00"/>
    <s v="Taxi: Station-Bureau"/>
    <x v="0"/>
    <x v="1"/>
    <n v="2000"/>
    <n v="3.7488074106424891"/>
    <n v="533.50300000000004"/>
    <x v="10"/>
    <s v="AB-N-D1"/>
    <s v="PALF"/>
    <s v="Dahan"/>
    <s v="CONGO"/>
    <m/>
    <m/>
    <m/>
  </r>
  <r>
    <d v="2025-11-04T00:00:00"/>
    <s v="Achat carburant groupe electrogène Bureau "/>
    <x v="5"/>
    <x v="3"/>
    <n v="62500"/>
    <n v="117.15023158257779"/>
    <n v="533.50300000000004"/>
    <x v="10"/>
    <s v="CA-N-R4"/>
    <s v="PALF"/>
    <s v="Dahan"/>
    <s v="CONGO"/>
    <m/>
    <m/>
    <m/>
  </r>
  <r>
    <d v="2025-11-04T00:00:00"/>
    <s v="Tricycle:Hôtel- Marché pour l'achat de la ration du prevenu "/>
    <x v="0"/>
    <x v="1"/>
    <n v="500"/>
    <n v="0.93720185266062228"/>
    <n v="533.50300000000004"/>
    <x v="1"/>
    <s v="RO-N-D1"/>
    <s v="PALF"/>
    <s v="Dahan"/>
    <s v="CONGO"/>
    <m/>
    <m/>
    <m/>
  </r>
  <r>
    <d v="2025-11-04T00:00:00"/>
    <s v="Visite geôle du 04/11/2025 à la police de Madingou de NTONDELE MOUKOKO Claver/matin"/>
    <x v="6"/>
    <x v="1"/>
    <n v="1500"/>
    <n v="2.8116055579818666"/>
    <n v="533.50300000000004"/>
    <x v="1"/>
    <s v="RO-N-D3"/>
    <s v="PALF"/>
    <s v="Dahan"/>
    <s v="CONGO"/>
    <m/>
    <m/>
    <m/>
  </r>
  <r>
    <d v="2025-11-04T00:00:00"/>
    <s v="Tricycle:Marché-La police "/>
    <x v="0"/>
    <x v="1"/>
    <n v="500"/>
    <n v="0.93720185266062228"/>
    <n v="533.50300000000004"/>
    <x v="1"/>
    <s v="RO-N-D1"/>
    <s v="PALF"/>
    <s v="Dahan"/>
    <s v="CONGO"/>
    <m/>
    <m/>
    <m/>
  </r>
  <r>
    <d v="2025-11-04T00:00:00"/>
    <s v="Tricycle:La police-Parquet "/>
    <x v="0"/>
    <x v="1"/>
    <n v="500"/>
    <n v="0.93720185266062228"/>
    <n v="533.50300000000004"/>
    <x v="1"/>
    <s v="RO-N-D1"/>
    <s v="PALF"/>
    <s v="Dahan"/>
    <s v="CONGO"/>
    <m/>
    <m/>
    <m/>
  </r>
  <r>
    <d v="2025-11-04T00:00:00"/>
    <s v="Tricycle:Parquet-Hôtel"/>
    <x v="0"/>
    <x v="1"/>
    <n v="500"/>
    <n v="0.93720185266062228"/>
    <n v="533.50300000000004"/>
    <x v="1"/>
    <s v="RO-N-D1"/>
    <s v="PALF"/>
    <s v="Dahan"/>
    <s v="CONGO"/>
    <m/>
    <m/>
    <m/>
  </r>
  <r>
    <d v="2025-11-04T00:00:00"/>
    <s v="Tricycle:Hôtel- Marché pour l'achat de la ration du prevenu "/>
    <x v="0"/>
    <x v="1"/>
    <n v="500"/>
    <n v="0.93720185266062228"/>
    <n v="533.50300000000004"/>
    <x v="1"/>
    <s v="RO-N-D1"/>
    <s v="PALF"/>
    <s v="Dahan"/>
    <s v="CONGO"/>
    <m/>
    <m/>
    <m/>
  </r>
  <r>
    <d v="2025-11-04T00:00:00"/>
    <s v="Visite geôle du 04/11/2025 à la police de Madingou de NTONDELE MOUKOKO Claver/soir"/>
    <x v="6"/>
    <x v="1"/>
    <n v="1500"/>
    <n v="2.8116055579818666"/>
    <n v="533.50300000000004"/>
    <x v="1"/>
    <s v="RO-N-D3"/>
    <s v="PALF"/>
    <s v="Dahan"/>
    <s v="CONGO"/>
    <m/>
    <m/>
    <m/>
  </r>
  <r>
    <d v="2025-11-04T00:00:00"/>
    <s v="Tricycle:Marché-La police "/>
    <x v="0"/>
    <x v="1"/>
    <n v="500"/>
    <n v="0.93720185266062228"/>
    <n v="533.50300000000004"/>
    <x v="1"/>
    <s v="RO-N-D1"/>
    <s v="PALF"/>
    <s v="Dahan"/>
    <s v="CONGO"/>
    <m/>
    <m/>
    <m/>
  </r>
  <r>
    <d v="2025-11-04T00:00:00"/>
    <s v="Tricycle:La police-Hôtel"/>
    <x v="0"/>
    <x v="1"/>
    <n v="500"/>
    <n v="0.93720185266062228"/>
    <n v="533.50300000000004"/>
    <x v="1"/>
    <s v="RO-N-D1"/>
    <s v="PALF"/>
    <s v="Dahan"/>
    <s v="CONGO"/>
    <m/>
    <m/>
    <m/>
  </r>
  <r>
    <d v="2025-11-04T00:00:00"/>
    <s v="Taxi, Domicile du Coordo PALF-Bureau PALF"/>
    <x v="0"/>
    <x v="0"/>
    <n v="1000"/>
    <n v="1.8744037053212446"/>
    <n v="533.50300000000004"/>
    <x v="0"/>
    <s v="EV-N-D1"/>
    <s v="PALF"/>
    <s v="Dahan"/>
    <s v="CONGO"/>
    <m/>
    <m/>
    <m/>
  </r>
  <r>
    <d v="2025-11-04T00:00:00"/>
    <s v="Taxi, Bureau PALF-Horizon Africain"/>
    <x v="0"/>
    <x v="0"/>
    <n v="1000"/>
    <n v="1.8744037053212446"/>
    <n v="533.50300000000004"/>
    <x v="0"/>
    <s v="EV-N-D1"/>
    <s v="PALF"/>
    <s v="Dahan"/>
    <s v="CONGO"/>
    <m/>
    <m/>
    <m/>
  </r>
  <r>
    <d v="2025-11-04T00:00:00"/>
    <s v="Taxi, Horizon Africain-Domicile"/>
    <x v="0"/>
    <x v="0"/>
    <n v="1000"/>
    <n v="1.8744037053212446"/>
    <n v="533.50300000000004"/>
    <x v="0"/>
    <s v="EV-N-D1"/>
    <s v="PALF"/>
    <s v="Dahan"/>
    <s v="CONGO"/>
    <m/>
    <m/>
    <m/>
  </r>
  <r>
    <d v="2025-11-04T00:00:00"/>
    <s v="Bonus media portant sur l'interpellation d'un trafiquant d'un bébé chimpanzé le 28 octobre 2025 à Nkayi pièces presse Internet (https://www.panoramik-actu.com)"/>
    <x v="7"/>
    <x v="0"/>
    <n v="6000"/>
    <n v="11.246422231927466"/>
    <n v="533.50300000000004"/>
    <x v="0"/>
    <s v="CA-N-D1"/>
    <s v="PALF"/>
    <s v="Dahan"/>
    <s v="CONGO"/>
    <m/>
    <m/>
    <m/>
  </r>
  <r>
    <d v="2025-11-04T00:00:00"/>
    <s v="Bonus media portant sur l'interpellation d'un trafiquant d'un bébé chimpanzé le 28 octobre 2025 à Nkayi pièces presse Internet(https://www.tribune-eco.cg)"/>
    <x v="7"/>
    <x v="0"/>
    <n v="6000"/>
    <n v="11.246422231927466"/>
    <n v="533.50300000000004"/>
    <x v="0"/>
    <s v="CA-N-D1"/>
    <s v="PALF"/>
    <s v="Dahan"/>
    <s v="CONGO"/>
    <m/>
    <m/>
    <m/>
  </r>
  <r>
    <d v="2025-11-04T00:00:00"/>
    <s v="Bonus media portant sur l'interpellation d'un trafiquant d'un bébé chimpanzé le 28 octobre 2025 à Nkayi pièces presse Internet(https://www.groupecongomedias.com)"/>
    <x v="7"/>
    <x v="0"/>
    <n v="6000"/>
    <n v="11.246422231927466"/>
    <n v="533.50300000000004"/>
    <x v="0"/>
    <s v="CA-N-D1"/>
    <s v="PALF"/>
    <s v="Dahan"/>
    <s v="CONGO"/>
    <m/>
    <m/>
    <m/>
  </r>
  <r>
    <d v="2025-11-04T00:00:00"/>
    <s v="Bonus media portant sur l'interpellation d'un trafiquant d'un bébé chimpanzé le 28 octobre 2025 à Nkayi pièces presse Internet (https://www.labreveonline.com)"/>
    <x v="7"/>
    <x v="0"/>
    <n v="6000"/>
    <n v="11.246422231927466"/>
    <n v="533.50300000000004"/>
    <x v="0"/>
    <s v="CA-N-D1"/>
    <s v="PALF"/>
    <s v="Dahan"/>
    <s v="CONGO"/>
    <m/>
    <m/>
    <m/>
  </r>
  <r>
    <d v="2025-11-04T00:00:00"/>
    <s v="Bonus media portant sur l'interpellation d'un trafiquant d'un bébé chimpanzé le 28 octobre 2025 à Nkayi pièces presse Internet (https://www.adiac-congo.com)"/>
    <x v="7"/>
    <x v="0"/>
    <n v="6000"/>
    <n v="11.246422231927466"/>
    <n v="533.50300000000004"/>
    <x v="0"/>
    <s v="CA-N-D1"/>
    <s v="PALF"/>
    <s v="Dahan"/>
    <s v="CONGO"/>
    <m/>
    <m/>
    <m/>
  </r>
  <r>
    <d v="2025-11-04T00:00:00"/>
    <s v="Bonus media portant sur l'interpellation d'un trafiquant d'un bébé chimpanzé le 28 octobre 2025 à Nkayi pièces presse Internet (https://www.lasemaineafricaine.info)"/>
    <x v="7"/>
    <x v="0"/>
    <n v="6000"/>
    <n v="11.246422231927466"/>
    <n v="533.50300000000004"/>
    <x v="0"/>
    <s v="CA-N-D1"/>
    <s v="PALF"/>
    <s v="Dahan"/>
    <s v="CONGO"/>
    <m/>
    <m/>
    <m/>
  </r>
  <r>
    <d v="2025-11-04T00:00:00"/>
    <s v="Bonus media portant sur l'interpellation d'un trafiquant d'un bébé chimpanzé le 28 octobre 2025 à Nkayi pièces presse Internet (https://www.matinlibre.cg)"/>
    <x v="7"/>
    <x v="0"/>
    <n v="6000"/>
    <n v="11.246422231927466"/>
    <n v="533.50300000000004"/>
    <x v="0"/>
    <s v="CA-N-D1"/>
    <s v="PALF"/>
    <s v="Dahan"/>
    <s v="CONGO"/>
    <m/>
    <m/>
    <m/>
  </r>
  <r>
    <d v="2025-11-04T00:00:00"/>
    <s v="Bonus media portant sur l'interpellation d'un trafiquant d'un bébé chimpanzé le 28 octobre 2025 à Nkayi pièces presse Internet (https://www.firstmediac.com)"/>
    <x v="7"/>
    <x v="0"/>
    <n v="6000"/>
    <n v="11.246422231927466"/>
    <n v="533.50300000000004"/>
    <x v="0"/>
    <s v="CA-N-D1"/>
    <s v="PALF"/>
    <s v="Dahan"/>
    <s v="CONGO"/>
    <m/>
    <m/>
    <m/>
  </r>
  <r>
    <d v="2025-11-04T00:00:00"/>
    <s v="Bonus media portant sur l'interpellation d'un trafiquant d'un bébé chimpanzé le 28 octobre 2025 à Nkayi pièces presse Internet (https://www.journaldebrazza.com)"/>
    <x v="7"/>
    <x v="0"/>
    <n v="6000"/>
    <n v="11.246422231927466"/>
    <n v="533.50300000000004"/>
    <x v="0"/>
    <s v="CA-N-D1"/>
    <s v="PALF"/>
    <s v="Dahan"/>
    <s v="CONGO"/>
    <m/>
    <m/>
    <m/>
  </r>
  <r>
    <d v="2025-11-04T00:00:00"/>
    <s v="Bonus media portant sur l'interpellation d'un trafiquant d'un bébé chimpanzé le 28 octobre 2025 à Nkayi pièces presse Internet (https://vmmedias.info)"/>
    <x v="7"/>
    <x v="0"/>
    <n v="6000"/>
    <n v="11.246422231927466"/>
    <n v="533.50300000000004"/>
    <x v="0"/>
    <s v="CA-N-D1"/>
    <s v="PALF"/>
    <s v="Dahan"/>
    <s v="CONGO"/>
    <m/>
    <m/>
    <m/>
  </r>
  <r>
    <d v="2025-11-04T00:00:00"/>
    <s v="Bonus media portant sur l'interpellation d'un trafiquant d'un bébé chimpanzé le 28 octobre 2025 à Nkayi pièces presse Internet (https://aci.cg)"/>
    <x v="7"/>
    <x v="0"/>
    <n v="6000"/>
    <n v="11.246422231927466"/>
    <n v="533.50300000000004"/>
    <x v="0"/>
    <s v="CA-N-D1"/>
    <s v="PALF"/>
    <s v="Dahan"/>
    <s v="CONGO"/>
    <m/>
    <m/>
    <m/>
  </r>
  <r>
    <d v="2025-11-04T00:00:00"/>
    <s v="Bonus media portant sur l'interpellation d'un trafiquant d'un bébé chimpanzé le 28 octobre 2025 à Nkayi pièces presse Internet (https://lesechos-congobrazza.com/)"/>
    <x v="7"/>
    <x v="0"/>
    <n v="6000"/>
    <n v="11.246422231927466"/>
    <n v="533.50300000000004"/>
    <x v="0"/>
    <s v="CA-N-D1"/>
    <s v="PALF"/>
    <s v="Dahan"/>
    <s v="CONGO"/>
    <m/>
    <m/>
    <m/>
  </r>
  <r>
    <d v="2025-11-04T00:00:00"/>
    <s v="Bonus media portant sur l'interpellation d'un trafiquant d'un bébé chimpanzé le 28 octobre 2025 à Nkayi pièces presse Internet (https://opinionpublique.cg)"/>
    <x v="7"/>
    <x v="0"/>
    <n v="6000"/>
    <n v="11.246422231927466"/>
    <n v="533.50300000000004"/>
    <x v="0"/>
    <s v="CA-N-D1"/>
    <s v="PALF"/>
    <s v="Dahan"/>
    <s v="CONGO"/>
    <m/>
    <m/>
    <m/>
  </r>
  <r>
    <d v="2025-11-04T00:00:00"/>
    <s v="Bonus media portant sur l'interpellation d'un trafiquant d'un bébé chimpanzé le 28 octobre 2025 à Nkayi pièces presse Internet (https://www.lhorizonafricain.com)"/>
    <x v="7"/>
    <x v="0"/>
    <n v="6000"/>
    <n v="11.246422231927466"/>
    <n v="533.50300000000004"/>
    <x v="0"/>
    <s v="CA-N-D1"/>
    <s v="PALF"/>
    <s v="Dahan"/>
    <s v="CONGO"/>
    <m/>
    <m/>
    <m/>
  </r>
  <r>
    <d v="2025-11-04T00:00:00"/>
    <s v="Bonus media portant sur l'interpallation  d'un trafiquant d'un bébé chimpanzé le 28 octobre 2025 à Nkayi  pieces presse papier(les depêches de brazzaville, l'horizion africain, l'agence congolaise de l'information"/>
    <x v="7"/>
    <x v="0"/>
    <n v="10000"/>
    <n v="18.744037053212445"/>
    <n v="533.50300000000004"/>
    <x v="0"/>
    <s v="CA-N-D2"/>
    <s v="PALF"/>
    <s v="Dahan"/>
    <s v="CONGO"/>
    <m/>
    <m/>
    <m/>
  </r>
  <r>
    <d v="2025-11-04T00:00:00"/>
    <s v="Bonus media portant sur l'interpallation  d'un trafiquant d'un bébé chimpanzé le 28 octobre 2025 à Nkayi  pieces presse papier(les depêches de brazzaville)"/>
    <x v="7"/>
    <x v="0"/>
    <n v="10000"/>
    <n v="18.744037053212445"/>
    <n v="533.50300000000004"/>
    <x v="0"/>
    <s v="CA-N-D2"/>
    <s v="PALF"/>
    <s v="Dahan"/>
    <s v="CONGO"/>
    <m/>
    <m/>
    <m/>
  </r>
  <r>
    <d v="2025-11-04T00:00:00"/>
    <s v="Bonus media portant sur l'interpallation  d'un trafiquant d'un bébé chimpanzé le 28 octobre 2025 à Nkayi  pieces presse papier ( l'horizion africain)"/>
    <x v="7"/>
    <x v="0"/>
    <n v="10000"/>
    <n v="18.744037053212445"/>
    <n v="533.50300000000004"/>
    <x v="0"/>
    <s v="CA-N-D2"/>
    <s v="PALF"/>
    <s v="Dahan"/>
    <s v="CONGO"/>
    <m/>
    <m/>
    <m/>
  </r>
  <r>
    <d v="2025-11-04T00:00:00"/>
    <s v="Bonus media portant sur l'interpellation  d'un trafiquant d'un bébé chimpanzé le 28 octobre 2025 à Nkayi presse Radio citoyenne des jeunes"/>
    <x v="7"/>
    <x v="0"/>
    <n v="6000"/>
    <n v="11.246422231927466"/>
    <n v="533.50300000000004"/>
    <x v="0"/>
    <s v="CA-N-D3"/>
    <s v="PALF"/>
    <s v="Dahan"/>
    <s v="CONGO"/>
    <m/>
    <m/>
    <m/>
  </r>
  <r>
    <d v="2025-11-04T00:00:00"/>
    <s v="Bonus media portant sur l'interpellation  d'un trafiquant d'un bébé chimpanzé le 28 octobre 2025 à Nkayi presse Radio Liberté Kituba"/>
    <x v="7"/>
    <x v="0"/>
    <n v="6000"/>
    <n v="11.246422231927466"/>
    <n v="533.50300000000004"/>
    <x v="0"/>
    <s v="CA-N-D3"/>
    <s v="PALF"/>
    <s v="Dahan"/>
    <s v="CONGO"/>
    <m/>
    <m/>
    <m/>
  </r>
  <r>
    <d v="2025-11-04T00:00:00"/>
    <s v="Bonus media portant sur l'interpellation  d'un trafiquant d'un bébé chimpanzé le 28 octobre 2025 à Nkayi presse Radio Liberté Français"/>
    <x v="7"/>
    <x v="0"/>
    <n v="6000"/>
    <n v="11.246422231927466"/>
    <n v="533.50300000000004"/>
    <x v="0"/>
    <s v="CA-N-D3"/>
    <s v="PALF"/>
    <s v="Dahan"/>
    <s v="CONGO"/>
    <m/>
    <m/>
    <m/>
  </r>
  <r>
    <d v="2025-11-04T00:00:00"/>
    <s v="Bonus media portant sur l'interpellation  d'un trafiquant d'un bébé chimpanzé le 28 octobre 2025 à Nkayi presse Radio Liberté Lingala"/>
    <x v="7"/>
    <x v="0"/>
    <n v="6000"/>
    <n v="11.246422231927466"/>
    <n v="533.50300000000004"/>
    <x v="0"/>
    <s v="CA-N-D3"/>
    <s v="PALF"/>
    <s v="Dahan"/>
    <s v="CONGO"/>
    <m/>
    <m/>
    <m/>
  </r>
  <r>
    <d v="2025-11-04T00:00:00"/>
    <s v="ROMAIN-ROMAIN CONGO Frais d'Hotel à Enyelé du 03 au 04/11/2025 (01 nuitée)"/>
    <x v="3"/>
    <x v="1"/>
    <n v="15000"/>
    <n v="28.116055579818667"/>
    <n v="533.50300000000004"/>
    <x v="12"/>
    <s v="RM-N-R3"/>
    <s v="PALF"/>
    <s v="Dahan"/>
    <s v="CONGO"/>
    <m/>
    <m/>
    <m/>
  </r>
  <r>
    <d v="2025-11-04T00:00:00"/>
    <s v="Taxi moto: Hotel Paulina- Agence Océan du Nord d'Enyelé"/>
    <x v="0"/>
    <x v="1"/>
    <n v="500"/>
    <n v="0.93720185266062228"/>
    <n v="533.50300000000004"/>
    <x v="12"/>
    <s v="RM-N-D1"/>
    <s v="PALF"/>
    <s v="Dahan"/>
    <s v="CONGO"/>
    <m/>
    <m/>
    <m/>
  </r>
  <r>
    <d v="2025-11-04T00:00:00"/>
    <s v="Taxi moto: Agence Océan du Nord d'Oyo-Hotel Saint Benoit"/>
    <x v="0"/>
    <x v="1"/>
    <n v="500"/>
    <n v="0.93720185266062228"/>
    <n v="533.50300000000004"/>
    <x v="12"/>
    <s v="RM-N-D1"/>
    <s v="PALF"/>
    <s v="Dahan"/>
    <s v="CONGO"/>
    <m/>
    <m/>
    <m/>
  </r>
  <r>
    <d v="2025-11-04T00:00:00"/>
    <s v="Reglement loyer du mois d'octobre 2025/3655335"/>
    <x v="8"/>
    <x v="3"/>
    <n v="500000"/>
    <n v="937.20185266062231"/>
    <n v="533.50300000000004"/>
    <x v="2"/>
    <s v="BQ-N-R2"/>
    <s v="PALF"/>
    <s v="Dahan"/>
    <s v="CONGO"/>
    <m/>
    <m/>
    <m/>
  </r>
  <r>
    <d v="2025-11-05T00:00:00"/>
    <s v="Maison-Bureau"/>
    <x v="0"/>
    <x v="2"/>
    <n v="1000"/>
    <n v="1.8744037053212446"/>
    <n v="533.50300000000004"/>
    <x v="3"/>
    <s v="DH-N-D1"/>
    <s v="PALF"/>
    <s v="Dahan"/>
    <s v="CONGO"/>
    <m/>
    <m/>
    <m/>
  </r>
  <r>
    <d v="2025-11-05T00:00:00"/>
    <s v="Bureau-Maison"/>
    <x v="0"/>
    <x v="2"/>
    <n v="1000"/>
    <n v="1.8744037053212446"/>
    <n v="533.50300000000004"/>
    <x v="3"/>
    <s v="DH-N-D1"/>
    <s v="PALF"/>
    <s v="Dahan"/>
    <s v="CONGO"/>
    <m/>
    <m/>
    <m/>
  </r>
  <r>
    <d v="2025-11-05T00:00:00"/>
    <s v="Achat fourniture de bureau PALF Classeur "/>
    <x v="5"/>
    <x v="3"/>
    <n v="25000"/>
    <n v="46.860092633031115"/>
    <n v="533.50300000000004"/>
    <x v="5"/>
    <s v="CA-N-R6"/>
    <s v="PALF"/>
    <s v="Dahan"/>
    <s v="CONGO"/>
    <m/>
    <m/>
    <m/>
  </r>
  <r>
    <d v="2025-11-05T00:00:00"/>
    <s v="Achat fourniture de bureau PALF  paque papier bristol"/>
    <x v="5"/>
    <x v="3"/>
    <n v="3500"/>
    <n v="6.5604129686243562"/>
    <n v="533.50300000000004"/>
    <x v="5"/>
    <s v="CA-N-R6"/>
    <s v="PALF"/>
    <s v="Dahan"/>
    <s v="CONGO"/>
    <m/>
    <m/>
    <m/>
  </r>
  <r>
    <d v="2025-11-05T00:00:00"/>
    <s v="Achat fourniture de bureau PALF deux cartons de paquet RAME A4"/>
    <x v="5"/>
    <x v="3"/>
    <n v="34000"/>
    <n v="63.729725980922311"/>
    <n v="533.50300000000004"/>
    <x v="5"/>
    <s v="CA-N-R6"/>
    <s v="PALF"/>
    <s v="Dahan"/>
    <s v="CONGO"/>
    <m/>
    <m/>
    <m/>
  </r>
  <r>
    <d v="2025-11-05T00:00:00"/>
    <s v="Achat fourniture de bureau PALF  Carnet reçu"/>
    <x v="5"/>
    <x v="3"/>
    <n v="7500"/>
    <n v="14.058027789909334"/>
    <n v="533.50300000000004"/>
    <x v="5"/>
    <s v="CA-N-R6"/>
    <s v="PALF"/>
    <s v="Dahan"/>
    <s v="CONGO"/>
    <m/>
    <m/>
    <m/>
  </r>
  <r>
    <d v="2025-11-05T00:00:00"/>
    <s v="Achat fourniture de bureau PALF  cole en pate"/>
    <x v="5"/>
    <x v="3"/>
    <n v="1000"/>
    <n v="1.8744037053212446"/>
    <n v="533.50300000000004"/>
    <x v="5"/>
    <s v="CA-N-R6"/>
    <s v="PALF"/>
    <s v="Dahan"/>
    <s v="CONGO"/>
    <m/>
    <m/>
    <m/>
  </r>
  <r>
    <d v="2025-11-05T00:00:00"/>
    <s v="Achat fourniture de bureau PALF  paquet stylo bleu"/>
    <x v="5"/>
    <x v="3"/>
    <n v="5000"/>
    <n v="9.3720185266062224"/>
    <n v="533.50300000000004"/>
    <x v="5"/>
    <s v="CA-N-R6"/>
    <s v="PALF"/>
    <s v="Dahan"/>
    <s v="CONGO"/>
    <m/>
    <m/>
    <m/>
  </r>
  <r>
    <d v="2025-11-05T00:00:00"/>
    <s v="Achat fourniture de bureau PALF un  Agrafeuse"/>
    <x v="5"/>
    <x v="3"/>
    <n v="5000"/>
    <n v="9.3720185266062224"/>
    <n v="533.50300000000004"/>
    <x v="5"/>
    <s v="CA-N-R6"/>
    <s v="PALF"/>
    <s v="Dahan"/>
    <s v="CONGO"/>
    <m/>
    <m/>
    <m/>
  </r>
  <r>
    <d v="2025-11-05T00:00:00"/>
    <s v="Achat fourniture de bureau PALF un desagrafeuse"/>
    <x v="5"/>
    <x v="3"/>
    <n v="1000"/>
    <n v="1.8744037053212446"/>
    <n v="533.50300000000004"/>
    <x v="5"/>
    <s v="CA-N-R6"/>
    <s v="PALF"/>
    <s v="Dahan"/>
    <s v="CONGO"/>
    <m/>
    <m/>
    <m/>
  </r>
  <r>
    <d v="2025-11-05T00:00:00"/>
    <s v="Achat fourniture de bureau PALF un paquet d'intercalaire"/>
    <x v="5"/>
    <x v="3"/>
    <n v="3500"/>
    <n v="6.5604129686243562"/>
    <n v="533.50300000000004"/>
    <x v="5"/>
    <s v="CA-N-R6"/>
    <s v="PALF"/>
    <s v="Dahan"/>
    <s v="CONGO"/>
    <m/>
    <m/>
    <m/>
  </r>
  <r>
    <d v="2025-11-05T00:00:00"/>
    <s v="Taxi:  Bureau- Société de gardiennage/remis de chèque du mois d'octobre 2025"/>
    <x v="0"/>
    <x v="3"/>
    <n v="1000"/>
    <n v="1.8744037053212446"/>
    <n v="533.50300000000004"/>
    <x v="5"/>
    <s v="P-N-D1"/>
    <s v="PALF"/>
    <s v="Dahan"/>
    <s v="CONGO"/>
    <m/>
    <m/>
    <m/>
  </r>
  <r>
    <d v="2025-11-05T00:00:00"/>
    <s v="Taxi:  Societé de gardiennage  - Bureau"/>
    <x v="0"/>
    <x v="3"/>
    <n v="1000"/>
    <n v="1.8744037053212446"/>
    <n v="533.50300000000004"/>
    <x v="5"/>
    <s v="P-N-D1"/>
    <s v="PALF"/>
    <s v="Dahan"/>
    <s v="CONGO"/>
    <m/>
    <m/>
    <m/>
  </r>
  <r>
    <d v="2025-11-05T00:00:00"/>
    <s v="Taxi:Bureau-Societé SDF / Achat Fourniture de bueau"/>
    <x v="0"/>
    <x v="3"/>
    <n v="1000"/>
    <n v="1.8744037053212446"/>
    <n v="533.50300000000004"/>
    <x v="5"/>
    <s v="P-N-D1"/>
    <s v="PALF"/>
    <s v="Dahan"/>
    <s v="CONGO"/>
    <m/>
    <m/>
    <m/>
  </r>
  <r>
    <d v="2025-11-05T00:00:00"/>
    <s v="Taxi:Société SDF-  Bureau"/>
    <x v="0"/>
    <x v="3"/>
    <n v="1000"/>
    <n v="1.8744037053212446"/>
    <n v="533.50300000000004"/>
    <x v="5"/>
    <s v="P-N-D1"/>
    <s v="PALF"/>
    <s v="Dahan"/>
    <s v="CONGO"/>
    <m/>
    <m/>
    <m/>
  </r>
  <r>
    <d v="2025-11-05T00:00:00"/>
    <s v="Bonus opération du 28/10/2025 à Nkayi/Evariste"/>
    <x v="9"/>
    <x v="5"/>
    <n v="25000"/>
    <n v="46.860092633031115"/>
    <n v="533.50300000000004"/>
    <x v="10"/>
    <s v="CA-N-D5"/>
    <s v="PALF"/>
    <s v="Dahan"/>
    <s v="CONGO"/>
    <m/>
    <m/>
    <m/>
  </r>
  <r>
    <d v="2025-11-05T00:00:00"/>
    <s v="Tricycle:Hôtel- Marché pour l'achat de la ration du prevenu "/>
    <x v="0"/>
    <x v="1"/>
    <n v="500"/>
    <n v="0.93720185266062228"/>
    <n v="533.50300000000004"/>
    <x v="1"/>
    <s v="RO-N-D1"/>
    <s v="PALF"/>
    <s v="Dahan"/>
    <s v="CONGO"/>
    <m/>
    <m/>
    <m/>
  </r>
  <r>
    <d v="2025-11-05T00:00:00"/>
    <s v="Visite geôle du 05/11/2025 à la police de Madingou de NTONDELE MOUKOKO Claver/matin"/>
    <x v="6"/>
    <x v="1"/>
    <n v="1500"/>
    <n v="2.8116055579818666"/>
    <n v="533.50300000000004"/>
    <x v="1"/>
    <s v="RO-N-D3"/>
    <s v="PALF"/>
    <s v="Dahan"/>
    <s v="CONGO"/>
    <m/>
    <m/>
    <m/>
  </r>
  <r>
    <d v="2025-11-05T00:00:00"/>
    <s v="Tricycle:Marché-La police "/>
    <x v="0"/>
    <x v="1"/>
    <n v="500"/>
    <n v="0.93720185266062228"/>
    <n v="533.50300000000004"/>
    <x v="1"/>
    <s v="RO-N-D1"/>
    <s v="PALF"/>
    <s v="Dahan"/>
    <s v="CONGO"/>
    <m/>
    <m/>
    <m/>
  </r>
  <r>
    <d v="2025-11-05T00:00:00"/>
    <s v="Tricycle:La police-Hôtel"/>
    <x v="0"/>
    <x v="1"/>
    <n v="500"/>
    <n v="0.93720185266062228"/>
    <n v="533.50300000000004"/>
    <x v="1"/>
    <s v="RO-N-D1"/>
    <s v="PALF"/>
    <s v="Dahan"/>
    <s v="CONGO"/>
    <m/>
    <m/>
    <m/>
  </r>
  <r>
    <d v="2025-11-05T00:00:00"/>
    <s v="Tricycle:Hôtel- Marché pour l'achat de la ration du prevenu "/>
    <x v="0"/>
    <x v="1"/>
    <n v="500"/>
    <n v="0.93720185266062228"/>
    <n v="533.50300000000004"/>
    <x v="1"/>
    <s v="RO-N-D1"/>
    <s v="PALF"/>
    <s v="Dahan"/>
    <s v="CONGO"/>
    <m/>
    <m/>
    <m/>
  </r>
  <r>
    <d v="2025-11-05T00:00:00"/>
    <s v="Visite geôle du 05/11/2025 à la police de Madingou de NTONDELE MOUKOKO Claver/soir"/>
    <x v="6"/>
    <x v="1"/>
    <n v="1500"/>
    <n v="2.8116055579818666"/>
    <n v="533.50300000000004"/>
    <x v="1"/>
    <s v="RO-N-D3"/>
    <s v="PALF"/>
    <s v="Dahan"/>
    <s v="CONGO"/>
    <m/>
    <m/>
    <m/>
  </r>
  <r>
    <d v="2025-11-05T00:00:00"/>
    <s v="Tricycle:Marché-La police "/>
    <x v="0"/>
    <x v="1"/>
    <n v="500"/>
    <n v="0.93720185266062228"/>
    <n v="533.50300000000004"/>
    <x v="1"/>
    <s v="RO-N-D1"/>
    <s v="PALF"/>
    <s v="Dahan"/>
    <s v="CONGO"/>
    <m/>
    <m/>
    <m/>
  </r>
  <r>
    <d v="2025-11-05T00:00:00"/>
    <s v="Tricycle:La police-Hôtel"/>
    <x v="0"/>
    <x v="1"/>
    <n v="500"/>
    <n v="0.93720185266062228"/>
    <n v="533.50300000000004"/>
    <x v="1"/>
    <s v="RO-N-D1"/>
    <s v="PALF"/>
    <s v="Dahan"/>
    <s v="CONGO"/>
    <m/>
    <m/>
    <m/>
  </r>
  <r>
    <d v="2025-11-05T00:00:00"/>
    <s v="Bonus opération du 28/10/2025 à Nkayi/Evariste"/>
    <x v="9"/>
    <x v="5"/>
    <n v="25000"/>
    <n v="46.860092633031115"/>
    <n v="533.50300000000004"/>
    <x v="0"/>
    <s v="CA-N-D4"/>
    <s v="PALF"/>
    <s v="Dahan"/>
    <s v="CONGO"/>
    <m/>
    <m/>
    <m/>
  </r>
  <r>
    <d v="2025-11-05T00:00:00"/>
    <s v="Taxi, Bureau PALF-firstmediac.com"/>
    <x v="0"/>
    <x v="0"/>
    <n v="1000"/>
    <n v="1.8744037053212446"/>
    <n v="533.50300000000004"/>
    <x v="0"/>
    <s v="EV-N-D1"/>
    <s v="PALF"/>
    <s v="Dahan"/>
    <s v="CONGO"/>
    <m/>
    <m/>
    <m/>
  </r>
  <r>
    <d v="2025-11-05T00:00:00"/>
    <s v="Taxi, firstmediac.com-Radio Liberté"/>
    <x v="0"/>
    <x v="0"/>
    <n v="1000"/>
    <n v="1.8744037053212446"/>
    <n v="533.50300000000004"/>
    <x v="0"/>
    <s v="EV-N-D1"/>
    <s v="PALF"/>
    <s v="Dahan"/>
    <s v="CONGO"/>
    <m/>
    <m/>
    <m/>
  </r>
  <r>
    <d v="2025-11-05T00:00:00"/>
    <s v="Taxi, Radio Liberté-panoramik-actu.com"/>
    <x v="0"/>
    <x v="0"/>
    <n v="1000"/>
    <n v="1.8744037053212446"/>
    <n v="533.50300000000004"/>
    <x v="0"/>
    <s v="EV-N-D1"/>
    <s v="PALF"/>
    <s v="Dahan"/>
    <s v="CONGO"/>
    <m/>
    <m/>
    <m/>
  </r>
  <r>
    <d v="2025-11-05T00:00:00"/>
    <s v="Taxi, panoramik-actu.com-L'Agence Congolaise d'Information"/>
    <x v="0"/>
    <x v="0"/>
    <n v="1000"/>
    <n v="1.8744037053212446"/>
    <n v="533.50300000000004"/>
    <x v="0"/>
    <s v="EV-N-D1"/>
    <s v="PALF"/>
    <s v="Dahan"/>
    <s v="CONGO"/>
    <m/>
    <m/>
    <m/>
  </r>
  <r>
    <d v="2025-11-05T00:00:00"/>
    <s v="Taxi, L'Agence Congolaise d'Information-lesechoscongobrazza.com"/>
    <x v="0"/>
    <x v="0"/>
    <n v="1000"/>
    <n v="1.8744037053212446"/>
    <n v="533.50300000000004"/>
    <x v="0"/>
    <s v="EV-N-D1"/>
    <s v="PALF"/>
    <s v="Dahan"/>
    <s v="CONGO"/>
    <m/>
    <m/>
    <m/>
  </r>
  <r>
    <d v="2025-11-05T00:00:00"/>
    <s v="Taxi, lesechoscongobrazza.com-tribune-eco.cg"/>
    <x v="0"/>
    <x v="0"/>
    <n v="1000"/>
    <n v="1.8744037053212446"/>
    <n v="533.50300000000004"/>
    <x v="0"/>
    <s v="EV-N-D1"/>
    <s v="PALF"/>
    <s v="Dahan"/>
    <s v="CONGO"/>
    <m/>
    <m/>
    <m/>
  </r>
  <r>
    <d v="2025-11-05T00:00:00"/>
    <s v="Taxi, tribune-eco.cg-Radio Citoyenne des Jeunes"/>
    <x v="0"/>
    <x v="0"/>
    <n v="1000"/>
    <n v="1.8744037053212446"/>
    <n v="533.50300000000004"/>
    <x v="0"/>
    <s v="EV-N-D1"/>
    <s v="PALF"/>
    <s v="Dahan"/>
    <s v="CONGO"/>
    <m/>
    <m/>
    <m/>
  </r>
  <r>
    <d v="2025-11-05T00:00:00"/>
    <s v="Taxi, Radio Citoyenne des jeunes-groupecongomedias.com"/>
    <x v="0"/>
    <x v="0"/>
    <n v="1000"/>
    <n v="1.8744037053212446"/>
    <n v="533.50300000000004"/>
    <x v="0"/>
    <s v="EV-N-D1"/>
    <s v="PALF"/>
    <s v="Dahan"/>
    <s v="CONGO"/>
    <m/>
    <m/>
    <m/>
  </r>
  <r>
    <d v="2025-11-05T00:00:00"/>
    <s v="Taxi, groupecongomedias.com-matinlibre.cg"/>
    <x v="0"/>
    <x v="0"/>
    <n v="1000"/>
    <n v="1.8744037053212446"/>
    <n v="533.50300000000004"/>
    <x v="0"/>
    <s v="EV-N-D1"/>
    <s v="PALF"/>
    <s v="Dahan"/>
    <s v="CONGO"/>
    <m/>
    <m/>
    <m/>
  </r>
  <r>
    <d v="2025-11-05T00:00:00"/>
    <s v="Taxi, matinlibre.cg-La Semaine Africaine"/>
    <x v="0"/>
    <x v="0"/>
    <n v="1000"/>
    <n v="1.8744037053212446"/>
    <n v="533.50300000000004"/>
    <x v="0"/>
    <s v="EV-N-D1"/>
    <s v="PALF"/>
    <s v="Dahan"/>
    <s v="CONGO"/>
    <m/>
    <m/>
    <m/>
  </r>
  <r>
    <d v="2025-11-05T00:00:00"/>
    <s v="Taxi, La Semaine Africaine-Bureau PALF"/>
    <x v="0"/>
    <x v="0"/>
    <n v="1000"/>
    <n v="1.8744037053212446"/>
    <n v="533.50300000000004"/>
    <x v="0"/>
    <s v="EV-N-D1"/>
    <s v="PALF"/>
    <s v="Dahan"/>
    <s v="CONGO"/>
    <m/>
    <m/>
    <m/>
  </r>
  <r>
    <d v="2025-11-05T00:00:00"/>
    <s v="ROMAIN-CONGO: Frais d'hotel du 04 au 05/11/2025 à Oyo (01 nuitée)"/>
    <x v="3"/>
    <x v="1"/>
    <n v="15000"/>
    <n v="28.116055579818667"/>
    <n v="533.50300000000004"/>
    <x v="12"/>
    <s v="RM-N-R4"/>
    <s v="PALF"/>
    <s v="Dahan"/>
    <s v="CONGO"/>
    <m/>
    <m/>
    <m/>
  </r>
  <r>
    <d v="2025-11-05T00:00:00"/>
    <s v="Taxi moto:  Hotel saint Benoit- Agence Océan du Nord d'Oyo"/>
    <x v="0"/>
    <x v="1"/>
    <n v="500"/>
    <n v="0.93720185266062228"/>
    <n v="533.50300000000004"/>
    <x v="12"/>
    <s v="RM-N-D1"/>
    <s v="PALF"/>
    <s v="Dahan"/>
    <s v="CONGO"/>
    <m/>
    <m/>
    <m/>
  </r>
  <r>
    <d v="2025-11-05T00:00:00"/>
    <s v="Taxi : Agence Océan du Nord de Talangai-Domicile"/>
    <x v="0"/>
    <x v="1"/>
    <n v="3000"/>
    <n v="5.6232111159637332"/>
    <n v="533.50300000000004"/>
    <x v="12"/>
    <s v="RM-N-D1"/>
    <s v="PALF"/>
    <s v="Dahan"/>
    <s v="CONGO"/>
    <m/>
    <m/>
    <m/>
  </r>
  <r>
    <d v="2025-11-05T00:00:00"/>
    <s v="Reglement Facture Gardiennage Mois d'octobre 2025/3655347"/>
    <x v="10"/>
    <x v="3"/>
    <n v="260000"/>
    <n v="487.34496338352358"/>
    <n v="533.50300000000004"/>
    <x v="2"/>
    <s v="BQ-N-R3"/>
    <s v="PALF"/>
    <s v="Dahan"/>
    <s v="CONGO"/>
    <m/>
    <m/>
    <m/>
  </r>
  <r>
    <d v="2025-11-06T00:00:00"/>
    <s v="Maison-Bureau"/>
    <x v="0"/>
    <x v="2"/>
    <n v="1000"/>
    <n v="1.8744037053212446"/>
    <n v="533.50300000000004"/>
    <x v="3"/>
    <s v="DH-N-D1"/>
    <s v="PALF"/>
    <s v="Dahan"/>
    <s v="CONGO"/>
    <m/>
    <m/>
    <m/>
  </r>
  <r>
    <d v="2025-11-06T00:00:00"/>
    <s v="Bureau -Maison"/>
    <x v="0"/>
    <x v="2"/>
    <n v="1000"/>
    <n v="1.8744037053212446"/>
    <n v="533.50300000000004"/>
    <x v="3"/>
    <s v="DH-N-D1"/>
    <s v="PALF"/>
    <s v="Dahan"/>
    <s v="CONGO"/>
    <m/>
    <m/>
    <m/>
  </r>
  <r>
    <d v="2025-11-06T00:00:00"/>
    <s v="Achat produit d'entretien  02 laits 900g  /Bureau PALF"/>
    <x v="5"/>
    <x v="3"/>
    <n v="11000"/>
    <n v="20.618440758533691"/>
    <n v="533.50300000000004"/>
    <x v="5"/>
    <s v="CA-N-R7"/>
    <s v="PALF"/>
    <s v="Dahan"/>
    <s v="CONGO"/>
    <m/>
    <m/>
    <m/>
  </r>
  <r>
    <d v="2025-11-06T00:00:00"/>
    <s v="Achat produit d'entretien 02 bouteille des  javels /Bureau PALF"/>
    <x v="5"/>
    <x v="3"/>
    <n v="5000"/>
    <n v="9.3720185266062224"/>
    <n v="533.50300000000004"/>
    <x v="5"/>
    <s v="CA-N-R7"/>
    <s v="PALF"/>
    <s v="Dahan"/>
    <s v="CONGO"/>
    <m/>
    <m/>
    <m/>
  </r>
  <r>
    <d v="2025-11-06T00:00:00"/>
    <s v="Achat produit d'entretien nettoyant menage/Bureau PALF"/>
    <x v="5"/>
    <x v="3"/>
    <n v="2750"/>
    <n v="5.1546101896334227"/>
    <n v="533.50300000000004"/>
    <x v="5"/>
    <s v="CA-N-R7"/>
    <s v="PALF"/>
    <s v="Dahan"/>
    <s v="CONGO"/>
    <m/>
    <m/>
    <m/>
  </r>
  <r>
    <d v="2025-11-06T00:00:00"/>
    <s v="Achat produit d'entretien 06 papiers toilette/Bureau PALF"/>
    <x v="5"/>
    <x v="3"/>
    <n v="11700"/>
    <n v="21.930523352258561"/>
    <n v="533.50300000000004"/>
    <x v="5"/>
    <s v="CA-N-R7"/>
    <s v="PALF"/>
    <s v="Dahan"/>
    <s v="CONGO"/>
    <m/>
    <m/>
    <m/>
  </r>
  <r>
    <d v="2025-11-06T00:00:00"/>
    <s v="Achat produit d'entretien 02 bloc wc/Bureau PALF"/>
    <x v="5"/>
    <x v="3"/>
    <n v="4000"/>
    <n v="7.4976148212849782"/>
    <n v="533.50300000000004"/>
    <x v="5"/>
    <s v="CA-N-R7"/>
    <s v="PALF"/>
    <s v="Dahan"/>
    <s v="CONGO"/>
    <m/>
    <m/>
    <m/>
  </r>
  <r>
    <d v="2025-11-06T00:00:00"/>
    <s v="Achat produit d'entretien 02 bloc chasse/Bureau PALF"/>
    <x v="5"/>
    <x v="3"/>
    <n v="3000"/>
    <n v="5.6232111159637332"/>
    <n v="533.50300000000004"/>
    <x v="5"/>
    <s v="CA-N-R7"/>
    <s v="PALF"/>
    <s v="Dahan"/>
    <s v="CONGO"/>
    <m/>
    <m/>
    <m/>
  </r>
  <r>
    <d v="2025-11-06T00:00:00"/>
    <s v="Achat produit d'entretien Matinal/Bureau PALF"/>
    <x v="5"/>
    <x v="3"/>
    <n v="2750"/>
    <n v="5.1546101896334227"/>
    <n v="533.50300000000004"/>
    <x v="5"/>
    <s v="CA-N-R7"/>
    <s v="PALF"/>
    <s v="Dahan"/>
    <s v="CONGO"/>
    <m/>
    <m/>
    <m/>
  </r>
  <r>
    <d v="2025-11-06T00:00:00"/>
    <s v="Achat produit d'entretien liquide vaisselle/Bureau PALF"/>
    <x v="5"/>
    <x v="3"/>
    <n v="1500"/>
    <n v="2.8116055579818666"/>
    <n v="533.50300000000004"/>
    <x v="5"/>
    <s v="CA-N-R7"/>
    <s v="PALF"/>
    <s v="Dahan"/>
    <s v="CONGO"/>
    <m/>
    <m/>
    <m/>
  </r>
  <r>
    <d v="2025-11-06T00:00:00"/>
    <s v="Achat produit d'entretien savon de menage/Bureau PALF"/>
    <x v="5"/>
    <x v="3"/>
    <n v="2000"/>
    <n v="3.7488074106424891"/>
    <n v="533.50300000000004"/>
    <x v="5"/>
    <s v="CA-N-R7"/>
    <s v="PALF"/>
    <s v="Dahan"/>
    <s v="CONGO"/>
    <m/>
    <m/>
    <m/>
  </r>
  <r>
    <d v="2025-11-06T00:00:00"/>
    <s v="Achat produit d'entretien Proclin 1000 kg/Bureau PALF"/>
    <x v="5"/>
    <x v="3"/>
    <n v="3700"/>
    <n v="6.9352937096886045"/>
    <n v="533.50300000000004"/>
    <x v="5"/>
    <s v="CA-N-R7"/>
    <s v="PALF"/>
    <s v="Dahan"/>
    <s v="CONGO"/>
    <m/>
    <m/>
    <m/>
  </r>
  <r>
    <d v="2025-11-06T00:00:00"/>
    <s v="Achat produit d'entretien sac sucre 5kg /Bureau PALF"/>
    <x v="5"/>
    <x v="3"/>
    <n v="3750"/>
    <n v="7.0290138949546668"/>
    <n v="533.50300000000004"/>
    <x v="5"/>
    <s v="CA-N-R7"/>
    <s v="PALF"/>
    <s v="Dahan"/>
    <s v="CONGO"/>
    <m/>
    <m/>
    <m/>
  </r>
  <r>
    <d v="2025-11-06T00:00:00"/>
    <s v="Achat produit d'entretien sac à poubelle/Bureau PALF"/>
    <x v="5"/>
    <x v="3"/>
    <n v="8750"/>
    <n v="16.401032421560888"/>
    <n v="533.50300000000004"/>
    <x v="5"/>
    <s v="CA-N-R7"/>
    <s v="PALF"/>
    <s v="Dahan"/>
    <s v="CONGO"/>
    <m/>
    <m/>
    <m/>
  </r>
  <r>
    <d v="2025-11-06T00:00:00"/>
    <s v="Achat produit d'entretien thé/Bureau PALF"/>
    <x v="5"/>
    <x v="3"/>
    <n v="1750"/>
    <n v="3.2802064843121781"/>
    <n v="533.50300000000004"/>
    <x v="5"/>
    <s v="CA-N-R7"/>
    <s v="PALF"/>
    <s v="Dahan"/>
    <s v="CONGO"/>
    <m/>
    <m/>
    <m/>
  </r>
  <r>
    <d v="2025-11-06T00:00:00"/>
    <s v="Taxi:  Bureau- Super marche/Achat produit d'entretien bureau"/>
    <x v="0"/>
    <x v="3"/>
    <n v="1000"/>
    <n v="1.8744037053212446"/>
    <n v="533.50300000000004"/>
    <x v="5"/>
    <s v="P-N-D1"/>
    <s v="PALF"/>
    <s v="Dahan"/>
    <s v="CONGO"/>
    <m/>
    <m/>
    <m/>
  </r>
  <r>
    <d v="2025-11-06T00:00:00"/>
    <s v="Taxi:  Super marché  - Bureau"/>
    <x v="0"/>
    <x v="3"/>
    <n v="1000"/>
    <n v="1.8744037053212446"/>
    <n v="533.50300000000004"/>
    <x v="5"/>
    <s v="P-N-D1"/>
    <s v="PALF"/>
    <s v="Dahan"/>
    <s v="CONGO"/>
    <m/>
    <m/>
    <m/>
  </r>
  <r>
    <d v="2025-11-06T00:00:00"/>
    <s v="Taxi domicile-mapassi,prospection"/>
    <x v="0"/>
    <x v="4"/>
    <n v="1500"/>
    <n v="2.8116055579818666"/>
    <n v="533.50300000000004"/>
    <x v="6"/>
    <s v="P29-N-D1"/>
    <s v="PALF"/>
    <s v="Dahan"/>
    <s v="CONGO"/>
    <m/>
    <m/>
    <m/>
  </r>
  <r>
    <d v="2025-11-06T00:00:00"/>
    <s v="Taxi mapassi-massengo,prospection"/>
    <x v="0"/>
    <x v="4"/>
    <n v="1500"/>
    <n v="2.8116055579818666"/>
    <n v="533.50300000000004"/>
    <x v="6"/>
    <s v="P29-N-D1"/>
    <s v="PALF"/>
    <s v="Dahan"/>
    <s v="CONGO"/>
    <m/>
    <m/>
    <m/>
  </r>
  <r>
    <d v="2025-11-06T00:00:00"/>
    <s v="Taxi massengo-makabadilou,prospection"/>
    <x v="0"/>
    <x v="4"/>
    <n v="1000"/>
    <n v="1.8744037053212446"/>
    <n v="533.50300000000004"/>
    <x v="6"/>
    <s v="P29-N-D1"/>
    <s v="PALF"/>
    <s v="Dahan"/>
    <s v="CONGO"/>
    <m/>
    <m/>
    <m/>
  </r>
  <r>
    <d v="2025-11-06T00:00:00"/>
    <s v="Taxi makabadilou-mikalou,prospection"/>
    <x v="0"/>
    <x v="4"/>
    <n v="1500"/>
    <n v="2.8116055579818666"/>
    <n v="533.50300000000004"/>
    <x v="6"/>
    <s v="P29-N-D1"/>
    <s v="PALF"/>
    <s v="Dahan"/>
    <s v="CONGO"/>
    <m/>
    <m/>
    <m/>
  </r>
  <r>
    <d v="2025-11-06T00:00:00"/>
    <s v="Taxi mikalou-moungali"/>
    <x v="0"/>
    <x v="4"/>
    <n v="1000"/>
    <n v="1.8744037053212446"/>
    <n v="533.50300000000004"/>
    <x v="6"/>
    <s v="P29-N-D1"/>
    <s v="PALF"/>
    <s v="Dahan"/>
    <s v="CONGO"/>
    <m/>
    <m/>
    <m/>
  </r>
  <r>
    <d v="2025-11-06T00:00:00"/>
    <s v="Taxi moungali-domicile"/>
    <x v="0"/>
    <x v="4"/>
    <n v="1500"/>
    <n v="2.8116055579818666"/>
    <n v="533.50300000000004"/>
    <x v="6"/>
    <s v="P29-N-D1"/>
    <s v="PALF"/>
    <s v="Dahan"/>
    <s v="CONGO"/>
    <m/>
    <m/>
    <m/>
  </r>
  <r>
    <d v="2025-11-06T00:00:00"/>
    <s v=" Achat boisson avec une cible"/>
    <x v="11"/>
    <x v="4"/>
    <n v="1000"/>
    <n v="1.8401363172983856"/>
    <n v="543.43799999999999"/>
    <x v="6"/>
    <s v="P29-N-D3"/>
    <s v="PALF"/>
    <s v="Marchig Trust"/>
    <s v="CONGO"/>
    <m/>
    <m/>
    <m/>
  </r>
  <r>
    <d v="2025-11-06T00:00:00"/>
    <s v="Taxi : domicile - moukondo ( prospection à Brazzaville)"/>
    <x v="0"/>
    <x v="4"/>
    <n v="1000"/>
    <n v="1.8744037053212446"/>
    <n v="533.50300000000004"/>
    <x v="7"/>
    <s v="T73-N-D1"/>
    <s v="PALF"/>
    <s v="Dahan"/>
    <s v="CONGO"/>
    <m/>
    <m/>
    <m/>
  </r>
  <r>
    <d v="2025-11-06T00:00:00"/>
    <s v="Taxi : moukondo - aéroport ( prospection à Brazzaville)"/>
    <x v="0"/>
    <x v="4"/>
    <n v="1000"/>
    <n v="1.8744037053212446"/>
    <n v="533.50300000000004"/>
    <x v="7"/>
    <s v="T73-N-D1"/>
    <s v="PALF"/>
    <s v="Dahan"/>
    <s v="CONGO"/>
    <m/>
    <m/>
    <m/>
  </r>
  <r>
    <d v="2025-11-06T00:00:00"/>
    <s v="Taxi : aéroport - poto poto ( prospection à Brazzaville)"/>
    <x v="0"/>
    <x v="4"/>
    <n v="1000"/>
    <n v="1.8744037053212446"/>
    <n v="533.50300000000004"/>
    <x v="7"/>
    <s v="T73-N-D1"/>
    <s v="PALF"/>
    <s v="Dahan"/>
    <s v="CONGO"/>
    <m/>
    <m/>
    <m/>
  </r>
  <r>
    <d v="2025-11-06T00:00:00"/>
    <s v="Taxi : poto poto - marché total ( prospection à Brazzaville)"/>
    <x v="0"/>
    <x v="4"/>
    <n v="1000"/>
    <n v="1.8744037053212446"/>
    <n v="533.50300000000004"/>
    <x v="7"/>
    <s v="T73-N-D1"/>
    <s v="PALF"/>
    <s v="Dahan"/>
    <s v="CONGO"/>
    <m/>
    <m/>
    <m/>
  </r>
  <r>
    <d v="2025-11-06T00:00:00"/>
    <s v="Taxi : marché total - domicile ( prospection à Brazzaville)"/>
    <x v="0"/>
    <x v="4"/>
    <n v="1000"/>
    <n v="1.8744037053212446"/>
    <n v="533.50300000000004"/>
    <x v="7"/>
    <s v="T73-N-D1"/>
    <s v="PALF"/>
    <s v="Dahan"/>
    <s v="CONGO"/>
    <m/>
    <m/>
    <m/>
  </r>
  <r>
    <d v="2025-11-06T00:00:00"/>
    <s v="achat boisson ( une cible)"/>
    <x v="11"/>
    <x v="4"/>
    <n v="2000"/>
    <n v="3.6802726345967711"/>
    <n v="543.43799999999999"/>
    <x v="7"/>
    <s v="T73-N-D2"/>
    <s v="PALF"/>
    <s v="Marchig Trust"/>
    <s v="CONGO"/>
    <m/>
    <m/>
    <m/>
  </r>
  <r>
    <d v="2025-11-06T00:00:00"/>
    <s v="Taxi : Domicile - Port ATC de Brzazzaville/ Prospection"/>
    <x v="0"/>
    <x v="4"/>
    <n v="2500"/>
    <n v="4.6860092633031112"/>
    <n v="533.50300000000004"/>
    <x v="8"/>
    <s v="IT87-N-D1"/>
    <s v="PALF"/>
    <s v="Dahan"/>
    <s v="CONGO"/>
    <m/>
    <m/>
    <m/>
  </r>
  <r>
    <d v="2025-11-06T00:00:00"/>
    <s v="Taxi : Port ATC de Brazzaville - Poto poto/ Prospection"/>
    <x v="0"/>
    <x v="4"/>
    <n v="1000"/>
    <n v="1.8744037053212446"/>
    <n v="533.50300000000004"/>
    <x v="8"/>
    <s v="IT87-N-D1"/>
    <s v="PALF"/>
    <s v="Dahan"/>
    <s v="CONGO"/>
    <m/>
    <m/>
    <m/>
  </r>
  <r>
    <d v="2025-11-06T00:00:00"/>
    <s v="Taxi : Poto-Poto - Mampassi/ Prospection"/>
    <x v="0"/>
    <x v="4"/>
    <n v="1000"/>
    <n v="1.8744037053212446"/>
    <n v="533.50300000000004"/>
    <x v="8"/>
    <s v="IT87-N-D1"/>
    <s v="PALF"/>
    <s v="Dahan"/>
    <s v="CONGO"/>
    <m/>
    <m/>
    <m/>
  </r>
  <r>
    <d v="2025-11-06T00:00:00"/>
    <s v="Taxi : Mampassi - Domicile/ Retour de prospection"/>
    <x v="0"/>
    <x v="4"/>
    <n v="2000"/>
    <n v="3.7488074106424891"/>
    <n v="533.50300000000004"/>
    <x v="8"/>
    <s v="IT87-N-D1"/>
    <s v="PALF"/>
    <s v="Dahan"/>
    <s v="CONGO"/>
    <m/>
    <m/>
    <m/>
  </r>
  <r>
    <d v="2025-11-06T00:00:00"/>
    <s v="Taxi: Domicile - kisoundi/prospection"/>
    <x v="0"/>
    <x v="4"/>
    <n v="1000"/>
    <n v="1.8744037053212446"/>
    <n v="533.50300000000004"/>
    <x v="9"/>
    <s v="G12-N-D1"/>
    <s v="PALF"/>
    <s v="Dahan"/>
    <s v="CONGO"/>
    <m/>
    <m/>
    <m/>
  </r>
  <r>
    <d v="2025-11-06T00:00:00"/>
    <s v="Taxi: Kisoundi - bureau"/>
    <x v="0"/>
    <x v="4"/>
    <n v="1000"/>
    <n v="1.8744037053212446"/>
    <n v="533.50300000000004"/>
    <x v="9"/>
    <s v="G12-N-D1"/>
    <s v="PALF"/>
    <s v="Dahan"/>
    <s v="CONGO"/>
    <m/>
    <m/>
    <m/>
  </r>
  <r>
    <d v="2025-11-06T00:00:00"/>
    <s v="Taxi: Bureau - pk /prospection"/>
    <x v="0"/>
    <x v="4"/>
    <n v="1000"/>
    <n v="1.8744037053212446"/>
    <n v="533.50300000000004"/>
    <x v="9"/>
    <s v="G12-N-D1"/>
    <s v="PALF"/>
    <s v="Dahan"/>
    <s v="CONGO"/>
    <m/>
    <m/>
    <m/>
  </r>
  <r>
    <d v="2025-11-06T00:00:00"/>
    <s v="Taxi: Pk - mfilou/ prospection"/>
    <x v="0"/>
    <x v="4"/>
    <n v="1000"/>
    <n v="1.8744037053212446"/>
    <n v="533.50300000000004"/>
    <x v="9"/>
    <s v="G12-N-D1"/>
    <s v="PALF"/>
    <s v="Dahan"/>
    <s v="CONGO"/>
    <m/>
    <m/>
    <m/>
  </r>
  <r>
    <d v="2025-11-06T00:00:00"/>
    <s v="Taxi: Mfilou - domicile"/>
    <x v="0"/>
    <x v="4"/>
    <n v="1000"/>
    <n v="1.8744037053212446"/>
    <n v="533.50300000000004"/>
    <x v="9"/>
    <s v="G12-N-D1"/>
    <s v="PALF"/>
    <s v="Dahan"/>
    <s v="CONGO"/>
    <m/>
    <m/>
    <m/>
  </r>
  <r>
    <d v="2025-11-06T00:00:00"/>
    <s v="Tricycle:Hôtel- Marché pour l'achat de la ration du prevenu "/>
    <x v="0"/>
    <x v="1"/>
    <n v="500"/>
    <n v="0.93720185266062228"/>
    <n v="533.50300000000004"/>
    <x v="1"/>
    <s v="RO-N-D1"/>
    <s v="PALF"/>
    <s v="Dahan"/>
    <s v="CONGO"/>
    <m/>
    <m/>
    <m/>
  </r>
  <r>
    <d v="2025-11-06T00:00:00"/>
    <s v="Visite geôle du 06/11/2025 à la police de Madingou de NTONDELE MOUKOKO Claver/matin"/>
    <x v="6"/>
    <x v="1"/>
    <n v="1500"/>
    <n v="2.8116055579818666"/>
    <n v="533.50300000000004"/>
    <x v="1"/>
    <s v="RO-N-D3"/>
    <s v="PALF"/>
    <s v="Dahan"/>
    <s v="CONGO"/>
    <m/>
    <m/>
    <m/>
  </r>
  <r>
    <d v="2025-11-06T00:00:00"/>
    <s v="Tricycle:Marché-La police "/>
    <x v="0"/>
    <x v="1"/>
    <n v="500"/>
    <n v="0.93720185266062228"/>
    <n v="533.50300000000004"/>
    <x v="1"/>
    <s v="RO-N-D1"/>
    <s v="PALF"/>
    <s v="Dahan"/>
    <s v="CONGO"/>
    <m/>
    <m/>
    <m/>
  </r>
  <r>
    <d v="2025-11-06T00:00:00"/>
    <s v="Tricycle:La police-Hôtel"/>
    <x v="0"/>
    <x v="1"/>
    <n v="500"/>
    <n v="0.93720185266062228"/>
    <n v="533.50300000000004"/>
    <x v="1"/>
    <s v="RO-N-D1"/>
    <s v="PALF"/>
    <s v="Dahan"/>
    <s v="CONGO"/>
    <m/>
    <m/>
    <m/>
  </r>
  <r>
    <d v="2025-11-06T00:00:00"/>
    <s v="Tricycle:Hôtel-Parquet "/>
    <x v="0"/>
    <x v="1"/>
    <n v="500"/>
    <n v="0.93720185266062228"/>
    <n v="533.50300000000004"/>
    <x v="1"/>
    <s v="RO-N-D1"/>
    <s v="PALF"/>
    <s v="Dahan"/>
    <s v="CONGO"/>
    <m/>
    <m/>
    <m/>
  </r>
  <r>
    <d v="2025-11-06T00:00:00"/>
    <s v="Tricycle:Parquet-Agence Océan du nord"/>
    <x v="0"/>
    <x v="1"/>
    <n v="500"/>
    <n v="0.93720185266062228"/>
    <n v="533.50300000000004"/>
    <x v="1"/>
    <s v="RO-N-D1"/>
    <s v="PALF"/>
    <s v="Dahan"/>
    <s v="CONGO"/>
    <m/>
    <m/>
    <m/>
  </r>
  <r>
    <d v="2025-11-06T00:00:00"/>
    <s v="Achat biellt Madingou-Brazzaville /Roderlin"/>
    <x v="0"/>
    <x v="1"/>
    <n v="7000"/>
    <n v="13.120825937248712"/>
    <n v="533.50300000000004"/>
    <x v="1"/>
    <s v="RO-N-R2"/>
    <s v="PALF"/>
    <s v="Dahan"/>
    <s v="CONGO"/>
    <m/>
    <m/>
    <m/>
  </r>
  <r>
    <d v="2025-11-06T00:00:00"/>
    <s v="Tricycle:Agence Océan du nord-Hôtel"/>
    <x v="0"/>
    <x v="1"/>
    <n v="500"/>
    <n v="0.93720185266062228"/>
    <n v="533.50300000000004"/>
    <x v="1"/>
    <s v="RO-N-D1"/>
    <s v="PALF"/>
    <s v="Dahan"/>
    <s v="CONGO"/>
    <m/>
    <m/>
    <m/>
  </r>
  <r>
    <d v="2025-11-06T00:00:00"/>
    <s v="Tricycle:Hôtel- Marché pour l'achat de la ration du prevenu "/>
    <x v="0"/>
    <x v="1"/>
    <n v="500"/>
    <n v="0.93720185266062228"/>
    <n v="533.50300000000004"/>
    <x v="1"/>
    <s v="RO-N-D1"/>
    <s v="PALF"/>
    <s v="Dahan"/>
    <s v="CONGO"/>
    <m/>
    <m/>
    <m/>
  </r>
  <r>
    <d v="2025-11-06T00:00:00"/>
    <s v="Visite geôle du 06/11/2025 à la police de Madingou de NTONDELE MOUKOKO Claver/soir"/>
    <x v="6"/>
    <x v="1"/>
    <n v="1500"/>
    <n v="2.8116055579818666"/>
    <n v="533.50300000000004"/>
    <x v="1"/>
    <s v="RO-N-D3"/>
    <s v="PALF"/>
    <s v="Dahan"/>
    <s v="CONGO"/>
    <m/>
    <m/>
    <m/>
  </r>
  <r>
    <d v="2025-11-06T00:00:00"/>
    <s v="Tricycle:Marché-La police "/>
    <x v="0"/>
    <x v="1"/>
    <n v="500"/>
    <n v="0.93720185266062228"/>
    <n v="533.50300000000004"/>
    <x v="1"/>
    <s v="RO-N-D1"/>
    <s v="PALF"/>
    <s v="Dahan"/>
    <s v="CONGO"/>
    <m/>
    <m/>
    <m/>
  </r>
  <r>
    <d v="2025-11-06T00:00:00"/>
    <s v="Tricycle:La police-Hôtel"/>
    <x v="0"/>
    <x v="1"/>
    <n v="500"/>
    <n v="0.93720185266062228"/>
    <n v="533.50300000000004"/>
    <x v="1"/>
    <s v="RO-N-D1"/>
    <s v="PALF"/>
    <s v="Dahan"/>
    <s v="CONGO"/>
    <m/>
    <m/>
    <m/>
  </r>
  <r>
    <d v="2025-11-06T00:00:00"/>
    <s v="Taxi: Bureau-Cabinet de maitre BANZOUZI pour retirer le rapport de mission"/>
    <x v="0"/>
    <x v="1"/>
    <n v="1000"/>
    <n v="1.8744037053212446"/>
    <n v="533.50300000000004"/>
    <x v="12"/>
    <s v="RM-N-D1"/>
    <s v="PALF"/>
    <s v="Dahan"/>
    <s v="CONGO"/>
    <m/>
    <m/>
    <m/>
  </r>
  <r>
    <d v="2025-11-06T00:00:00"/>
    <s v="Taxi: Cabinet de maitre BANZOUZI-Domicile"/>
    <x v="0"/>
    <x v="1"/>
    <n v="2500"/>
    <n v="4.6860092633031112"/>
    <n v="533.50300000000004"/>
    <x v="12"/>
    <s v="RM-N-D1"/>
    <s v="PALF"/>
    <s v="Dahan"/>
    <s v="CONGO"/>
    <m/>
    <m/>
    <m/>
  </r>
  <r>
    <d v="2025-11-06T00:00:00"/>
    <s v="Billet: Madingou-Brazzaville/Crepin"/>
    <x v="0"/>
    <x v="1"/>
    <n v="7000"/>
    <n v="13.120825937248712"/>
    <n v="533.50300000000004"/>
    <x v="4"/>
    <s v="CR-N-R3"/>
    <s v="PALF"/>
    <s v="Dahan"/>
    <s v="CONGO"/>
    <m/>
    <m/>
    <m/>
  </r>
  <r>
    <d v="2025-11-07T00:00:00"/>
    <s v="Règlement Loyer du mois  d'octobre 2025 coordinateur PALF"/>
    <x v="12"/>
    <x v="2"/>
    <n v="174625"/>
    <n v="327.31774704172233"/>
    <n v="533.50300000000004"/>
    <x v="3"/>
    <s v="DH-N-R2"/>
    <s v="PALF"/>
    <s v="Dahan"/>
    <s v="CONGO"/>
    <m/>
    <m/>
    <m/>
  </r>
  <r>
    <d v="2025-11-07T00:00:00"/>
    <s v="Frais d'hôtel Crépin/Congo, 10 Nuitées du 28/10/ au 07/11/2025 à Madingou"/>
    <x v="3"/>
    <x v="1"/>
    <n v="150000"/>
    <n v="281.16055579818669"/>
    <n v="533.50300000000004"/>
    <x v="4"/>
    <s v="CR-N-R2"/>
    <s v="PALF"/>
    <s v="Dahan"/>
    <s v="CONGO"/>
    <m/>
    <m/>
    <m/>
  </r>
  <r>
    <d v="2025-11-07T00:00:00"/>
    <s v="Maison-Bureau"/>
    <x v="0"/>
    <x v="2"/>
    <n v="1000"/>
    <n v="1.8744037053212446"/>
    <n v="533.50300000000004"/>
    <x v="3"/>
    <s v="DH-N-D1"/>
    <s v="PALF"/>
    <s v="Dahan"/>
    <s v="CONGO"/>
    <m/>
    <m/>
    <m/>
  </r>
  <r>
    <d v="2025-11-07T00:00:00"/>
    <s v="Taxi moto: Hôtel-Agence Océan du Nord Madingou"/>
    <x v="0"/>
    <x v="1"/>
    <n v="500"/>
    <n v="0.93720185266062228"/>
    <n v="533.50300000000004"/>
    <x v="4"/>
    <s v="CR-N-D2"/>
    <s v="PALF"/>
    <s v="Dahan"/>
    <s v="CONGO"/>
    <m/>
    <m/>
    <m/>
  </r>
  <r>
    <d v="2025-11-07T00:00:00"/>
    <s v="Taxi: Agence Océan du Nord Diata-Domicile Mfilou Camp Militaire"/>
    <x v="0"/>
    <x v="1"/>
    <n v="2000"/>
    <n v="3.7488074106424891"/>
    <n v="533.50300000000004"/>
    <x v="4"/>
    <s v="CR-N-D2"/>
    <s v="PALF"/>
    <s v="Dahan"/>
    <s v="CONGO"/>
    <m/>
    <m/>
    <m/>
  </r>
  <r>
    <d v="2025-11-07T00:00:00"/>
    <s v="Taxi:Bureau-Domicile / Travail sur les pièces comptables octobre 2025/ heure 19h 30"/>
    <x v="0"/>
    <x v="3"/>
    <n v="1000"/>
    <n v="1.8744037053212446"/>
    <n v="533.50300000000004"/>
    <x v="5"/>
    <s v="P-N-D1"/>
    <s v="PALF"/>
    <s v="Dahan"/>
    <s v="CONGO"/>
    <m/>
    <m/>
    <m/>
  </r>
  <r>
    <d v="2025-11-07T00:00:00"/>
    <s v="Taxi domicile-plateau"/>
    <x v="0"/>
    <x v="4"/>
    <n v="1500"/>
    <n v="2.8116055579818666"/>
    <n v="533.50300000000004"/>
    <x v="6"/>
    <s v="P29-N-D1"/>
    <s v="PALF"/>
    <s v="Dahan"/>
    <s v="CONGO"/>
    <m/>
    <m/>
    <m/>
  </r>
  <r>
    <d v="2025-11-07T00:00:00"/>
    <s v="Taxi plateau-kintele,prospection"/>
    <x v="0"/>
    <x v="4"/>
    <n v="3000"/>
    <n v="5.6232111159637332"/>
    <n v="533.50300000000004"/>
    <x v="6"/>
    <s v="P29-N-D1"/>
    <s v="PALF"/>
    <s v="Dahan"/>
    <s v="CONGO"/>
    <m/>
    <m/>
    <m/>
  </r>
  <r>
    <d v="2025-11-07T00:00:00"/>
    <s v="Taxi kintele-ignie,prospection"/>
    <x v="0"/>
    <x v="4"/>
    <n v="2000"/>
    <n v="3.7488074106424891"/>
    <n v="533.50300000000004"/>
    <x v="6"/>
    <s v="P29-N-D1"/>
    <s v="PALF"/>
    <s v="Dahan"/>
    <s v="CONGO"/>
    <m/>
    <m/>
    <m/>
  </r>
  <r>
    <d v="2025-11-07T00:00:00"/>
    <s v="Taxi ignie-kintele"/>
    <x v="0"/>
    <x v="4"/>
    <n v="2000"/>
    <n v="3.7488074106424891"/>
    <n v="533.50300000000004"/>
    <x v="6"/>
    <s v="P29-N-D1"/>
    <s v="PALF"/>
    <s v="Dahan"/>
    <s v="CONGO"/>
    <m/>
    <m/>
    <m/>
  </r>
  <r>
    <d v="2025-11-07T00:00:00"/>
    <s v="Taxi kintele-moungali"/>
    <x v="0"/>
    <x v="4"/>
    <n v="3000"/>
    <n v="5.6232111159637332"/>
    <n v="533.50300000000004"/>
    <x v="6"/>
    <s v="P29-N-D1"/>
    <s v="PALF"/>
    <s v="Dahan"/>
    <s v="CONGO"/>
    <m/>
    <m/>
    <m/>
  </r>
  <r>
    <d v="2025-11-07T00:00:00"/>
    <s v="Taxi moungali-domicile"/>
    <x v="0"/>
    <x v="4"/>
    <n v="1500"/>
    <n v="2.8116055579818666"/>
    <n v="533.50300000000004"/>
    <x v="6"/>
    <s v="P29-N-D1"/>
    <s v="PALF"/>
    <s v="Dahan"/>
    <s v="CONGO"/>
    <m/>
    <m/>
    <m/>
  </r>
  <r>
    <d v="2025-11-07T00:00:00"/>
    <s v=" Achat boisson avec une cible"/>
    <x v="11"/>
    <x v="4"/>
    <n v="900"/>
    <n v="1.6561226855685469"/>
    <n v="543.43799999999999"/>
    <x v="6"/>
    <s v="P29-N-D3"/>
    <s v="PALF"/>
    <s v="Marchig Trust"/>
    <s v="CONGO"/>
    <m/>
    <m/>
    <m/>
  </r>
  <r>
    <d v="2025-11-07T00:00:00"/>
    <s v="Taxi : bureau - djiri (  prospection à djiri)"/>
    <x v="0"/>
    <x v="4"/>
    <n v="2500"/>
    <n v="4.6860092633031112"/>
    <n v="533.50300000000004"/>
    <x v="7"/>
    <s v="T73-N-D1"/>
    <s v="PALF"/>
    <s v="Dahan"/>
    <s v="CONGO"/>
    <m/>
    <m/>
    <m/>
  </r>
  <r>
    <d v="2025-11-07T00:00:00"/>
    <s v="Taxi : djiri - domicile ( fin de journée)"/>
    <x v="0"/>
    <x v="4"/>
    <n v="2500"/>
    <n v="4.6860092633031112"/>
    <n v="533.50300000000004"/>
    <x v="7"/>
    <s v="T73-N-D1"/>
    <s v="PALF"/>
    <s v="Dahan"/>
    <s v="CONGO"/>
    <m/>
    <m/>
    <m/>
  </r>
  <r>
    <d v="2025-11-07T00:00:00"/>
    <s v="Taxi : Bureau - Nganga Lingolo/ Prospection"/>
    <x v="0"/>
    <x v="4"/>
    <n v="3000"/>
    <n v="5.6232111159637332"/>
    <n v="533.50300000000004"/>
    <x v="8"/>
    <s v="IT87-N-D1"/>
    <s v="PALF"/>
    <s v="Dahan"/>
    <s v="CONGO"/>
    <m/>
    <m/>
    <m/>
  </r>
  <r>
    <d v="2025-11-07T00:00:00"/>
    <s v="Taxi : Nganga Lingolo - Madibou/ Prospection"/>
    <x v="0"/>
    <x v="4"/>
    <n v="1000"/>
    <n v="1.8744037053212446"/>
    <n v="533.50300000000004"/>
    <x v="8"/>
    <s v="IT87-N-D1"/>
    <s v="PALF"/>
    <s v="Dahan"/>
    <s v="CONGO"/>
    <m/>
    <m/>
    <m/>
  </r>
  <r>
    <d v="2025-11-07T00:00:00"/>
    <s v="Taxi : Madibou - Djoué/ Prospection"/>
    <x v="0"/>
    <x v="4"/>
    <n v="1500"/>
    <n v="2.8116055579818666"/>
    <n v="533.50300000000004"/>
    <x v="8"/>
    <s v="IT87-N-D1"/>
    <s v="PALF"/>
    <s v="Dahan"/>
    <s v="CONGO"/>
    <m/>
    <m/>
    <m/>
  </r>
  <r>
    <d v="2025-11-07T00:00:00"/>
    <s v="Taxi : Djoué - Domicile/ Retour de prospection"/>
    <x v="0"/>
    <x v="4"/>
    <n v="2500"/>
    <n v="4.6860092633031112"/>
    <n v="533.50300000000004"/>
    <x v="8"/>
    <s v="IT87-N-D1"/>
    <s v="PALF"/>
    <s v="Dahan"/>
    <s v="CONGO"/>
    <m/>
    <m/>
    <m/>
  </r>
  <r>
    <d v="2025-11-07T00:00:00"/>
    <s v="Taxi: Domicile- lycée/prospection"/>
    <x v="0"/>
    <x v="4"/>
    <n v="2000"/>
    <n v="3.7488074106424891"/>
    <n v="533.50300000000004"/>
    <x v="9"/>
    <s v="G12-N-D1"/>
    <s v="PALF"/>
    <s v="Dahan"/>
    <s v="CONGO"/>
    <m/>
    <m/>
    <m/>
  </r>
  <r>
    <d v="2025-11-07T00:00:00"/>
    <s v="Taxi: Lycée - mikalou/prospection"/>
    <x v="0"/>
    <x v="4"/>
    <n v="1000"/>
    <n v="1.8744037053212446"/>
    <n v="533.50300000000004"/>
    <x v="9"/>
    <s v="G12-N-D1"/>
    <s v="PALF"/>
    <s v="Dahan"/>
    <s v="CONGO"/>
    <m/>
    <m/>
    <m/>
  </r>
  <r>
    <d v="2025-11-07T00:00:00"/>
    <s v="Taxi: Mikalou - talangai / prospection"/>
    <x v="0"/>
    <x v="4"/>
    <n v="1000"/>
    <n v="1.8744037053212446"/>
    <n v="533.50300000000004"/>
    <x v="9"/>
    <s v="G12-N-D1"/>
    <s v="PALF"/>
    <s v="Dahan"/>
    <s v="CONGO"/>
    <m/>
    <m/>
    <m/>
  </r>
  <r>
    <d v="2025-11-07T00:00:00"/>
    <s v="Taxi: Talangai - domicile  "/>
    <x v="0"/>
    <x v="4"/>
    <n v="1500"/>
    <n v="2.8116055579818666"/>
    <n v="533.50300000000004"/>
    <x v="9"/>
    <s v="G12-N-D1"/>
    <s v="PALF"/>
    <s v="Dahan"/>
    <s v="CONGO"/>
    <m/>
    <m/>
    <m/>
  </r>
  <r>
    <d v="2025-11-07T00:00:00"/>
    <s v="RODERLIN-CONGO frais d'hôtel du 28/10 au 07/11/ 2025à  Madingou (10 nuitées)"/>
    <x v="3"/>
    <x v="1"/>
    <n v="150000"/>
    <n v="281.16055579818669"/>
    <n v="533.50300000000004"/>
    <x v="1"/>
    <s v="RO-N-R3"/>
    <s v="PALF"/>
    <s v="Dahan"/>
    <s v="CONGO"/>
    <m/>
    <m/>
    <m/>
  </r>
  <r>
    <d v="2025-11-07T00:00:00"/>
    <s v="Taxi:Agence Océan du nord- Domicile"/>
    <x v="0"/>
    <x v="1"/>
    <n v="1000"/>
    <n v="1.8744037053212446"/>
    <n v="533.50300000000004"/>
    <x v="1"/>
    <s v="RO-N-D1"/>
    <s v="PALF"/>
    <s v="Dahan"/>
    <s v="CONGO"/>
    <m/>
    <m/>
    <m/>
  </r>
  <r>
    <d v="2025-11-07T00:00:00"/>
    <s v="Taxi: Bureau-DGEF(pour le retrait du contrat de l'avocat) "/>
    <x v="0"/>
    <x v="1"/>
    <n v="1000"/>
    <n v="1.8744037053212446"/>
    <n v="533.50300000000004"/>
    <x v="12"/>
    <s v="RM-N-D1"/>
    <s v="PALF"/>
    <s v="Dahan"/>
    <s v="CONGO"/>
    <m/>
    <m/>
    <m/>
  </r>
  <r>
    <d v="2025-11-07T00:00:00"/>
    <s v="Taxi: DGEF-Bureau"/>
    <x v="0"/>
    <x v="1"/>
    <n v="1000"/>
    <n v="1.8744037053212446"/>
    <n v="533.50300000000004"/>
    <x v="12"/>
    <s v="RM-N-D1"/>
    <s v="PALF"/>
    <s v="Dahan"/>
    <s v="CONGO"/>
    <m/>
    <m/>
    <m/>
  </r>
  <r>
    <d v="2025-11-07T00:00:00"/>
    <s v="Taxi:Bureau-Cabinet de maitre BANZOUZI pour la signaure du contrat"/>
    <x v="0"/>
    <x v="1"/>
    <n v="1000"/>
    <n v="1.8744037053212446"/>
    <n v="533.50300000000004"/>
    <x v="12"/>
    <s v="RM-N-D1"/>
    <s v="PALF"/>
    <s v="Dahan"/>
    <s v="CONGO"/>
    <m/>
    <m/>
    <m/>
  </r>
  <r>
    <d v="2025-11-07T00:00:00"/>
    <s v="Taxi: Cabinet de maitre BANZOUZI-Domicile"/>
    <x v="0"/>
    <x v="1"/>
    <n v="2500"/>
    <n v="4.6860092633031112"/>
    <n v="533.50300000000004"/>
    <x v="12"/>
    <s v="RM-N-D1"/>
    <s v="PALF"/>
    <s v="Dahan"/>
    <s v="CONGO"/>
    <m/>
    <m/>
    <m/>
  </r>
  <r>
    <d v="2025-11-08T00:00:00"/>
    <s v="Taxi:Domicile-Bureau /Scannage des pièces comptables octobre 2025/Week-end"/>
    <x v="0"/>
    <x v="3"/>
    <n v="1000"/>
    <n v="1.8744037053212446"/>
    <n v="533.50300000000004"/>
    <x v="5"/>
    <s v="P-N-D1"/>
    <s v="PALF"/>
    <s v="Dahan"/>
    <s v="CONGO"/>
    <m/>
    <m/>
    <m/>
  </r>
  <r>
    <d v="2025-11-08T00:00:00"/>
    <s v="Taxi:Bureau-Domicile"/>
    <x v="0"/>
    <x v="3"/>
    <n v="1000"/>
    <n v="1.8744037053212446"/>
    <n v="533.50300000000004"/>
    <x v="5"/>
    <s v="P-N-D1"/>
    <s v="PALF"/>
    <s v="Dahan"/>
    <s v="CONGO"/>
    <m/>
    <m/>
    <m/>
  </r>
  <r>
    <d v="2025-11-08T00:00:00"/>
    <s v="Taxi: Domicile-Bureau"/>
    <x v="0"/>
    <x v="1"/>
    <n v="1500"/>
    <n v="2.8116055579818666"/>
    <n v="533.50300000000004"/>
    <x v="10"/>
    <s v="AB-N-D1"/>
    <s v="PALF"/>
    <s v="Dahan"/>
    <s v="CONGO"/>
    <m/>
    <m/>
    <m/>
  </r>
  <r>
    <d v="2025-11-08T00:00:00"/>
    <s v="Taxi: Bureau-Domicile"/>
    <x v="0"/>
    <x v="1"/>
    <n v="1500"/>
    <n v="2.8116055579818666"/>
    <n v="533.50300000000004"/>
    <x v="10"/>
    <s v="AB-N-D1"/>
    <s v="PALF"/>
    <s v="Dahan"/>
    <s v="CONGO"/>
    <m/>
    <m/>
    <m/>
  </r>
  <r>
    <d v="2025-11-10T00:00:00"/>
    <s v="Maison-Cabinet d'huissier"/>
    <x v="0"/>
    <x v="2"/>
    <n v="1000"/>
    <n v="1.8744037053212446"/>
    <n v="533.50300000000004"/>
    <x v="3"/>
    <s v="DH-N-D1"/>
    <s v="PALF"/>
    <s v="Dahan"/>
    <s v="CONGO"/>
    <m/>
    <m/>
    <m/>
  </r>
  <r>
    <d v="2025-11-10T00:00:00"/>
    <s v="Cabinet - Bureau"/>
    <x v="0"/>
    <x v="2"/>
    <n v="1000"/>
    <n v="1.8744037053212446"/>
    <n v="533.50300000000004"/>
    <x v="3"/>
    <s v="DH-N-D1"/>
    <s v="PALF"/>
    <s v="Dahan"/>
    <s v="CONGO"/>
    <m/>
    <m/>
    <m/>
  </r>
  <r>
    <d v="2025-11-10T00:00:00"/>
    <s v="Bureau-Maison"/>
    <x v="0"/>
    <x v="2"/>
    <n v="1000"/>
    <n v="1.8744037053212446"/>
    <n v="533.50300000000004"/>
    <x v="3"/>
    <s v="DH-N-D1"/>
    <s v="PALF"/>
    <s v="Dahan"/>
    <s v="CONGO"/>
    <m/>
    <m/>
    <m/>
  </r>
  <r>
    <d v="2025-11-10T00:00:00"/>
    <s v="Credit telephonique MTN/PALF/ du 10 au 16 novembre 2025/ DOVI"/>
    <x v="2"/>
    <x v="2"/>
    <n v="12500"/>
    <n v="23.430046316515558"/>
    <n v="533.50300000000004"/>
    <x v="3"/>
    <s v="DH-N-R3"/>
    <s v="PALF"/>
    <s v="Dahan"/>
    <s v="CONGO"/>
    <m/>
    <m/>
    <m/>
  </r>
  <r>
    <d v="2025-11-10T00:00:00"/>
    <s v="Credit telephonique MTN PALF/du 10   au 16 novembre 2025/ crepin"/>
    <x v="2"/>
    <x v="1"/>
    <n v="10000"/>
    <n v="18.744037053212445"/>
    <n v="533.50300000000004"/>
    <x v="4"/>
    <s v="CR-N-R4"/>
    <s v="PALF"/>
    <s v="Dahan"/>
    <s v="CONGO"/>
    <m/>
    <m/>
    <m/>
  </r>
  <r>
    <d v="2025-11-10T00:00:00"/>
    <s v="Bonus opération du 28/10/2025 à Nkayi/Crepin"/>
    <x v="9"/>
    <x v="5"/>
    <n v="30000"/>
    <n v="56.232111159637334"/>
    <n v="533.50300000000004"/>
    <x v="4"/>
    <s v="CA-N-D6"/>
    <s v="PALF"/>
    <s v="Dahan"/>
    <s v="CONGO"/>
    <m/>
    <m/>
    <m/>
  </r>
  <r>
    <d v="2025-11-10T00:00:00"/>
    <s v="Taxi: Banque BCI-Direction MTN/ achat credit telephonique "/>
    <x v="0"/>
    <x v="3"/>
    <n v="1000"/>
    <n v="1.8744037053212446"/>
    <n v="533.50300000000004"/>
    <x v="5"/>
    <s v="P-N-D1"/>
    <s v="PALF"/>
    <s v="Dahan"/>
    <s v="CONGO"/>
    <m/>
    <m/>
    <m/>
  </r>
  <r>
    <d v="2025-11-10T00:00:00"/>
    <s v="Taxi:   Direction MTN-Bureau"/>
    <x v="0"/>
    <x v="3"/>
    <n v="1000"/>
    <n v="1.8744037053212446"/>
    <n v="533.50300000000004"/>
    <x v="5"/>
    <s v="P-N-D1"/>
    <s v="PALF"/>
    <s v="Dahan"/>
    <s v="CONGO"/>
    <m/>
    <m/>
    <m/>
  </r>
  <r>
    <d v="2025-11-10T00:00:00"/>
    <s v="Taxi:Bureau-Domicile / Travail sur les pièces comptables octobre 2025/ heure 20h 50"/>
    <x v="0"/>
    <x v="3"/>
    <n v="1000"/>
    <n v="1.8744037053212446"/>
    <n v="533.50300000000004"/>
    <x v="5"/>
    <s v="P-N-D1"/>
    <s v="PALF"/>
    <s v="Dahan"/>
    <s v="CONGO"/>
    <m/>
    <m/>
    <m/>
  </r>
  <r>
    <d v="2025-11-10T00:00:00"/>
    <s v="Credit teléphonique MTN PALF/ du 10 au 16 novembre 2025/ Parfaite"/>
    <x v="2"/>
    <x v="2"/>
    <n v="7500"/>
    <n v="14.058027789909334"/>
    <n v="533.50300000000004"/>
    <x v="5"/>
    <s v="P-N-R2"/>
    <s v="PALF"/>
    <s v="Dahan"/>
    <s v="CONGO"/>
    <m/>
    <m/>
    <m/>
  </r>
  <r>
    <d v="2025-11-10T00:00:00"/>
    <s v="Credit telephonique MTN PALF/ du 10 au 16 novembre 2025/ Investigation/P29"/>
    <x v="2"/>
    <x v="4"/>
    <n v="10000"/>
    <n v="18.744037053212445"/>
    <n v="533.50300000000004"/>
    <x v="6"/>
    <s v="P29-N-R2"/>
    <s v="PALF"/>
    <s v="Dahan"/>
    <s v="CONGO"/>
    <m/>
    <m/>
    <m/>
  </r>
  <r>
    <d v="2025-11-10T00:00:00"/>
    <s v="Credit telephonique MTN PALF/ du 10 au 16 novembre 2025/ Investigation/T73"/>
    <x v="2"/>
    <x v="4"/>
    <n v="10000"/>
    <n v="18.744037053212445"/>
    <n v="533.50300000000004"/>
    <x v="7"/>
    <s v="T73-N-R2"/>
    <s v="PALF"/>
    <s v="Dahan"/>
    <s v="CONGO"/>
    <m/>
    <m/>
    <m/>
  </r>
  <r>
    <d v="2025-11-10T00:00:00"/>
    <s v="Credit telephonique MTN PALF/du 10 au 16 novembre 2025/IT87"/>
    <x v="2"/>
    <x v="4"/>
    <n v="10000"/>
    <n v="18.744037053212445"/>
    <n v="533.50300000000004"/>
    <x v="8"/>
    <s v="IT87-N-R2"/>
    <s v="PALF"/>
    <s v="Dahan"/>
    <s v="CONGO"/>
    <m/>
    <m/>
    <m/>
  </r>
  <r>
    <d v="2025-11-10T00:00:00"/>
    <s v="Credit telephonique MTN PALF/du  10 au 16 novembre 2025/G12"/>
    <x v="2"/>
    <x v="4"/>
    <n v="10000"/>
    <n v="18.744037053212445"/>
    <n v="533.50300000000004"/>
    <x v="9"/>
    <s v="G12-N-R2"/>
    <s v="PALF"/>
    <s v="Dahan"/>
    <s v="CONGO"/>
    <m/>
    <m/>
    <m/>
  </r>
  <r>
    <d v="2025-11-10T00:00:00"/>
    <s v="Achat billet Brazzaville-Owando/Abraham"/>
    <x v="0"/>
    <x v="1"/>
    <n v="8000"/>
    <n v="14.995229642569956"/>
    <n v="533.50300000000004"/>
    <x v="10"/>
    <s v="AB-N-R2"/>
    <s v="PALF"/>
    <s v="Dahan"/>
    <s v="CONGO"/>
    <m/>
    <m/>
    <m/>
  </r>
  <r>
    <d v="2025-11-10T00:00:00"/>
    <s v="Taxi: Bureau-Domicile"/>
    <x v="0"/>
    <x v="1"/>
    <n v="1000"/>
    <n v="1.8744037053212446"/>
    <n v="533.50300000000004"/>
    <x v="10"/>
    <s v="AB-N-D1"/>
    <s v="PALF"/>
    <s v="Dahan"/>
    <s v="CONGO"/>
    <m/>
    <m/>
    <m/>
  </r>
  <r>
    <d v="2025-11-10T00:00:00"/>
    <s v="Credit telephonique MTN PALF/ du 10 au 16 novembre 2025/Abraham"/>
    <x v="2"/>
    <x v="1"/>
    <n v="7500"/>
    <n v="14.058027789909334"/>
    <n v="533.50300000000004"/>
    <x v="10"/>
    <s v="AB-N-R3"/>
    <s v="PALF"/>
    <s v="Dahan"/>
    <s v="CONGO"/>
    <m/>
    <m/>
    <m/>
  </r>
  <r>
    <d v="2025-11-10T00:00:00"/>
    <s v="Credit telephonique MTN PALF/du 10 au 16 novembre 2025/Roderlin"/>
    <x v="2"/>
    <x v="1"/>
    <n v="7500"/>
    <n v="14.058027789909334"/>
    <n v="533.50300000000004"/>
    <x v="1"/>
    <s v="RO-N-R4"/>
    <s v="PALF"/>
    <s v="Dahan"/>
    <s v="CONGO"/>
    <m/>
    <m/>
    <m/>
  </r>
  <r>
    <d v="2025-11-10T00:00:00"/>
    <s v="Bonus opération du 28/10/2025 à Nkayi/Roderlin"/>
    <x v="9"/>
    <x v="5"/>
    <n v="25000"/>
    <n v="46.860092633031115"/>
    <n v="533.50300000000004"/>
    <x v="1"/>
    <s v="CA-N-D7"/>
    <s v="PALF"/>
    <s v="Dahan"/>
    <s v="CONGO"/>
    <m/>
    <m/>
    <m/>
  </r>
  <r>
    <d v="2025-11-10T00:00:00"/>
    <s v="Credit telephonique MTN PALF/ du 10 au 18 novembre 2025/Donald-Roméo"/>
    <x v="2"/>
    <x v="1"/>
    <n v="10000"/>
    <n v="18.744037053212445"/>
    <n v="533.50300000000004"/>
    <x v="11"/>
    <s v="DR-N-R2"/>
    <s v="PALF"/>
    <s v="Dahan"/>
    <s v="CONGO"/>
    <m/>
    <m/>
    <m/>
  </r>
  <r>
    <d v="2025-11-10T00:00:00"/>
    <s v="Credit telephonique MTN PALF/du 10  au 16 Novembre 2025/ Evariste"/>
    <x v="2"/>
    <x v="0"/>
    <n v="10000"/>
    <n v="18.744037053212445"/>
    <n v="533.50300000000004"/>
    <x v="0"/>
    <s v="EV-N-R2"/>
    <s v="PALF"/>
    <s v="Dahan"/>
    <s v="CONGO"/>
    <m/>
    <m/>
    <m/>
  </r>
  <r>
    <d v="2025-11-10T00:00:00"/>
    <s v="Frais de transport mission Maitre Helene à Owando du 11 au 13/11/2025"/>
    <x v="0"/>
    <x v="1"/>
    <n v="22000"/>
    <n v="41.236881517067381"/>
    <n v="533.50300000000004"/>
    <x v="12"/>
    <s v="CA-N-R8"/>
    <s v="PALF"/>
    <s v="Dahan"/>
    <s v="CONGO"/>
    <m/>
    <m/>
    <m/>
  </r>
  <r>
    <d v="2025-11-10T00:00:00"/>
    <s v="Ration et frais d'hotel mission maitre Helène à Owando du 11 au 13/11/2025"/>
    <x v="3"/>
    <x v="1"/>
    <n v="50000"/>
    <n v="93.720185266062231"/>
    <n v="533.50300000000004"/>
    <x v="12"/>
    <s v="CA-N-R9"/>
    <s v="PALF"/>
    <s v="Dahan"/>
    <s v="CONGO"/>
    <m/>
    <m/>
    <m/>
  </r>
  <r>
    <d v="2025-11-10T00:00:00"/>
    <s v="Taxi: Bureau-DGEF: pour deposer le contrat à la signaure"/>
    <x v="0"/>
    <x v="1"/>
    <n v="1000"/>
    <n v="1.8744037053212446"/>
    <n v="533.50300000000004"/>
    <x v="12"/>
    <s v="RM-N-D1"/>
    <s v="PALF"/>
    <s v="Dahan"/>
    <s v="CONGO"/>
    <m/>
    <m/>
    <m/>
  </r>
  <r>
    <d v="2025-11-10T00:00:00"/>
    <s v="Taxi: DGEF-Bureau"/>
    <x v="0"/>
    <x v="1"/>
    <n v="1000"/>
    <n v="1.8744037053212446"/>
    <n v="533.50300000000004"/>
    <x v="12"/>
    <s v="RM-N-D1"/>
    <s v="PALF"/>
    <s v="Dahan"/>
    <s v="CONGO"/>
    <m/>
    <m/>
    <m/>
  </r>
  <r>
    <d v="2025-11-10T00:00:00"/>
    <s v="Taxi: Bureau-Agence Trans Bony de la Frontière"/>
    <x v="0"/>
    <x v="1"/>
    <n v="1000"/>
    <n v="1.8744037053212446"/>
    <n v="533.50300000000004"/>
    <x v="12"/>
    <s v="RM-N-D1"/>
    <s v="PALF"/>
    <s v="Dahan"/>
    <s v="CONGO"/>
    <m/>
    <m/>
    <m/>
  </r>
  <r>
    <d v="2025-11-10T00:00:00"/>
    <s v="Taxi: Agence Trans bony de la Frontière-Bureau"/>
    <x v="0"/>
    <x v="1"/>
    <n v="1000"/>
    <n v="1.8744037053212446"/>
    <n v="533.50300000000004"/>
    <x v="12"/>
    <s v="RM-N-D1"/>
    <s v="PALF"/>
    <s v="Dahan"/>
    <s v="CONGO"/>
    <m/>
    <m/>
    <m/>
  </r>
  <r>
    <d v="2025-11-10T00:00:00"/>
    <s v="Taxi: Bureau-Rond point MAZALA(pour aller rencontrer maitre Hélène)"/>
    <x v="0"/>
    <x v="1"/>
    <n v="1000"/>
    <n v="1.8744037053212446"/>
    <n v="533.50300000000004"/>
    <x v="12"/>
    <s v="RM-N-D1"/>
    <s v="PALF"/>
    <s v="Dahan"/>
    <s v="CONGO"/>
    <m/>
    <m/>
    <m/>
  </r>
  <r>
    <d v="2025-11-10T00:00:00"/>
    <s v="Taxi: Rond point MAZALA- Bureau"/>
    <x v="0"/>
    <x v="1"/>
    <n v="1000"/>
    <n v="1.8744037053212446"/>
    <n v="533.50300000000004"/>
    <x v="12"/>
    <s v="RM-N-D1"/>
    <s v="PALF"/>
    <s v="Dahan"/>
    <s v="CONGO"/>
    <m/>
    <m/>
    <m/>
  </r>
  <r>
    <d v="2025-11-10T00:00:00"/>
    <s v="Credit telephonique MTN PALF/du 10 au 16 novembre 2025/Romain"/>
    <x v="2"/>
    <x v="1"/>
    <n v="7500"/>
    <n v="14.058027789909334"/>
    <n v="533.50300000000004"/>
    <x v="12"/>
    <s v="RM-N-R5"/>
    <s v="PALF"/>
    <s v="Dahan"/>
    <s v="CONGO"/>
    <m/>
    <m/>
    <m/>
  </r>
  <r>
    <d v="2025-11-11T00:00:00"/>
    <s v="Maison-Bureau"/>
    <x v="0"/>
    <x v="2"/>
    <n v="1000"/>
    <n v="1.8744037053212446"/>
    <n v="533.50300000000004"/>
    <x v="3"/>
    <s v="DH-N-D1"/>
    <s v="PALF"/>
    <s v="Dahan"/>
    <s v="CONGO"/>
    <m/>
    <m/>
    <m/>
  </r>
  <r>
    <d v="2025-11-11T00:00:00"/>
    <s v="Bureau - Maison"/>
    <x v="0"/>
    <x v="2"/>
    <n v="1000"/>
    <n v="1.8744037053212446"/>
    <n v="533.50300000000004"/>
    <x v="3"/>
    <s v="DH-N-D1"/>
    <s v="PALF"/>
    <s v="Dahan"/>
    <s v="CONGO"/>
    <m/>
    <m/>
    <m/>
  </r>
  <r>
    <d v="2025-11-11T00:00:00"/>
    <s v="Taxi domicile-makana,prospection"/>
    <x v="0"/>
    <x v="4"/>
    <n v="3500"/>
    <n v="6.5604129686243562"/>
    <n v="533.50300000000004"/>
    <x v="6"/>
    <s v="P29-N-D1"/>
    <s v="PALF"/>
    <s v="Dahan"/>
    <s v="CONGO"/>
    <m/>
    <m/>
    <m/>
  </r>
  <r>
    <d v="2025-11-11T00:00:00"/>
    <s v="Taxi makabana-wayako,prospection"/>
    <x v="0"/>
    <x v="4"/>
    <n v="2000"/>
    <n v="3.7488074106424891"/>
    <n v="533.50300000000004"/>
    <x v="6"/>
    <s v="P29-N-D1"/>
    <s v="PALF"/>
    <s v="Dahan"/>
    <s v="CONGO"/>
    <m/>
    <m/>
    <m/>
  </r>
  <r>
    <d v="2025-11-11T00:00:00"/>
    <s v="Taxi wayako-madibou,prospection"/>
    <x v="0"/>
    <x v="4"/>
    <n v="1500"/>
    <n v="2.8116055579818666"/>
    <n v="533.50300000000004"/>
    <x v="6"/>
    <s v="P29-N-D1"/>
    <s v="PALF"/>
    <s v="Dahan"/>
    <s v="CONGO"/>
    <m/>
    <m/>
    <m/>
  </r>
  <r>
    <d v="2025-11-11T00:00:00"/>
    <s v="Taxi madibou-domicile"/>
    <x v="0"/>
    <x v="4"/>
    <n v="1500"/>
    <n v="2.8116055579818666"/>
    <n v="533.50300000000004"/>
    <x v="6"/>
    <s v="P29-N-D1"/>
    <s v="PALF"/>
    <s v="Dahan"/>
    <s v="CONGO"/>
    <m/>
    <m/>
    <m/>
  </r>
  <r>
    <d v="2025-11-11T00:00:00"/>
    <s v=" Achat boisson avec une cible"/>
    <x v="11"/>
    <x v="4"/>
    <n v="1000"/>
    <n v="1.8401363172983856"/>
    <n v="543.43799999999999"/>
    <x v="6"/>
    <s v="P29-N-D3"/>
    <s v="PALF"/>
    <s v="Marchig Trust"/>
    <s v="CONGO"/>
    <m/>
    <m/>
    <m/>
  </r>
  <r>
    <d v="2025-11-11T00:00:00"/>
    <s v="Taxi : domicile - cité de 17 (prospection à Brazzaville)"/>
    <x v="0"/>
    <x v="4"/>
    <n v="2000"/>
    <n v="3.7488074106424891"/>
    <n v="533.50300000000004"/>
    <x v="7"/>
    <s v="T73-N-D1"/>
    <s v="PALF"/>
    <s v="Dahan"/>
    <s v="CONGO"/>
    <m/>
    <m/>
    <m/>
  </r>
  <r>
    <d v="2025-11-11T00:00:00"/>
    <s v="Taxi : cité de 17 - diata (rendez - vous avec le coordeau)"/>
    <x v="0"/>
    <x v="4"/>
    <n v="2000"/>
    <n v="3.7488074106424891"/>
    <n v="533.50300000000004"/>
    <x v="7"/>
    <s v="T73-N-D1"/>
    <s v="PALF"/>
    <s v="Dahan"/>
    <s v="CONGO"/>
    <m/>
    <m/>
    <m/>
  </r>
  <r>
    <d v="2025-11-11T00:00:00"/>
    <s v="Taxi : diata - cité de 17 (retour sur le terrain)"/>
    <x v="0"/>
    <x v="4"/>
    <n v="2000"/>
    <n v="3.7488074106424891"/>
    <n v="533.50300000000004"/>
    <x v="7"/>
    <s v="T73-N-D1"/>
    <s v="PALF"/>
    <s v="Dahan"/>
    <s v="CONGO"/>
    <m/>
    <m/>
    <m/>
  </r>
  <r>
    <d v="2025-11-11T00:00:00"/>
    <s v="Taxi : cité de 17 - sadelmi (prospection à brazzaville)"/>
    <x v="0"/>
    <x v="4"/>
    <n v="1000"/>
    <n v="1.8744037053212446"/>
    <n v="533.50300000000004"/>
    <x v="7"/>
    <s v="T73-N-D1"/>
    <s v="PALF"/>
    <s v="Dahan"/>
    <s v="CONGO"/>
    <m/>
    <m/>
    <m/>
  </r>
  <r>
    <d v="2025-11-11T00:00:00"/>
    <s v="Taxi : sadelmi- domicile  (prospection à brazzaville)"/>
    <x v="0"/>
    <x v="4"/>
    <n v="2000"/>
    <n v="3.7488074106424891"/>
    <n v="533.50300000000004"/>
    <x v="7"/>
    <s v="T73-N-D1"/>
    <s v="PALF"/>
    <s v="Dahan"/>
    <s v="CONGO"/>
    <m/>
    <m/>
    <m/>
  </r>
  <r>
    <d v="2025-11-11T00:00:00"/>
    <s v="achat boisson ( une cible)"/>
    <x v="11"/>
    <x v="4"/>
    <n v="2000"/>
    <n v="3.6802726345967711"/>
    <n v="543.43799999999999"/>
    <x v="7"/>
    <s v="T73-N-D2"/>
    <s v="PALF"/>
    <s v="Marchig Trust"/>
    <s v="CONGO"/>
    <m/>
    <m/>
    <m/>
  </r>
  <r>
    <d v="2025-11-11T00:00:00"/>
    <s v="Taxi : Domicile - Kinsoundi/ Prospection"/>
    <x v="0"/>
    <x v="4"/>
    <n v="1500"/>
    <n v="2.8116055579818666"/>
    <n v="533.50300000000004"/>
    <x v="8"/>
    <s v="IT87-N-D1"/>
    <s v="PALF"/>
    <s v="Dahan"/>
    <s v="CONGO"/>
    <m/>
    <m/>
    <m/>
  </r>
  <r>
    <d v="2025-11-11T00:00:00"/>
    <s v="Taxi : Kinsoundi - Barrage/ Prospection"/>
    <x v="0"/>
    <x v="4"/>
    <n v="1000"/>
    <n v="1.8744037053212446"/>
    <n v="533.50300000000004"/>
    <x v="8"/>
    <s v="IT87-N-D1"/>
    <s v="PALF"/>
    <s v="Dahan"/>
    <s v="CONGO"/>
    <m/>
    <m/>
    <m/>
  </r>
  <r>
    <d v="2025-11-11T00:00:00"/>
    <s v="Achat Boissons avec la cible"/>
    <x v="11"/>
    <x v="4"/>
    <n v="2000"/>
    <n v="3.6802726345967711"/>
    <n v="543.43799999999999"/>
    <x v="8"/>
    <s v="IT87-N-D2"/>
    <s v="PALF"/>
    <s v="Marchig Trust"/>
    <s v="CONGO"/>
    <m/>
    <m/>
    <m/>
  </r>
  <r>
    <d v="2025-11-11T00:00:00"/>
    <s v="Taxi : Barrage - Château d'eau/ Prospection"/>
    <x v="0"/>
    <x v="4"/>
    <n v="1500"/>
    <n v="2.8116055579818666"/>
    <n v="533.50300000000004"/>
    <x v="8"/>
    <s v="IT87-N-D1"/>
    <s v="PALF"/>
    <s v="Dahan"/>
    <s v="CONGO"/>
    <m/>
    <m/>
    <m/>
  </r>
  <r>
    <d v="2025-11-11T00:00:00"/>
    <s v="Taxi : Château d'eau - Domicile/ Retour de prospection"/>
    <x v="0"/>
    <x v="4"/>
    <n v="1500"/>
    <n v="2.8116055579818666"/>
    <n v="533.50300000000004"/>
    <x v="8"/>
    <s v="IT87-N-D1"/>
    <s v="PALF"/>
    <s v="Dahan"/>
    <s v="CONGO"/>
    <m/>
    <m/>
    <m/>
  </r>
  <r>
    <d v="2025-11-11T00:00:00"/>
    <s v="Taxi: Domicile - port yoro / prospection"/>
    <x v="0"/>
    <x v="4"/>
    <n v="1500"/>
    <n v="2.8116055579818666"/>
    <n v="533.50300000000004"/>
    <x v="9"/>
    <s v="G12-N-D1"/>
    <s v="PALF"/>
    <s v="Dahan"/>
    <s v="CONGO"/>
    <m/>
    <m/>
    <m/>
  </r>
  <r>
    <d v="2025-11-11T00:00:00"/>
    <s v="Taxi : Port yoro - poto -poto /prospection"/>
    <x v="0"/>
    <x v="4"/>
    <n v="1000"/>
    <n v="1.8744037053212446"/>
    <n v="533.50300000000004"/>
    <x v="9"/>
    <s v="G12-N-D1"/>
    <s v="PALF"/>
    <s v="Dahan"/>
    <s v="CONGO"/>
    <m/>
    <m/>
    <m/>
  </r>
  <r>
    <d v="2025-11-11T00:00:00"/>
    <s v="Taxi : Poto-poto - ouenze /prospection"/>
    <x v="0"/>
    <x v="4"/>
    <n v="1000"/>
    <n v="1.8744037053212446"/>
    <n v="533.50300000000004"/>
    <x v="9"/>
    <s v="G12-N-D1"/>
    <s v="PALF"/>
    <s v="Dahan"/>
    <s v="CONGO"/>
    <m/>
    <m/>
    <m/>
  </r>
  <r>
    <d v="2025-11-11T00:00:00"/>
    <s v="Taxi : Ouenze - domicile"/>
    <x v="0"/>
    <x v="4"/>
    <n v="1500"/>
    <n v="2.8116055579818666"/>
    <n v="533.50300000000004"/>
    <x v="9"/>
    <s v="G12-N-D1"/>
    <s v="PALF"/>
    <s v="Dahan"/>
    <s v="CONGO"/>
    <m/>
    <m/>
    <m/>
  </r>
  <r>
    <d v="2025-11-11T00:00:00"/>
    <s v="ABRAHAM - CONGO Ration du 11 au 13/11/2025 à Dolisie et à Owando (02 Nuitées)"/>
    <x v="3"/>
    <x v="1"/>
    <n v="20000"/>
    <n v="37.488074106424889"/>
    <n v="533.50300000000004"/>
    <x v="10"/>
    <s v="AB-N-D3"/>
    <s v="PALF"/>
    <s v="Dahan"/>
    <s v="CONGO"/>
    <m/>
    <m/>
    <m/>
  </r>
  <r>
    <d v="2025-11-11T00:00:00"/>
    <s v="Taxi:Domicile-Agence Tranbony de La frontière"/>
    <x v="0"/>
    <x v="1"/>
    <n v="1000"/>
    <n v="1.8744037053212446"/>
    <n v="533.50300000000004"/>
    <x v="10"/>
    <s v="AB-N-D1"/>
    <s v="PALF"/>
    <s v="Dahan"/>
    <s v="CONGO"/>
    <m/>
    <m/>
    <m/>
  </r>
  <r>
    <d v="2025-11-11T00:00:00"/>
    <s v="Taxi-moto: Agence Tranbony d'Owando-Hôtel Case Mbali"/>
    <x v="0"/>
    <x v="1"/>
    <n v="500"/>
    <n v="0.93720185266062228"/>
    <n v="533.50300000000004"/>
    <x v="10"/>
    <s v="AB-N-D1"/>
    <s v="PALF"/>
    <s v="Dahan"/>
    <s v="CONGO"/>
    <m/>
    <m/>
    <m/>
  </r>
  <r>
    <d v="2025-11-11T00:00:00"/>
    <s v="Taxi-moto: Hôtel Case Mbali-Marché d'owando"/>
    <x v="0"/>
    <x v="1"/>
    <n v="500"/>
    <n v="0.93720185266062228"/>
    <n v="533.50300000000004"/>
    <x v="10"/>
    <s v="AB-N-D1"/>
    <s v="PALF"/>
    <s v="Dahan"/>
    <s v="CONGO"/>
    <m/>
    <m/>
    <m/>
  </r>
  <r>
    <d v="2025-11-11T00:00:00"/>
    <s v="Ration  des 02 détenus à la maison d'arrêt d'Owando/ détenus visités: NGASSAKI Dany et ELOMBO Lévy/soir "/>
    <x v="6"/>
    <x v="1"/>
    <n v="3000"/>
    <n v="5.6232111159637332"/>
    <n v="533.50300000000004"/>
    <x v="10"/>
    <s v="AB-N-D2"/>
    <s v="PALF"/>
    <s v="Dahan"/>
    <s v="CONGO"/>
    <m/>
    <m/>
    <m/>
  </r>
  <r>
    <d v="2025-11-11T00:00:00"/>
    <s v="Taxi-moto: Marché d'owando-Maison d'arrêt d'Owando"/>
    <x v="0"/>
    <x v="1"/>
    <n v="250"/>
    <n v="0.46860092633031114"/>
    <n v="533.50300000000004"/>
    <x v="10"/>
    <s v="AB-N-D1"/>
    <s v="PALF"/>
    <s v="Dahan"/>
    <s v="CONGO"/>
    <m/>
    <m/>
    <m/>
  </r>
  <r>
    <d v="2025-11-11T00:00:00"/>
    <s v="Taxi-moto:Maison d'arrêt d'Owando-Hôtel Case Mbali"/>
    <x v="0"/>
    <x v="1"/>
    <n v="500"/>
    <n v="0.93720185266062228"/>
    <n v="533.50300000000004"/>
    <x v="10"/>
    <s v="AB-N-D1"/>
    <s v="PALF"/>
    <s v="Dahan"/>
    <s v="CONGO"/>
    <m/>
    <m/>
    <m/>
  </r>
  <r>
    <d v="2025-11-11T00:00:00"/>
    <s v="Réglement facture électricité periode Septembre-Octobre 2025/bureau PALF"/>
    <x v="8"/>
    <x v="3"/>
    <n v="31187"/>
    <n v="58.457028357853652"/>
    <n v="533.50300000000004"/>
    <x v="12"/>
    <s v="CA-N-R10"/>
    <s v="PALF"/>
    <s v="Dahan"/>
    <s v="CONGO"/>
    <m/>
    <m/>
    <m/>
  </r>
  <r>
    <d v="2025-11-11T00:00:00"/>
    <s v="Taxi: Burea-DGEF pour aller deposer le contrat d'avocat à la signature"/>
    <x v="0"/>
    <x v="1"/>
    <n v="1000"/>
    <n v="1.8744037053212446"/>
    <n v="533.50300000000004"/>
    <x v="12"/>
    <s v="RM-N-D1"/>
    <s v="PALF"/>
    <s v="Dahan"/>
    <s v="CONGO"/>
    <m/>
    <m/>
    <m/>
  </r>
  <r>
    <d v="2025-11-11T00:00:00"/>
    <s v="Taxi: DGEF-Bureau"/>
    <x v="0"/>
    <x v="1"/>
    <n v="1000"/>
    <n v="1.8744037053212446"/>
    <n v="533.50300000000004"/>
    <x v="12"/>
    <s v="RM-N-D1"/>
    <s v="PALF"/>
    <s v="Dahan"/>
    <s v="CONGO"/>
    <m/>
    <m/>
    <m/>
  </r>
  <r>
    <d v="2025-11-11T00:00:00"/>
    <s v="Taxi: Bureau-Agence Energie Eléctrique du Congo pour payer la facture"/>
    <x v="0"/>
    <x v="1"/>
    <n v="1000"/>
    <n v="1.8744037053212446"/>
    <n v="533.50300000000004"/>
    <x v="12"/>
    <s v="RM-N-D1"/>
    <s v="PALF"/>
    <s v="Dahan"/>
    <s v="CONGO"/>
    <m/>
    <m/>
    <m/>
  </r>
  <r>
    <d v="2025-11-11T00:00:00"/>
    <s v="Taxi: Agence Energie Electrique du Congo-Bureau"/>
    <x v="0"/>
    <x v="1"/>
    <n v="1000"/>
    <n v="1.8744037053212446"/>
    <n v="533.50300000000004"/>
    <x v="12"/>
    <s v="RM-N-D1"/>
    <s v="PALF"/>
    <s v="Dahan"/>
    <s v="CONGO"/>
    <m/>
    <m/>
    <m/>
  </r>
  <r>
    <d v="2025-11-12T00:00:00"/>
    <s v="Maison-Bureau"/>
    <x v="0"/>
    <x v="2"/>
    <n v="1000"/>
    <n v="1.8744037053212446"/>
    <n v="533.50300000000004"/>
    <x v="3"/>
    <s v="DH-N-D1"/>
    <s v="PALF"/>
    <s v="Dahan"/>
    <s v="CONGO"/>
    <m/>
    <m/>
    <m/>
  </r>
  <r>
    <d v="2025-11-12T00:00:00"/>
    <s v="Bureau-Maison"/>
    <x v="0"/>
    <x v="2"/>
    <n v="1000"/>
    <n v="1.8744037053212446"/>
    <n v="533.50300000000004"/>
    <x v="3"/>
    <s v="DH-N-D1"/>
    <s v="PALF"/>
    <s v="Dahan"/>
    <s v="CONGO"/>
    <m/>
    <m/>
    <m/>
  </r>
  <r>
    <d v="2025-11-12T00:00:00"/>
    <s v="Taxi domicile-météo,prospection"/>
    <x v="0"/>
    <x v="4"/>
    <n v="1500"/>
    <n v="2.8116055579818666"/>
    <n v="533.50300000000004"/>
    <x v="6"/>
    <s v="P29-N-D1"/>
    <s v="PALF"/>
    <s v="Dahan"/>
    <s v="CONGO"/>
    <m/>
    <m/>
    <m/>
  </r>
  <r>
    <d v="2025-11-12T00:00:00"/>
    <s v="Taxi météo-moukoudjigouaka,propspection"/>
    <x v="0"/>
    <x v="4"/>
    <n v="1000"/>
    <n v="1.8744037053212446"/>
    <n v="533.50300000000004"/>
    <x v="6"/>
    <s v="P29-N-D1"/>
    <s v="PALF"/>
    <s v="Dahan"/>
    <s v="CONGO"/>
    <m/>
    <m/>
    <m/>
  </r>
  <r>
    <d v="2025-11-12T00:00:00"/>
    <s v="Taxi moukoudjigouaka-diata,prospection"/>
    <x v="0"/>
    <x v="4"/>
    <n v="1000"/>
    <n v="1.8744037053212446"/>
    <n v="533.50300000000004"/>
    <x v="6"/>
    <s v="P29-N-D1"/>
    <s v="PALF"/>
    <s v="Dahan"/>
    <s v="CONGO"/>
    <m/>
    <m/>
    <m/>
  </r>
  <r>
    <d v="2025-11-12T00:00:00"/>
    <s v="Taxi diata-domicile"/>
    <x v="0"/>
    <x v="4"/>
    <n v="1500"/>
    <n v="2.8116055579818666"/>
    <n v="533.50300000000004"/>
    <x v="6"/>
    <s v="P29-N-D1"/>
    <s v="PALF"/>
    <s v="Dahan"/>
    <s v="CONGO"/>
    <m/>
    <m/>
    <m/>
  </r>
  <r>
    <d v="2025-11-12T00:00:00"/>
    <s v=" Achat boisson avec une cible"/>
    <x v="11"/>
    <x v="4"/>
    <n v="1000"/>
    <n v="1.8401363172983856"/>
    <n v="543.43799999999999"/>
    <x v="6"/>
    <s v="P29-N-D3"/>
    <s v="PALF"/>
    <s v="Marchig Trust"/>
    <s v="CONGO"/>
    <m/>
    <m/>
    <m/>
  </r>
  <r>
    <d v="2025-11-12T00:00:00"/>
    <s v="Taxi : domicile - château d'eau (prospection à brazzaville)"/>
    <x v="0"/>
    <x v="4"/>
    <n v="1000"/>
    <n v="1.8744037053212446"/>
    <n v="533.50300000000004"/>
    <x v="7"/>
    <s v="T73-N-D1"/>
    <s v="PALF"/>
    <s v="Dahan"/>
    <s v="CONGO"/>
    <m/>
    <m/>
    <m/>
  </r>
  <r>
    <d v="2025-11-12T00:00:00"/>
    <s v="Taxi : château d'eau - kisoundji (prospection à brazzaville)"/>
    <x v="0"/>
    <x v="4"/>
    <n v="1000"/>
    <n v="1.8744037053212446"/>
    <n v="533.50300000000004"/>
    <x v="7"/>
    <s v="T73-N-D1"/>
    <s v="PALF"/>
    <s v="Dahan"/>
    <s v="CONGO"/>
    <m/>
    <m/>
    <m/>
  </r>
  <r>
    <d v="2025-11-12T00:00:00"/>
    <s v="Taxi : kisoundji - PK (prospection à brazzaville)"/>
    <x v="0"/>
    <x v="4"/>
    <n v="1500"/>
    <n v="2.8116055579818666"/>
    <n v="533.50300000000004"/>
    <x v="7"/>
    <s v="T73-N-D1"/>
    <s v="PALF"/>
    <s v="Dahan"/>
    <s v="CONGO"/>
    <m/>
    <m/>
    <m/>
  </r>
  <r>
    <d v="2025-11-12T00:00:00"/>
    <s v="Taxi :  PK - marché Diata (prospection à brazzaville)"/>
    <x v="0"/>
    <x v="4"/>
    <n v="1000"/>
    <n v="1.8744037053212446"/>
    <n v="533.50300000000004"/>
    <x v="7"/>
    <s v="T73-N-D1"/>
    <s v="PALF"/>
    <s v="Dahan"/>
    <s v="CONGO"/>
    <m/>
    <m/>
    <m/>
  </r>
  <r>
    <d v="2025-11-12T00:00:00"/>
    <s v="Taxi :  marché Diata - domicile (prospection à brazzaville)"/>
    <x v="0"/>
    <x v="4"/>
    <n v="1000"/>
    <n v="1.8744037053212446"/>
    <n v="533.50300000000004"/>
    <x v="7"/>
    <s v="T73-N-D1"/>
    <s v="PALF"/>
    <s v="Dahan"/>
    <s v="CONGO"/>
    <m/>
    <m/>
    <m/>
  </r>
  <r>
    <d v="2025-11-12T00:00:00"/>
    <s v="achat boisson ( une cible)"/>
    <x v="11"/>
    <x v="4"/>
    <n v="2000"/>
    <n v="3.6802726345967711"/>
    <n v="543.43799999999999"/>
    <x v="7"/>
    <s v="T73-N-D2"/>
    <s v="PALF"/>
    <s v="Marchig Trust"/>
    <s v="CONGO"/>
    <m/>
    <m/>
    <m/>
  </r>
  <r>
    <d v="2025-11-12T00:00:00"/>
    <s v="Taxi : Bureau - Port ATC/ Prospection"/>
    <x v="0"/>
    <x v="4"/>
    <n v="1500"/>
    <m/>
    <n v="533.50300000000004"/>
    <x v="8"/>
    <s v="IT87-N-D1"/>
    <s v="PALF"/>
    <s v="Dahan"/>
    <s v="CONGO"/>
    <m/>
    <m/>
    <m/>
  </r>
  <r>
    <d v="2025-11-12T00:00:00"/>
    <s v="Taxi : Port ATC - Mpila/ Prospection"/>
    <x v="0"/>
    <x v="4"/>
    <n v="1000"/>
    <m/>
    <n v="533.50300000000004"/>
    <x v="8"/>
    <s v="IT87-N-D1"/>
    <s v="PALF"/>
    <s v="Dahan"/>
    <s v="CONGO"/>
    <m/>
    <m/>
    <m/>
  </r>
  <r>
    <d v="2025-11-12T00:00:00"/>
    <s v="Taxi : Mpila - Talangaï/ Prospection"/>
    <x v="0"/>
    <x v="4"/>
    <n v="2000"/>
    <n v="3.7488074106424891"/>
    <n v="533.50300000000004"/>
    <x v="8"/>
    <s v="IT87-N-D1"/>
    <s v="PALF"/>
    <s v="Dahan"/>
    <s v="CONGO"/>
    <m/>
    <m/>
    <m/>
  </r>
  <r>
    <d v="2025-11-12T00:00:00"/>
    <s v="Taxi : Talangaï - Domicile/ Retour de prospection"/>
    <x v="0"/>
    <x v="4"/>
    <n v="3500"/>
    <n v="6.5604129686243562"/>
    <n v="533.50300000000004"/>
    <x v="8"/>
    <s v="IT87-N-D1"/>
    <s v="PALF"/>
    <s v="Dahan"/>
    <s v="CONGO"/>
    <m/>
    <m/>
    <m/>
  </r>
  <r>
    <d v="2025-11-12T00:00:00"/>
    <s v="Taxi : Domicile - aéroport / prospection"/>
    <x v="0"/>
    <x v="4"/>
    <n v="1000"/>
    <n v="1.8744037053212446"/>
    <n v="533.50300000000004"/>
    <x v="9"/>
    <s v="G12-N-D1"/>
    <s v="PALF"/>
    <s v="Dahan"/>
    <s v="CONGO"/>
    <m/>
    <m/>
    <m/>
  </r>
  <r>
    <d v="2025-11-12T00:00:00"/>
    <s v="Taxi: Aéroport - moukondo /prospection "/>
    <x v="0"/>
    <x v="4"/>
    <n v="1000"/>
    <n v="1.8744037053212446"/>
    <n v="533.50300000000004"/>
    <x v="9"/>
    <s v="G12-N-D1"/>
    <s v="PALF"/>
    <s v="Dahan"/>
    <s v="CONGO"/>
    <m/>
    <m/>
    <m/>
  </r>
  <r>
    <d v="2025-11-12T00:00:00"/>
    <s v="Taxi: Moukondo - la  base / prospection"/>
    <x v="0"/>
    <x v="4"/>
    <n v="1000"/>
    <n v="1.8744037053212446"/>
    <n v="533.50300000000004"/>
    <x v="9"/>
    <s v="G12-N-D1"/>
    <s v="PALF"/>
    <s v="Dahan"/>
    <s v="CONGO"/>
    <m/>
    <m/>
    <m/>
  </r>
  <r>
    <d v="2025-11-12T00:00:00"/>
    <s v="Taxi : La base - domicile"/>
    <x v="0"/>
    <x v="4"/>
    <n v="1500"/>
    <n v="2.8116055579818666"/>
    <n v="533.50300000000004"/>
    <x v="9"/>
    <s v="G12-N-D1"/>
    <s v="PALF"/>
    <s v="Dahan"/>
    <s v="CONGO"/>
    <m/>
    <m/>
    <m/>
  </r>
  <r>
    <d v="2025-11-12T00:00:00"/>
    <s v="Taxi-moto: Hôtel Case Mbali-Boutique/Achat de la ration des prévenus"/>
    <x v="0"/>
    <x v="1"/>
    <n v="500"/>
    <n v="0.93720185266062228"/>
    <n v="533.50300000000004"/>
    <x v="10"/>
    <s v="AB-N-D1"/>
    <s v="PALF"/>
    <s v="Dahan"/>
    <s v="CONGO"/>
    <m/>
    <m/>
    <m/>
  </r>
  <r>
    <d v="2025-11-12T00:00:00"/>
    <s v="Ration des 0 2 détenus à la maison d'arrêt d'Owando/ détenus visités: NGASSAKI Dany et ELOMBO Lévy/matin"/>
    <x v="6"/>
    <x v="1"/>
    <n v="3000"/>
    <n v="5.6232111159637332"/>
    <n v="533.50300000000004"/>
    <x v="10"/>
    <s v="AB-N-D2"/>
    <s v="PALF"/>
    <s v="Dahan"/>
    <s v="CONGO"/>
    <m/>
    <m/>
    <m/>
  </r>
  <r>
    <d v="2025-11-12T00:00:00"/>
    <s v="Taxi-moto: Boutique-Maison d'arrêt d'Owando"/>
    <x v="0"/>
    <x v="1"/>
    <n v="250"/>
    <n v="0.46860092633031114"/>
    <n v="533.50300000000004"/>
    <x v="10"/>
    <s v="AB-N-D1"/>
    <s v="PALF"/>
    <s v="Dahan"/>
    <s v="CONGO"/>
    <m/>
    <m/>
    <m/>
  </r>
  <r>
    <d v="2025-11-12T00:00:00"/>
    <s v="Taxi-moto:Palais de justice d'Owando-Agence transbony d'Owando/ Réservation du billet"/>
    <x v="0"/>
    <x v="1"/>
    <n v="250"/>
    <n v="0.46860092633031114"/>
    <n v="533.50300000000004"/>
    <x v="10"/>
    <s v="AB-N-D1"/>
    <s v="PALF"/>
    <s v="Dahan"/>
    <s v="CONGO"/>
    <m/>
    <m/>
    <m/>
  </r>
  <r>
    <d v="2025-11-12T00:00:00"/>
    <s v="Taxi-moto: Agence Tranbony d'Owando-Hôtel Case Mbali"/>
    <x v="0"/>
    <x v="1"/>
    <n v="500"/>
    <n v="0.93720185266062228"/>
    <n v="533.50300000000004"/>
    <x v="10"/>
    <s v="AB-N-D1"/>
    <s v="PALF"/>
    <s v="Dahan"/>
    <s v="CONGO"/>
    <m/>
    <m/>
    <m/>
  </r>
  <r>
    <d v="2025-11-12T00:00:00"/>
    <s v="Taxi-moto: Hôtel Case Mbali-Marché d'owando"/>
    <x v="0"/>
    <x v="1"/>
    <n v="500"/>
    <n v="0.93720185266062228"/>
    <n v="533.50300000000004"/>
    <x v="10"/>
    <s v="AB-N-D1"/>
    <s v="PALF"/>
    <s v="Dahan"/>
    <s v="CONGO"/>
    <m/>
    <m/>
    <m/>
  </r>
  <r>
    <d v="2025-11-12T00:00:00"/>
    <s v="Taxi-moto: Marché d'owando-Maison d'arrêt d'Owando"/>
    <x v="0"/>
    <x v="1"/>
    <n v="250"/>
    <n v="0.46860092633031114"/>
    <n v="533.50300000000004"/>
    <x v="10"/>
    <s v="AB-N-D1"/>
    <s v="PALF"/>
    <s v="Dahan"/>
    <s v="CONGO"/>
    <m/>
    <m/>
    <m/>
  </r>
  <r>
    <d v="2025-11-12T00:00:00"/>
    <s v="Ration des  02 détenus à la maison d'arrêt d'Owando/ détenus visités: NGASSAKI Dany et ELOMBO Lévy/soir"/>
    <x v="6"/>
    <x v="1"/>
    <n v="3000"/>
    <n v="5.6232111159637332"/>
    <n v="533.50300000000004"/>
    <x v="10"/>
    <s v="AB-N-D2"/>
    <s v="PALF"/>
    <s v="Dahan"/>
    <s v="CONGO"/>
    <m/>
    <m/>
    <m/>
  </r>
  <r>
    <d v="2025-11-12T00:00:00"/>
    <s v="Taxi-moto: Maison d'arrêt d'Owando-Hôtel Case Mbali"/>
    <x v="0"/>
    <x v="1"/>
    <n v="500"/>
    <n v="0.93720185266062228"/>
    <n v="533.50300000000004"/>
    <x v="10"/>
    <s v="AB-N-D1"/>
    <s v="PALF"/>
    <s v="Dahan"/>
    <s v="CONGO"/>
    <m/>
    <m/>
    <m/>
  </r>
  <r>
    <d v="2025-11-12T00:00:00"/>
    <s v="Taxi: Bureau-Cabinet de maitre BANZOUZI pour la signautre du contrat"/>
    <x v="0"/>
    <x v="1"/>
    <n v="1000"/>
    <n v="1.8744037053212446"/>
    <n v="533.50300000000004"/>
    <x v="12"/>
    <s v="RM-N-D1"/>
    <s v="PALF"/>
    <s v="Dahan"/>
    <s v="CONGO"/>
    <m/>
    <m/>
    <m/>
  </r>
  <r>
    <d v="2025-11-12T00:00:00"/>
    <s v="Taxi: Canibet de maitre BANZOUZI-Bureau"/>
    <x v="0"/>
    <x v="1"/>
    <n v="1000"/>
    <n v="1.8744037053212446"/>
    <n v="533.50300000000004"/>
    <x v="12"/>
    <s v="RM-N-D1"/>
    <s v="PALF"/>
    <s v="Dahan"/>
    <s v="CONGO"/>
    <m/>
    <m/>
    <m/>
  </r>
  <r>
    <d v="2025-11-13T00:00:00"/>
    <s v="Achat billet Brazzaville-Owando/Abraham"/>
    <x v="0"/>
    <x v="1"/>
    <n v="7000"/>
    <n v="13.120825937248712"/>
    <n v="533.50300000000004"/>
    <x v="10"/>
    <s v="AB-N-R4"/>
    <s v="PALF"/>
    <s v="Dahan"/>
    <s v="CONGO"/>
    <m/>
    <m/>
    <m/>
  </r>
  <r>
    <d v="2025-11-13T00:00:00"/>
    <s v="Maison-Bureau"/>
    <x v="0"/>
    <x v="2"/>
    <n v="1000"/>
    <n v="1.8744037053212446"/>
    <n v="533.50300000000004"/>
    <x v="3"/>
    <s v="DH-N-D1"/>
    <s v="PALF"/>
    <s v="Dahan"/>
    <s v="CONGO"/>
    <m/>
    <m/>
    <m/>
  </r>
  <r>
    <d v="2025-11-13T00:00:00"/>
    <s v="Bureau-Maison"/>
    <x v="0"/>
    <x v="2"/>
    <n v="1000"/>
    <n v="1.8744037053212446"/>
    <n v="533.50300000000004"/>
    <x v="3"/>
    <s v="DH-N-D1"/>
    <s v="PALF"/>
    <s v="Dahan"/>
    <s v="CONGO"/>
    <m/>
    <m/>
    <m/>
  </r>
  <r>
    <d v="2025-11-13T00:00:00"/>
    <s v="Taxi:Moungali-Bureau /Repatation imprimante"/>
    <x v="0"/>
    <x v="3"/>
    <n v="1000"/>
    <n v="1.8744037053212446"/>
    <n v="533.50300000000004"/>
    <x v="5"/>
    <s v="P-N-D1"/>
    <s v="PALF"/>
    <s v="Dahan"/>
    <s v="CONGO"/>
    <m/>
    <m/>
    <m/>
  </r>
  <r>
    <d v="2025-11-13T00:00:00"/>
    <s v="Taxi bureau-agence,achet billet"/>
    <x v="0"/>
    <x v="4"/>
    <n v="1000"/>
    <n v="1.8744037053212446"/>
    <n v="533.50300000000004"/>
    <x v="6"/>
    <s v="P29-N-D1"/>
    <s v="PALF"/>
    <s v="Dahan"/>
    <s v="CONGO"/>
    <m/>
    <m/>
    <m/>
  </r>
  <r>
    <d v="2025-11-13T00:00:00"/>
    <s v="Taxi agence-marien ngouabi,prospection"/>
    <x v="0"/>
    <x v="4"/>
    <n v="1000"/>
    <n v="1.8744037053212446"/>
    <n v="533.50300000000004"/>
    <x v="6"/>
    <s v="P29-N-D1"/>
    <s v="PALF"/>
    <s v="Dahan"/>
    <s v="CONGO"/>
    <m/>
    <m/>
    <m/>
  </r>
  <r>
    <d v="2025-11-13T00:00:00"/>
    <s v="Taxi marien ngouabi-moungali,prospection"/>
    <x v="0"/>
    <x v="4"/>
    <n v="1000"/>
    <n v="1.8744037053212446"/>
    <n v="533.50300000000004"/>
    <x v="6"/>
    <s v="P29-N-D1"/>
    <s v="PALF"/>
    <s v="Dahan"/>
    <s v="CONGO"/>
    <m/>
    <m/>
    <m/>
  </r>
  <r>
    <d v="2025-11-13T00:00:00"/>
    <s v="Taxi moungali-domicile"/>
    <x v="0"/>
    <x v="4"/>
    <n v="1500"/>
    <n v="2.8116055579818666"/>
    <n v="533.50300000000004"/>
    <x v="6"/>
    <s v="P29-N-D1"/>
    <s v="PALF"/>
    <s v="Dahan"/>
    <s v="CONGO"/>
    <m/>
    <m/>
    <m/>
  </r>
  <r>
    <d v="2025-11-13T00:00:00"/>
    <s v="Achat billet Brazzaville-Dolisie/ P29"/>
    <x v="0"/>
    <x v="4"/>
    <n v="9000"/>
    <n v="16.869633347891202"/>
    <n v="533.50300000000004"/>
    <x v="6"/>
    <s v="P29-N-R3"/>
    <s v="PALF"/>
    <s v="Dahan"/>
    <s v="CONGO"/>
    <m/>
    <m/>
    <m/>
  </r>
  <r>
    <d v="2025-11-13T00:00:00"/>
    <s v="Taxi : bureau - agence trans bony ( achat billet)"/>
    <x v="0"/>
    <x v="4"/>
    <n v="1000"/>
    <n v="1.8744037053212446"/>
    <n v="533.50300000000004"/>
    <x v="7"/>
    <s v="T73-N-D1"/>
    <s v="PALF"/>
    <s v="Dahan"/>
    <s v="CONGO"/>
    <m/>
    <m/>
    <m/>
  </r>
  <r>
    <d v="2025-11-13T00:00:00"/>
    <s v="Achat billet : brazzaville - Pointe noire/T73"/>
    <x v="0"/>
    <x v="4"/>
    <n v="12000"/>
    <n v="22.492844463854933"/>
    <n v="533.50300000000004"/>
    <x v="7"/>
    <s v="T73-N-R3"/>
    <s v="PALF"/>
    <s v="Dahan"/>
    <s v="CONGO"/>
    <m/>
    <m/>
    <m/>
  </r>
  <r>
    <d v="2025-11-13T00:00:00"/>
    <s v="Taxi : agence trans bony - madibu (prospection à Brazzaville)"/>
    <x v="0"/>
    <x v="4"/>
    <n v="2500"/>
    <n v="4.6860092633031112"/>
    <n v="533.50300000000004"/>
    <x v="7"/>
    <s v="T73-N-D1"/>
    <s v="PALF"/>
    <s v="Dahan"/>
    <s v="CONGO"/>
    <m/>
    <m/>
    <m/>
  </r>
  <r>
    <d v="2025-11-13T00:00:00"/>
    <s v="Taxi : madibu - marché mweti (prospection à Brazzaville)"/>
    <x v="0"/>
    <x v="4"/>
    <n v="2000"/>
    <n v="3.7488074106424891"/>
    <n v="533.50300000000004"/>
    <x v="7"/>
    <s v="T73-N-D1"/>
    <s v="PALF"/>
    <s v="Dahan"/>
    <s v="CONGO"/>
    <m/>
    <m/>
    <m/>
  </r>
  <r>
    <d v="2025-11-13T00:00:00"/>
    <s v="Taxi : marché mweti - domicile (prospection à Brazzaville)"/>
    <x v="0"/>
    <x v="4"/>
    <n v="1000"/>
    <n v="1.8744037053212446"/>
    <n v="533.50300000000004"/>
    <x v="7"/>
    <s v="T73-N-D1"/>
    <s v="PALF"/>
    <s v="Dahan"/>
    <s v="CONGO"/>
    <m/>
    <m/>
    <m/>
  </r>
  <r>
    <d v="2025-11-13T00:00:00"/>
    <s v="achat boisson ( une cible)"/>
    <x v="11"/>
    <x v="4"/>
    <n v="1500"/>
    <n v="2.7602044759475781"/>
    <n v="543.43799999999999"/>
    <x v="7"/>
    <s v="T73-N-D2"/>
    <s v="PALF"/>
    <s v="Marchig Trust"/>
    <s v="CONGO"/>
    <m/>
    <m/>
    <m/>
  </r>
  <r>
    <d v="2025-11-13T00:00:00"/>
    <s v="Taxi : Bureau - Agence Océan du nord/ Achat billet"/>
    <x v="0"/>
    <x v="4"/>
    <n v="1000"/>
    <n v="1.8744037053212446"/>
    <n v="533.50300000000004"/>
    <x v="8"/>
    <s v="IT87-N-D1"/>
    <s v="PALF"/>
    <s v="Dahan"/>
    <s v="CONGO"/>
    <m/>
    <m/>
    <m/>
  </r>
  <r>
    <d v="2025-11-13T00:00:00"/>
    <s v="Taxi : Agence Océan du nord - Poto poto/ Prospection"/>
    <x v="0"/>
    <x v="4"/>
    <n v="1000"/>
    <n v="1.8744037053212446"/>
    <n v="533.50300000000004"/>
    <x v="8"/>
    <s v="IT87-N-D1"/>
    <s v="PALF"/>
    <s v="Dahan"/>
    <s v="CONGO"/>
    <m/>
    <m/>
    <m/>
  </r>
  <r>
    <d v="2025-11-13T00:00:00"/>
    <s v="Taxi : Poto poto - Maeté/ Prospection"/>
    <x v="0"/>
    <x v="4"/>
    <n v="2000"/>
    <n v="3.7488074106424891"/>
    <n v="533.50300000000004"/>
    <x v="8"/>
    <s v="IT87-N-D1"/>
    <s v="PALF"/>
    <s v="Dahan"/>
    <s v="CONGO"/>
    <m/>
    <m/>
    <m/>
  </r>
  <r>
    <d v="2025-11-13T00:00:00"/>
    <s v="Taxi : Maeté - Domicile/ Retour de prospection"/>
    <x v="0"/>
    <x v="4"/>
    <n v="1500"/>
    <n v="2.8116055579818666"/>
    <n v="533.50300000000004"/>
    <x v="8"/>
    <s v="IT87-N-D1"/>
    <s v="PALF"/>
    <s v="Dahan"/>
    <s v="CONGO"/>
    <m/>
    <m/>
    <m/>
  </r>
  <r>
    <d v="2025-11-13T00:00:00"/>
    <s v="Taxi: Bureau - agence trans bony / achat billet"/>
    <x v="0"/>
    <x v="4"/>
    <n v="1000"/>
    <n v="1.8744037053212446"/>
    <n v="533.50300000000004"/>
    <x v="9"/>
    <s v="G12-N-D1"/>
    <s v="PALF"/>
    <s v="Dahan"/>
    <s v="CONGO"/>
    <m/>
    <m/>
    <m/>
  </r>
  <r>
    <d v="2025-11-13T00:00:00"/>
    <s v="Taxi: Agence - marché total /Prospection"/>
    <x v="0"/>
    <x v="4"/>
    <n v="1000"/>
    <n v="1.8744037053212446"/>
    <n v="533.50300000000004"/>
    <x v="9"/>
    <s v="G12-N-D1"/>
    <s v="PALF"/>
    <s v="Dahan"/>
    <s v="CONGO"/>
    <m/>
    <m/>
    <m/>
  </r>
  <r>
    <d v="2025-11-13T00:00:00"/>
    <s v="Taxi : Marché total - domicile"/>
    <x v="0"/>
    <x v="4"/>
    <n v="1000"/>
    <n v="1.8744037053212446"/>
    <n v="533.50300000000004"/>
    <x v="9"/>
    <s v="G12-N-D1"/>
    <s v="PALF"/>
    <s v="Dahan"/>
    <s v="CONGO"/>
    <m/>
    <m/>
    <m/>
  </r>
  <r>
    <d v="2025-11-13T00:00:00"/>
    <s v="Achat billet Brazzaville - Ouesso /G12"/>
    <x v="0"/>
    <x v="4"/>
    <n v="12000"/>
    <n v="22.492844463854933"/>
    <n v="533.50300000000004"/>
    <x v="9"/>
    <s v="G12-N-R3"/>
    <s v="PALF"/>
    <s v="Dahan"/>
    <s v="CONGO"/>
    <m/>
    <m/>
    <m/>
  </r>
  <r>
    <d v="2025-11-13T00:00:00"/>
    <s v="ABRAHAM-CONGO frais d'Hôtel  du 11 au 13/11/2025 à d'Owando(02 Nuitées)"/>
    <x v="3"/>
    <x v="1"/>
    <n v="30000"/>
    <n v="56.232111159637334"/>
    <n v="533.50300000000004"/>
    <x v="10"/>
    <s v="AB-N-R5"/>
    <s v="PALF"/>
    <s v="Dahan"/>
    <s v="CONGO"/>
    <m/>
    <m/>
    <m/>
  </r>
  <r>
    <d v="2025-11-13T00:00:00"/>
    <s v="Taxi-moto: Hôtel Case Mbali-Agence Transbony d'Owando"/>
    <x v="0"/>
    <x v="1"/>
    <n v="500"/>
    <n v="0.93720185266062228"/>
    <n v="533.50300000000004"/>
    <x v="10"/>
    <s v="AB-N-D1"/>
    <s v="PALF"/>
    <s v="Dahan"/>
    <s v="CONGO"/>
    <m/>
    <m/>
    <m/>
  </r>
  <r>
    <d v="2025-11-13T00:00:00"/>
    <s v="Taxi: Agence Transbony-Domicile"/>
    <x v="0"/>
    <x v="1"/>
    <n v="1000"/>
    <n v="1.8744037053212446"/>
    <n v="533.50300000000004"/>
    <x v="10"/>
    <s v="AB-N-D1"/>
    <s v="PALF"/>
    <s v="Dahan"/>
    <s v="CONGO"/>
    <m/>
    <m/>
    <m/>
  </r>
  <r>
    <d v="2025-11-13T00:00:00"/>
    <s v="Taxi: Bureau-Marché Moungali pour la réparation de l'imprimante"/>
    <x v="0"/>
    <x v="1"/>
    <n v="1000"/>
    <n v="1.8744037053212446"/>
    <n v="533.50300000000004"/>
    <x v="12"/>
    <s v="RM-N-D1"/>
    <s v="PALF"/>
    <s v="Dahan"/>
    <s v="CONGO"/>
    <m/>
    <m/>
    <m/>
  </r>
  <r>
    <d v="2025-11-13T00:00:00"/>
    <s v="Taxi: Marché Moungali-Bureau"/>
    <x v="0"/>
    <x v="1"/>
    <n v="1000"/>
    <n v="1.8744037053212446"/>
    <n v="533.50300000000004"/>
    <x v="12"/>
    <s v="RM-N-D1"/>
    <s v="PALF"/>
    <s v="Dahan"/>
    <s v="CONGO"/>
    <m/>
    <m/>
    <m/>
  </r>
  <r>
    <d v="2025-11-13T00:00:00"/>
    <s v="Paiement Honoraire Me LOCKO/Mois d'octobre  2025/3655348"/>
    <x v="1"/>
    <x v="1"/>
    <n v="150000"/>
    <n v="281.16055579818669"/>
    <n v="533.50300000000004"/>
    <x v="2"/>
    <s v="BQ-N-R4"/>
    <s v="PALF"/>
    <s v="Dahan"/>
    <s v="CONGO"/>
    <m/>
    <m/>
    <m/>
  </r>
  <r>
    <d v="2025-11-14T00:00:00"/>
    <s v="Maison-Bureau"/>
    <x v="0"/>
    <x v="2"/>
    <n v="1000"/>
    <n v="1.8744037053212446"/>
    <n v="533.50300000000004"/>
    <x v="3"/>
    <s v="DH-N-D1"/>
    <s v="PALF"/>
    <s v="Dahan"/>
    <s v="CONGO"/>
    <m/>
    <m/>
    <m/>
  </r>
  <r>
    <d v="2025-11-14T00:00:00"/>
    <s v="Bureau-Maison"/>
    <x v="0"/>
    <x v="2"/>
    <n v="1000"/>
    <n v="1.8744037053212446"/>
    <n v="533.50300000000004"/>
    <x v="3"/>
    <s v="DH-N-D1"/>
    <s v="PALF"/>
    <s v="Dahan"/>
    <s v="CONGO"/>
    <m/>
    <m/>
    <m/>
  </r>
  <r>
    <d v="2025-11-14T00:00:00"/>
    <s v="Taxi domicile-agence,départ mission"/>
    <x v="0"/>
    <x v="4"/>
    <n v="2000"/>
    <n v="3.7488074106424891"/>
    <n v="533.50300000000004"/>
    <x v="6"/>
    <s v="P29-N-D1"/>
    <s v="PALF"/>
    <s v="Dahan"/>
    <s v="CONGO"/>
    <m/>
    <m/>
    <m/>
  </r>
  <r>
    <d v="2025-11-14T00:00:00"/>
    <s v="Taxi agence-hotel mabidi"/>
    <x v="0"/>
    <x v="4"/>
    <n v="1000"/>
    <n v="1.8744037053212446"/>
    <n v="533.50300000000004"/>
    <x v="6"/>
    <s v="P29-N-D1"/>
    <s v="PALF"/>
    <s v="Dahan"/>
    <s v="CONGO"/>
    <m/>
    <m/>
    <m/>
  </r>
  <r>
    <d v="2025-11-14T00:00:00"/>
    <s v="Taxi hotel mabidi-hotel bel air"/>
    <x v="0"/>
    <x v="4"/>
    <n v="1000"/>
    <n v="1.8744037053212446"/>
    <n v="533.50300000000004"/>
    <x v="6"/>
    <s v="P29-N-D1"/>
    <s v="PALF"/>
    <s v="Dahan"/>
    <s v="CONGO"/>
    <m/>
    <m/>
    <m/>
  </r>
  <r>
    <d v="2025-11-14T00:00:00"/>
    <s v="P29 - CONGO Ration  du 14 au 24/11/2025 à dolisie(10 Nuitées)"/>
    <x v="3"/>
    <x v="4"/>
    <n v="100000"/>
    <n v="187.44037053212446"/>
    <n v="533.50300000000004"/>
    <x v="6"/>
    <s v="P29-N-D2"/>
    <s v="PALF"/>
    <s v="Dahan"/>
    <s v="CONGO"/>
    <m/>
    <m/>
    <m/>
  </r>
  <r>
    <d v="2025-11-14T00:00:00"/>
    <s v="T73 -CONGO -Ration du 14 au 18/11/2025 à Pointe noire (04 Nuitées)"/>
    <x v="3"/>
    <x v="4"/>
    <n v="40000"/>
    <n v="74.976148212849779"/>
    <n v="533.50300000000004"/>
    <x v="7"/>
    <s v="T73-N-D3"/>
    <s v="PALF"/>
    <s v="Dahan"/>
    <s v="CONGO"/>
    <m/>
    <m/>
    <m/>
  </r>
  <r>
    <d v="2025-11-14T00:00:00"/>
    <s v="Taxi : domicile - agence trans bony (départ pour pointe noire)"/>
    <x v="0"/>
    <x v="4"/>
    <n v="1000"/>
    <n v="1.8744037053212446"/>
    <n v="533.50300000000004"/>
    <x v="7"/>
    <s v="T73-N-D1"/>
    <s v="PALF"/>
    <s v="Dahan"/>
    <s v="CONGO"/>
    <m/>
    <m/>
    <m/>
  </r>
  <r>
    <d v="2025-11-14T00:00:00"/>
    <s v="Taxi : agence trans bony - hotel la provenance de Pemba (arrivé à pour pointe noire)"/>
    <x v="0"/>
    <x v="4"/>
    <n v="1000"/>
    <n v="1.8744037053212446"/>
    <n v="533.50300000000004"/>
    <x v="7"/>
    <s v="T73-N-D1"/>
    <s v="PALF"/>
    <s v="Dahan"/>
    <s v="CONGO"/>
    <m/>
    <m/>
    <m/>
  </r>
  <r>
    <d v="2025-11-14T00:00:00"/>
    <s v="IT87-CONGO Ration du 14 au 24/11/2025 à Dolisie"/>
    <x v="3"/>
    <x v="4"/>
    <n v="100000"/>
    <n v="187.44037053212446"/>
    <n v="533.50300000000004"/>
    <x v="8"/>
    <s v="IT87-N-D3"/>
    <s v="PALF"/>
    <s v="Dahan"/>
    <s v="CONGO"/>
    <m/>
    <m/>
    <m/>
  </r>
  <r>
    <d v="2025-11-14T00:00:00"/>
    <s v="Taxi : Domicile - Agence Océan du nord/ Départ de Brazzaville pour Dolisie"/>
    <x v="0"/>
    <x v="4"/>
    <n v="2000"/>
    <n v="3.7488074106424891"/>
    <n v="533.50300000000004"/>
    <x v="8"/>
    <s v="IT87-N-D1"/>
    <s v="PALF"/>
    <s v="Dahan"/>
    <s v="CONGO"/>
    <m/>
    <m/>
    <m/>
  </r>
  <r>
    <d v="2025-11-14T00:00:00"/>
    <s v="Achat billet Brazzaville - Dolisie/ IT87"/>
    <x v="0"/>
    <x v="4"/>
    <n v="9000"/>
    <n v="16.869633347891202"/>
    <n v="533.50300000000004"/>
    <x v="8"/>
    <s v="IT87-N-R3"/>
    <s v="PALF"/>
    <s v="Dahan"/>
    <s v="CONGO"/>
    <m/>
    <m/>
    <m/>
  </r>
  <r>
    <d v="2025-11-14T00:00:00"/>
    <s v="Taxi : Agence Océan du nord - Hôtel Pharaon/ Arrivé à Dolisie"/>
    <x v="0"/>
    <x v="4"/>
    <n v="1000"/>
    <n v="1.8744037053212446"/>
    <n v="533.50300000000004"/>
    <x v="8"/>
    <s v="IT87-N-D1"/>
    <s v="PALF"/>
    <s v="Dahan"/>
    <s v="CONGO"/>
    <m/>
    <m/>
    <m/>
  </r>
  <r>
    <d v="2025-11-14T00:00:00"/>
    <s v="G12-CONGO Ration du 14 au 19/ 11/2025 à Ouesso, Pokola"/>
    <x v="3"/>
    <x v="4"/>
    <n v="50000"/>
    <n v="93.720185266062231"/>
    <n v="533.50300000000004"/>
    <x v="9"/>
    <s v="G12-N-D3"/>
    <s v="PALF"/>
    <s v="Dahan"/>
    <s v="CONGO"/>
    <m/>
    <m/>
    <m/>
  </r>
  <r>
    <d v="2025-11-14T00:00:00"/>
    <s v="Taxi :Domicile - agence trans bony"/>
    <x v="0"/>
    <x v="4"/>
    <n v="1000"/>
    <n v="1.8744037053212446"/>
    <n v="533.50300000000004"/>
    <x v="9"/>
    <s v="G12-N-D1"/>
    <s v="PALF"/>
    <s v="Dahan"/>
    <s v="CONGO"/>
    <m/>
    <m/>
    <m/>
  </r>
  <r>
    <d v="2025-11-14T00:00:00"/>
    <s v="Taxi : Agence trans bony - hotel"/>
    <x v="0"/>
    <x v="4"/>
    <n v="500"/>
    <n v="0.93720185266062228"/>
    <n v="533.50300000000004"/>
    <x v="9"/>
    <s v="G12-N-D1"/>
    <s v="PALF"/>
    <s v="Dahan"/>
    <s v="CONGO"/>
    <m/>
    <m/>
    <m/>
  </r>
  <r>
    <d v="2025-11-14T00:00:00"/>
    <s v="Taxi, Bureau PALF-Radio Citoyenne des jeunes"/>
    <x v="0"/>
    <x v="0"/>
    <n v="1000"/>
    <n v="1.8744037053212446"/>
    <n v="533.50300000000004"/>
    <x v="0"/>
    <s v="EV-N-D1"/>
    <s v="PALF"/>
    <s v="Dahan"/>
    <s v="CONGO"/>
    <m/>
    <m/>
    <m/>
  </r>
  <r>
    <d v="2025-11-14T00:00:00"/>
    <s v="Taxi, Radio Citoyenne des Jeunes-tribune-eco.com"/>
    <x v="0"/>
    <x v="0"/>
    <n v="1000"/>
    <n v="1.8744037053212446"/>
    <n v="533.50300000000004"/>
    <x v="0"/>
    <s v="EV-N-D1"/>
    <s v="PALF"/>
    <s v="Dahan"/>
    <s v="CONGO"/>
    <m/>
    <m/>
    <m/>
  </r>
  <r>
    <d v="2025-11-14T00:00:00"/>
    <s v="Taxi, tribune-eco.com-Domicile"/>
    <x v="0"/>
    <x v="0"/>
    <n v="1000"/>
    <n v="1.8744037053212446"/>
    <n v="533.50300000000004"/>
    <x v="0"/>
    <s v="EV-N-D1"/>
    <s v="PALF"/>
    <s v="Dahan"/>
    <s v="CONGO"/>
    <m/>
    <m/>
    <m/>
  </r>
  <r>
    <d v="2025-11-14T00:00:00"/>
    <s v="Bonus media portant sur l'annonce audience du 20 novembre 2025 au TGI de Madingou  pièces presse Internet (https://www.panoramik-actu.com)"/>
    <x v="7"/>
    <x v="0"/>
    <n v="6000"/>
    <n v="11.246422231927466"/>
    <n v="533.50300000000004"/>
    <x v="0"/>
    <s v="CA-N-D8"/>
    <s v="PALF"/>
    <s v="Dahan"/>
    <s v="CONGO"/>
    <m/>
    <m/>
    <m/>
  </r>
  <r>
    <d v="2025-11-14T00:00:00"/>
    <s v="Bonus media portant sur l'annonce audience du 20 novembre 2025 au TGI de Madingou  pièces presse Internet(https://www.tribune-eco.cg)"/>
    <x v="7"/>
    <x v="0"/>
    <n v="6000"/>
    <n v="11.246422231927466"/>
    <n v="533.50300000000004"/>
    <x v="0"/>
    <s v="CA-N-D8"/>
    <s v="PALF"/>
    <s v="Dahan"/>
    <s v="CONGO"/>
    <m/>
    <m/>
    <m/>
  </r>
  <r>
    <d v="2025-11-14T00:00:00"/>
    <s v="Bonus media portant sur l'annonce audience du 20 novembre 2025 au TGI de Madingou  pièces presse Internet(https://www.groupecongomedias.com)"/>
    <x v="7"/>
    <x v="0"/>
    <n v="6000"/>
    <n v="11.246422231927466"/>
    <n v="533.50300000000004"/>
    <x v="0"/>
    <s v="CA-N-D8"/>
    <s v="PALF"/>
    <s v="Dahan"/>
    <s v="CONGO"/>
    <m/>
    <m/>
    <m/>
  </r>
  <r>
    <d v="2025-11-14T00:00:00"/>
    <s v="Bonus media portant sur l'annonce audience du 20 novembre 2025 au TGI de Madingou  pièces presse Internet (https://www.labreveonline.com)"/>
    <x v="7"/>
    <x v="0"/>
    <n v="6000"/>
    <n v="11.246422231927466"/>
    <n v="533.50300000000004"/>
    <x v="0"/>
    <s v="CA-N-D8"/>
    <s v="PALF"/>
    <s v="Dahan"/>
    <s v="CONGO"/>
    <m/>
    <m/>
    <m/>
  </r>
  <r>
    <d v="2025-11-14T00:00:00"/>
    <s v="Bonus media portant sur l'annonce audience du 20 novembre 2025 au TGI de Madingou  pièces presse Internet (https://www.adiac-congo.com)"/>
    <x v="7"/>
    <x v="0"/>
    <n v="6000"/>
    <n v="11.246422231927466"/>
    <n v="533.50300000000004"/>
    <x v="0"/>
    <s v="CA-N-D8"/>
    <s v="PALF"/>
    <s v="Dahan"/>
    <s v="CONGO"/>
    <m/>
    <m/>
    <m/>
  </r>
  <r>
    <d v="2025-11-14T00:00:00"/>
    <s v="Bonus media portant sur l'annonce audience du 20 novembre 2025 au TGI de Madingou  pièces presse Internet (https://www.lasemaineafricaine.info)"/>
    <x v="7"/>
    <x v="0"/>
    <n v="6000"/>
    <n v="11.246422231927466"/>
    <n v="533.50300000000004"/>
    <x v="0"/>
    <s v="CA-N-D8"/>
    <s v="PALF"/>
    <s v="Dahan"/>
    <s v="CONGO"/>
    <m/>
    <m/>
    <m/>
  </r>
  <r>
    <d v="2025-11-14T00:00:00"/>
    <s v="Bonus media portant sur l'annonce audience du 20 novembre 2025 au TGI de Madingou  pièces presse Internet (https://www.matinlibre.cg)"/>
    <x v="7"/>
    <x v="0"/>
    <n v="6000"/>
    <n v="11.246422231927466"/>
    <n v="533.50300000000004"/>
    <x v="0"/>
    <s v="CA-N-D8"/>
    <s v="PALF"/>
    <s v="Dahan"/>
    <s v="CONGO"/>
    <m/>
    <m/>
    <m/>
  </r>
  <r>
    <d v="2025-11-14T00:00:00"/>
    <s v="Bonus media portant sur l'annonce audience du 20 novembre 2025 au TGI de Madingou  pièces presse Internet (https://www.firstmediac.com)"/>
    <x v="7"/>
    <x v="0"/>
    <n v="6000"/>
    <n v="11.246422231927466"/>
    <n v="533.50300000000004"/>
    <x v="0"/>
    <s v="CA-N-D8"/>
    <s v="PALF"/>
    <s v="Dahan"/>
    <s v="CONGO"/>
    <m/>
    <m/>
    <m/>
  </r>
  <r>
    <d v="2025-11-14T00:00:00"/>
    <s v="Bonus media portant sur l'annonce audience du 20 novembre 2025 au TGI de Madingou  pièces presse Internet (https://www.journaldebrazza.com)"/>
    <x v="7"/>
    <x v="0"/>
    <n v="6000"/>
    <n v="11.246422231927466"/>
    <n v="533.50300000000004"/>
    <x v="0"/>
    <s v="CA-N-D8"/>
    <s v="PALF"/>
    <s v="Dahan"/>
    <s v="CONGO"/>
    <m/>
    <m/>
    <m/>
  </r>
  <r>
    <d v="2025-11-14T00:00:00"/>
    <s v="Bonus media portant sur l'annonce audience du 20 novembre 2025 au TGI de Madingou  pièces presse Internet (https://vmmedias.info)"/>
    <x v="7"/>
    <x v="0"/>
    <n v="6000"/>
    <n v="11.246422231927466"/>
    <n v="533.50300000000004"/>
    <x v="0"/>
    <s v="CA-N-D8"/>
    <s v="PALF"/>
    <s v="Dahan"/>
    <s v="CONGO"/>
    <m/>
    <m/>
    <m/>
  </r>
  <r>
    <d v="2025-11-14T00:00:00"/>
    <s v="Bonus media portant sur l'annonce audience du 20 novembre 2025 au TGI de Madingou  pièces presse Internet (https://aci.cg)"/>
    <x v="7"/>
    <x v="0"/>
    <n v="6000"/>
    <n v="11.246422231927466"/>
    <n v="533.50300000000004"/>
    <x v="0"/>
    <s v="CA-N-D8"/>
    <s v="PALF"/>
    <s v="Dahan"/>
    <s v="CONGO"/>
    <m/>
    <m/>
    <m/>
  </r>
  <r>
    <d v="2025-11-14T00:00:00"/>
    <s v="Bonus media portant sur l'annonce audience du 20 novembre 2025 au TGI de Madingou  pièces presse Internet (https://lesechos-congobrazza.com/)"/>
    <x v="7"/>
    <x v="0"/>
    <n v="6000"/>
    <n v="11.246422231927466"/>
    <n v="533.50300000000004"/>
    <x v="0"/>
    <s v="CA-N-D8"/>
    <s v="PALF"/>
    <s v="Dahan"/>
    <s v="CONGO"/>
    <m/>
    <m/>
    <m/>
  </r>
  <r>
    <d v="2025-11-14T00:00:00"/>
    <s v="Bonus media portant sur l'annonce audience du 20 novembre 2025 au TGI de Madingou  pièces presse Internet (https://opinionpublique.cg)"/>
    <x v="7"/>
    <x v="0"/>
    <n v="6000"/>
    <n v="11.246422231927466"/>
    <n v="533.50300000000004"/>
    <x v="0"/>
    <s v="CA-N-D8"/>
    <s v="PALF"/>
    <s v="Dahan"/>
    <s v="CONGO"/>
    <m/>
    <m/>
    <m/>
  </r>
  <r>
    <d v="2025-11-14T00:00:00"/>
    <s v="Bonus media portant sur l'annonce audience du 20 novembre 2025 au TGI de Madingou  pièces presse Internet (https://www.lhorizonafricain.com)"/>
    <x v="7"/>
    <x v="0"/>
    <n v="6000"/>
    <n v="11.246422231927466"/>
    <n v="533.50300000000004"/>
    <x v="0"/>
    <s v="CA-N-D8"/>
    <s v="PALF"/>
    <s v="Dahan"/>
    <s v="CONGO"/>
    <m/>
    <m/>
    <m/>
  </r>
  <r>
    <d v="2025-11-14T00:00:00"/>
    <s v="Bonus media portant sur l'annonce audience du 20 novembre 2025 au TGI de Madingou pieces presse papier(les depêches de brazzaville)"/>
    <x v="7"/>
    <x v="0"/>
    <n v="10000"/>
    <n v="18.744037053212445"/>
    <n v="533.50300000000004"/>
    <x v="0"/>
    <s v="CA-N-D9"/>
    <s v="PALF"/>
    <s v="Dahan"/>
    <s v="CONGO"/>
    <m/>
    <m/>
    <m/>
  </r>
  <r>
    <d v="2025-11-14T00:00:00"/>
    <s v="Bonus media portant sur l'annonce audience du 20 novembre 2025 au TGI de Madingou pieces presse papier( l'horizion africain)"/>
    <x v="7"/>
    <x v="0"/>
    <n v="10000"/>
    <n v="18.744037053212445"/>
    <n v="533.50300000000004"/>
    <x v="0"/>
    <s v="CA-N-D9"/>
    <s v="PALF"/>
    <s v="Dahan"/>
    <s v="CONGO"/>
    <m/>
    <m/>
    <m/>
  </r>
  <r>
    <d v="2025-11-14T00:00:00"/>
    <s v="Bonus media portant sur l'annonce audience du 20 novembre 2025 au TGI de Madingou pieces presse papier(l'agence congolaise de l'information)"/>
    <x v="7"/>
    <x v="0"/>
    <n v="10000"/>
    <n v="18.744037053212445"/>
    <n v="533.50300000000004"/>
    <x v="0"/>
    <s v="CA-N-D9"/>
    <s v="PALF"/>
    <s v="Dahan"/>
    <s v="CONGO"/>
    <m/>
    <m/>
    <m/>
  </r>
  <r>
    <d v="2025-11-14T00:00:00"/>
    <s v="Bonus media portant sur l'annonce audience du 20 novembre 2025 au TGI de Madingou pieces presse papier(Opinion Publique,)"/>
    <x v="7"/>
    <x v="0"/>
    <n v="10000"/>
    <n v="18.744037053212445"/>
    <n v="533.50300000000004"/>
    <x v="0"/>
    <s v="CA-N-D9"/>
    <s v="PALF"/>
    <s v="Dahan"/>
    <s v="CONGO"/>
    <m/>
    <m/>
    <m/>
  </r>
  <r>
    <d v="2025-11-14T00:00:00"/>
    <s v="Bonus media portant sur l'annonce audience du 20 novembre 2025 au TGI de Madingou pieces presse papier (La semaine Africaine)"/>
    <x v="7"/>
    <x v="0"/>
    <n v="10000"/>
    <n v="18.744037053212445"/>
    <n v="533.50300000000004"/>
    <x v="0"/>
    <s v="CA-N-D9"/>
    <s v="PALF"/>
    <s v="Dahan"/>
    <s v="CONGO"/>
    <m/>
    <m/>
    <m/>
  </r>
  <r>
    <d v="2025-11-14T00:00:00"/>
    <s v="Bonus media portant sur l'annonce audience du 20 novembre 2025 au TGI de Madingou presse Radio citoyenne des jeunes"/>
    <x v="7"/>
    <x v="0"/>
    <n v="6000"/>
    <n v="11.246422231927466"/>
    <n v="533.50300000000004"/>
    <x v="0"/>
    <s v="CA-N-D10"/>
    <s v="PALF"/>
    <s v="Dahan"/>
    <s v="CONGO"/>
    <m/>
    <m/>
    <m/>
  </r>
  <r>
    <d v="2025-11-14T00:00:00"/>
    <s v="Bonus media portant sur l'annonce audience du 20 novembre 2025 au TGI de Madingou presse Radio Liberté Kituba"/>
    <x v="7"/>
    <x v="0"/>
    <n v="6000"/>
    <n v="11.246422231927466"/>
    <n v="533.50300000000004"/>
    <x v="0"/>
    <s v="CA-N-D10"/>
    <s v="PALF"/>
    <s v="Dahan"/>
    <s v="CONGO"/>
    <m/>
    <m/>
    <m/>
  </r>
  <r>
    <d v="2025-11-14T00:00:00"/>
    <s v="Bonus media portant sur l'annonce audience du 20 novembre 2025 au TGI de Madingou presse Radio Liberté Français"/>
    <x v="7"/>
    <x v="0"/>
    <n v="6000"/>
    <n v="11.246422231927466"/>
    <n v="533.50300000000004"/>
    <x v="0"/>
    <s v="CA-N-D10"/>
    <s v="PALF"/>
    <s v="Dahan"/>
    <s v="CONGO"/>
    <m/>
    <m/>
    <m/>
  </r>
  <r>
    <d v="2025-11-14T00:00:00"/>
    <s v="Bonus media portant sur l'annonce audience du 20 novembre 2025 au TGI de Madingou presse Radio Liberté Lingala"/>
    <x v="7"/>
    <x v="0"/>
    <n v="6000"/>
    <n v="11.246422231927466"/>
    <n v="533.50300000000004"/>
    <x v="0"/>
    <s v="CA-N-D10"/>
    <s v="PALF"/>
    <s v="Dahan"/>
    <s v="CONGO"/>
    <m/>
    <m/>
    <m/>
  </r>
  <r>
    <d v="2025-11-15T00:00:00"/>
    <s v="Taxi hotel-mangadzi,repérage"/>
    <x v="0"/>
    <x v="4"/>
    <n v="1000"/>
    <n v="1.8744037053212446"/>
    <n v="533.50300000000004"/>
    <x v="6"/>
    <s v="P29-N-D1"/>
    <s v="PALF"/>
    <s v="Dahan"/>
    <s v="CONGO"/>
    <m/>
    <m/>
    <m/>
  </r>
  <r>
    <d v="2025-11-15T00:00:00"/>
    <s v="Taxi mangazi-cercle,repérage"/>
    <x v="0"/>
    <x v="4"/>
    <n v="1000"/>
    <n v="1.8744037053212446"/>
    <n v="533.50300000000004"/>
    <x v="6"/>
    <s v="P29-N-D1"/>
    <s v="PALF"/>
    <s v="Dahan"/>
    <s v="CONGO"/>
    <m/>
    <m/>
    <m/>
  </r>
  <r>
    <d v="2025-11-15T00:00:00"/>
    <s v="Taxi cercle-mambo,repérage"/>
    <x v="0"/>
    <x v="4"/>
    <n v="1000"/>
    <n v="1.8744037053212446"/>
    <n v="533.50300000000004"/>
    <x v="6"/>
    <s v="P29-N-D1"/>
    <s v="PALF"/>
    <s v="Dahan"/>
    <s v="CONGO"/>
    <m/>
    <m/>
    <m/>
  </r>
  <r>
    <d v="2025-11-15T00:00:00"/>
    <s v="Taxi mambo-tahiti,repérage"/>
    <x v="0"/>
    <x v="4"/>
    <n v="1000"/>
    <n v="1.8744037053212446"/>
    <n v="533.50300000000004"/>
    <x v="6"/>
    <s v="P29-N-D1"/>
    <s v="PALF"/>
    <s v="Dahan"/>
    <s v="CONGO"/>
    <m/>
    <m/>
    <m/>
  </r>
  <r>
    <d v="2025-11-15T00:00:00"/>
    <s v="Taxi tahiti-hotel"/>
    <x v="0"/>
    <x v="4"/>
    <n v="1000"/>
    <n v="1.8744037053212446"/>
    <n v="533.50300000000004"/>
    <x v="6"/>
    <s v="P29-N-D1"/>
    <s v="PALF"/>
    <s v="Dahan"/>
    <s v="CONGO"/>
    <m/>
    <m/>
    <m/>
  </r>
  <r>
    <d v="2025-11-15T00:00:00"/>
    <s v="Taxi : hotel la provenance de Pemba - Mpaka (prospection à pour pointe noire)"/>
    <x v="0"/>
    <x v="4"/>
    <n v="1000"/>
    <n v="1.8744037053212446"/>
    <n v="533.50300000000004"/>
    <x v="7"/>
    <s v="T73-N-D1"/>
    <s v="PALF"/>
    <s v="Dahan"/>
    <s v="CONGO"/>
    <m/>
    <m/>
    <m/>
  </r>
  <r>
    <d v="2025-11-15T00:00:00"/>
    <s v="Taxi : Mpaka - fond tie tie (prospection à pour pointe noire)"/>
    <x v="0"/>
    <x v="4"/>
    <n v="1000"/>
    <n v="1.8744037053212446"/>
    <n v="533.50300000000004"/>
    <x v="7"/>
    <s v="T73-N-D1"/>
    <s v="PALF"/>
    <s v="Dahan"/>
    <s v="CONGO"/>
    <m/>
    <m/>
    <m/>
  </r>
  <r>
    <d v="2025-11-15T00:00:00"/>
    <s v="Taxi : fond tie tie - vindoulou (prospection à pour pointe noire)"/>
    <x v="0"/>
    <x v="4"/>
    <n v="2000"/>
    <n v="3.7488074106424891"/>
    <n v="533.50300000000004"/>
    <x v="7"/>
    <s v="T73-N-D1"/>
    <s v="PALF"/>
    <s v="Dahan"/>
    <s v="CONGO"/>
    <m/>
    <m/>
    <m/>
  </r>
  <r>
    <d v="2025-11-15T00:00:00"/>
    <s v="Taxi : vindoulou- hotel la providence de pemba (prospection à pour pointe noire)"/>
    <x v="0"/>
    <x v="4"/>
    <n v="2000"/>
    <n v="3.7488074106424891"/>
    <n v="533.50300000000004"/>
    <x v="7"/>
    <s v="T73-N-D1"/>
    <s v="PALF"/>
    <s v="Dahan"/>
    <s v="CONGO"/>
    <m/>
    <m/>
    <m/>
  </r>
  <r>
    <d v="2025-11-15T00:00:00"/>
    <s v="Achat boissons/deux cibles"/>
    <x v="11"/>
    <x v="4"/>
    <n v="2000"/>
    <n v="3.6802726345967711"/>
    <n v="543.43799999999999"/>
    <x v="7"/>
    <s v="T73-N-D2"/>
    <s v="PALF"/>
    <s v="Marchig Trust"/>
    <s v="CONGO"/>
    <m/>
    <m/>
    <m/>
  </r>
  <r>
    <d v="2025-11-15T00:00:00"/>
    <s v="G12-CONGO Frais d'hotel du 14 au 15 /11/2025 à  Ouesso (01 nuitée)"/>
    <x v="3"/>
    <x v="4"/>
    <n v="15000"/>
    <n v="28.116055579818667"/>
    <n v="533.50300000000004"/>
    <x v="9"/>
    <s v="G12-N-R4"/>
    <s v="PALF"/>
    <s v="Dahan"/>
    <s v="CONGO"/>
    <m/>
    <m/>
    <m/>
  </r>
  <r>
    <d v="2025-11-15T00:00:00"/>
    <s v="Achat billet Ouesso - Pokola/G12"/>
    <x v="0"/>
    <x v="4"/>
    <n v="5000"/>
    <n v="9.3720185266062224"/>
    <n v="533.50300000000004"/>
    <x v="9"/>
    <s v="G12-N-R5"/>
    <s v="PALF"/>
    <s v="Dahan"/>
    <s v="CONGO"/>
    <m/>
    <m/>
    <m/>
  </r>
  <r>
    <d v="2025-11-15T00:00:00"/>
    <s v="Taxi moto: Gare routière - hotel"/>
    <x v="0"/>
    <x v="4"/>
    <n v="500"/>
    <n v="0.93720185266062228"/>
    <n v="533.50300000000004"/>
    <x v="9"/>
    <s v="G12-N-D1"/>
    <s v="PALF"/>
    <s v="Dahan"/>
    <s v="CONGO"/>
    <m/>
    <m/>
    <m/>
  </r>
  <r>
    <d v="2025-11-15T00:00:00"/>
    <s v="Taxi moto : Hotel - marché /prospection"/>
    <x v="0"/>
    <x v="4"/>
    <n v="500"/>
    <n v="0.93720185266062228"/>
    <n v="533.50300000000004"/>
    <x v="9"/>
    <s v="G12-N-D1"/>
    <s v="PALF"/>
    <s v="Dahan"/>
    <s v="CONGO"/>
    <m/>
    <m/>
    <m/>
  </r>
  <r>
    <d v="2025-11-15T00:00:00"/>
    <s v="Achat boissonavec une  cible"/>
    <x v="11"/>
    <x v="4"/>
    <n v="2000"/>
    <n v="3.6802726345967711"/>
    <n v="543.43799999999999"/>
    <x v="9"/>
    <s v="G12-N-D2"/>
    <s v="PALF"/>
    <s v="Marchig Trust"/>
    <s v="CONGO"/>
    <m/>
    <m/>
    <m/>
  </r>
  <r>
    <d v="2025-11-15T00:00:00"/>
    <s v="Taxi moto: Marché - hotel"/>
    <x v="0"/>
    <x v="4"/>
    <n v="500"/>
    <n v="0.93720185266062228"/>
    <n v="533.50300000000004"/>
    <x v="9"/>
    <s v="G12-N-D1"/>
    <s v="PALF"/>
    <s v="Dahan"/>
    <s v="CONGO"/>
    <m/>
    <m/>
    <m/>
  </r>
  <r>
    <d v="2025-11-16T00:00:00"/>
    <s v="Taxi hotel-bacongo,repérage"/>
    <x v="0"/>
    <x v="4"/>
    <n v="1000"/>
    <n v="1.8744037053212446"/>
    <n v="533.50300000000004"/>
    <x v="6"/>
    <s v="P29-N-D1"/>
    <s v="PALF"/>
    <s v="Dahan"/>
    <s v="CONGO"/>
    <m/>
    <m/>
    <m/>
  </r>
  <r>
    <d v="2025-11-16T00:00:00"/>
    <s v="Taxi bacongo-tsila,repérage"/>
    <x v="0"/>
    <x v="4"/>
    <n v="1500"/>
    <n v="2.8116055579818666"/>
    <n v="533.50300000000004"/>
    <x v="6"/>
    <s v="P29-N-D1"/>
    <s v="PALF"/>
    <s v="Dahan"/>
    <s v="CONGO"/>
    <m/>
    <m/>
    <m/>
  </r>
  <r>
    <d v="2025-11-16T00:00:00"/>
    <s v="Taxi tsila-cv,repérage"/>
    <x v="0"/>
    <x v="4"/>
    <n v="1000"/>
    <n v="1.8744037053212446"/>
    <n v="533.50300000000004"/>
    <x v="6"/>
    <s v="P29-N-D1"/>
    <s v="PALF"/>
    <s v="Dahan"/>
    <s v="CONGO"/>
    <m/>
    <m/>
    <m/>
  </r>
  <r>
    <d v="2025-11-16T00:00:00"/>
    <s v="Taxi cv-la frontière;repérage"/>
    <x v="0"/>
    <x v="4"/>
    <n v="1000"/>
    <n v="1.8744037053212446"/>
    <n v="533.50300000000004"/>
    <x v="6"/>
    <s v="P29-N-D1"/>
    <s v="PALF"/>
    <s v="Dahan"/>
    <s v="CONGO"/>
    <m/>
    <m/>
    <m/>
  </r>
  <r>
    <d v="2025-11-16T00:00:00"/>
    <s v="Taxi la frontière-sab,repérage"/>
    <x v="0"/>
    <x v="4"/>
    <n v="1000"/>
    <n v="1.8744037053212446"/>
    <n v="533.50300000000004"/>
    <x v="6"/>
    <s v="P29-N-D1"/>
    <s v="PALF"/>
    <s v="Dahan"/>
    <s v="CONGO"/>
    <m/>
    <m/>
    <m/>
  </r>
  <r>
    <d v="2025-11-16T00:00:00"/>
    <s v="Taxi sab-hotel"/>
    <x v="0"/>
    <x v="4"/>
    <n v="1000"/>
    <n v="1.8744037053212446"/>
    <n v="533.50300000000004"/>
    <x v="6"/>
    <s v="P29-N-D1"/>
    <s v="PALF"/>
    <s v="Dahan"/>
    <s v="CONGO"/>
    <m/>
    <m/>
    <m/>
  </r>
  <r>
    <d v="2025-11-16T00:00:00"/>
    <s v="T73 - CONGO Frais d'hotel du 14 au 16/11/2025 à Pointe noire(02 Nuitées)"/>
    <x v="3"/>
    <x v="4"/>
    <n v="30000"/>
    <n v="56.232111159637334"/>
    <n v="533.50300000000004"/>
    <x v="7"/>
    <s v="T73-N-R4"/>
    <s v="PALF"/>
    <s v="Dahan"/>
    <s v="CONGO"/>
    <m/>
    <m/>
    <m/>
  </r>
  <r>
    <d v="2025-11-16T00:00:00"/>
    <s v="Taxi : hotel la provenance - siafoumou (départ pour madingou kayes)"/>
    <x v="0"/>
    <x v="4"/>
    <n v="1500"/>
    <n v="2.8116055579818666"/>
    <n v="533.50300000000004"/>
    <x v="7"/>
    <s v="T73-N-D1"/>
    <s v="PALF"/>
    <s v="Dahan"/>
    <s v="CONGO"/>
    <m/>
    <m/>
    <m/>
  </r>
  <r>
    <d v="2025-11-16T00:00:00"/>
    <s v="Achat billet : Pointe - noire - Madingo kayes/T73"/>
    <x v="0"/>
    <x v="4"/>
    <n v="7000"/>
    <n v="13.120825937248712"/>
    <n v="533.50300000000004"/>
    <x v="7"/>
    <s v="T73-N-R5"/>
    <s v="PALF"/>
    <s v="Dahan"/>
    <s v="CONGO"/>
    <m/>
    <m/>
    <m/>
  </r>
  <r>
    <d v="2025-11-16T00:00:00"/>
    <s v="Taxi moto : parking - hotel lewezo ( rencontre avec la cible)"/>
    <x v="0"/>
    <x v="4"/>
    <n v="500"/>
    <n v="0.93720185266062228"/>
    <n v="533.50300000000004"/>
    <x v="7"/>
    <s v="T73-N-D1"/>
    <s v="PALF"/>
    <s v="Dahan"/>
    <s v="CONGO"/>
    <m/>
    <m/>
    <m/>
  </r>
  <r>
    <d v="2025-11-16T00:00:00"/>
    <s v="Taxi moto : hotel - quartier louango ( rencontre avec la cible)"/>
    <x v="0"/>
    <x v="4"/>
    <n v="500"/>
    <n v="0.93720185266062228"/>
    <n v="533.50300000000004"/>
    <x v="7"/>
    <s v="T73-N-D1"/>
    <s v="PALF"/>
    <s v="Dahan"/>
    <s v="CONGO"/>
    <m/>
    <m/>
    <m/>
  </r>
  <r>
    <d v="2025-11-16T00:00:00"/>
    <s v="Taxi moto : quartier louango - domicile de matondo ( rencontre avec la cible)"/>
    <x v="0"/>
    <x v="4"/>
    <n v="500"/>
    <n v="0.93720185266062228"/>
    <n v="533.50300000000004"/>
    <x v="7"/>
    <s v="T73-N-D1"/>
    <s v="PALF"/>
    <s v="Dahan"/>
    <s v="CONGO"/>
    <m/>
    <m/>
    <m/>
  </r>
  <r>
    <d v="2025-11-16T00:00:00"/>
    <s v="Taxi moto : domicile de matondo - marché ( rencontre avec la cible)"/>
    <x v="0"/>
    <x v="4"/>
    <n v="500"/>
    <n v="0.93720185266062228"/>
    <n v="533.50300000000004"/>
    <x v="7"/>
    <s v="T73-N-D1"/>
    <s v="PALF"/>
    <s v="Dahan"/>
    <s v="CONGO"/>
    <m/>
    <m/>
    <m/>
  </r>
  <r>
    <d v="2025-11-16T00:00:00"/>
    <s v="Taxi moto : marché -  hotel (fin de la rencontre)"/>
    <x v="0"/>
    <x v="4"/>
    <n v="500"/>
    <n v="0.93720185266062228"/>
    <n v="533.50300000000004"/>
    <x v="7"/>
    <s v="T73-N-D1"/>
    <s v="PALF"/>
    <s v="Dahan"/>
    <s v="CONGO"/>
    <m/>
    <m/>
    <m/>
  </r>
  <r>
    <d v="2025-11-16T00:00:00"/>
    <s v="achat boissons/deux cible"/>
    <x v="11"/>
    <x v="4"/>
    <n v="5000"/>
    <n v="9.2006815864919282"/>
    <n v="543.43799999999999"/>
    <x v="7"/>
    <s v="T73-N-D2"/>
    <s v="PALF"/>
    <s v="Marchig Trust"/>
    <s v="CONGO"/>
    <m/>
    <m/>
    <m/>
  </r>
  <r>
    <d v="2025-11-16T00:00:00"/>
    <s v="Taxi : Hôtel Mack-Solo - Grand marché/ Rencontrer la cible"/>
    <x v="0"/>
    <x v="4"/>
    <n v="1000"/>
    <n v="1.8744037053212446"/>
    <n v="533.50300000000004"/>
    <x v="8"/>
    <s v="IT87-N-D1"/>
    <s v="PALF"/>
    <s v="Dahan"/>
    <s v="CONGO"/>
    <m/>
    <m/>
    <m/>
  </r>
  <r>
    <d v="2025-11-16T00:00:00"/>
    <s v="Achat boissons et Repas avec la cible"/>
    <x v="11"/>
    <x v="4"/>
    <n v="10000"/>
    <n v="18.401363172983856"/>
    <n v="543.43799999999999"/>
    <x v="8"/>
    <s v="IT87-N-D2"/>
    <s v="PALF"/>
    <s v="Marchig Trust"/>
    <s v="CONGO"/>
    <m/>
    <m/>
    <m/>
  </r>
  <r>
    <d v="2025-11-16T00:00:00"/>
    <s v="Taxi : Grand marché - 4 points cardinaux/ Extraction"/>
    <x v="0"/>
    <x v="4"/>
    <n v="2000"/>
    <n v="3.7488074106424891"/>
    <n v="533.50300000000004"/>
    <x v="8"/>
    <s v="IT87-N-D1"/>
    <s v="PALF"/>
    <s v="Dahan"/>
    <s v="CONGO"/>
    <m/>
    <m/>
    <m/>
  </r>
  <r>
    <d v="2025-11-16T00:00:00"/>
    <s v="Taxi : 4 points cardinaux - Quartier la frontière/ Extraction"/>
    <x v="0"/>
    <x v="4"/>
    <n v="2000"/>
    <n v="3.7488074106424891"/>
    <n v="533.50300000000004"/>
    <x v="8"/>
    <s v="IT87-N-D1"/>
    <s v="PALF"/>
    <s v="Dahan"/>
    <s v="CONGO"/>
    <m/>
    <m/>
    <m/>
  </r>
  <r>
    <d v="2025-11-16T00:00:00"/>
    <s v="Taxi : Quartier la frontière - Hôtel Mack-Solo/ Retour de la rencontre avec la cible"/>
    <x v="0"/>
    <x v="4"/>
    <n v="1000"/>
    <n v="1.8744037053212446"/>
    <n v="533.50300000000004"/>
    <x v="8"/>
    <s v="IT87-N-D1"/>
    <s v="PALF"/>
    <s v="Dahan"/>
    <s v="CONGO"/>
    <m/>
    <m/>
    <m/>
  </r>
  <r>
    <d v="2025-11-16T00:00:00"/>
    <s v="Taxi moto : Hotel - la gare /prospection"/>
    <x v="0"/>
    <x v="4"/>
    <n v="500"/>
    <n v="0.93720185266062228"/>
    <n v="533.50300000000004"/>
    <x v="9"/>
    <s v="G12-N-D1"/>
    <s v="PALF"/>
    <s v="Dahan"/>
    <s v="CONGO"/>
    <m/>
    <m/>
    <m/>
  </r>
  <r>
    <d v="2025-11-16T00:00:00"/>
    <s v="Taxi moto : La gare - l'église catholique/prospection"/>
    <x v="0"/>
    <x v="4"/>
    <n v="500"/>
    <n v="0.93720185266062228"/>
    <n v="533.50300000000004"/>
    <x v="9"/>
    <s v="G12-N-D1"/>
    <s v="PALF"/>
    <s v="Dahan"/>
    <s v="CONGO"/>
    <m/>
    <m/>
    <m/>
  </r>
  <r>
    <d v="2025-11-16T00:00:00"/>
    <s v="Taxi moto: L'église catholique - domicile de la cible"/>
    <x v="0"/>
    <x v="4"/>
    <n v="500"/>
    <n v="0.93720185266062228"/>
    <n v="533.50300000000004"/>
    <x v="9"/>
    <s v="G12-N-D1"/>
    <s v="PALF"/>
    <s v="Dahan"/>
    <s v="CONGO"/>
    <m/>
    <m/>
    <m/>
  </r>
  <r>
    <d v="2025-11-16T00:00:00"/>
    <s v="Taxi moto : Domicile de la cible - le marché / extraction"/>
    <x v="0"/>
    <x v="4"/>
    <n v="500"/>
    <n v="0.93720185266062228"/>
    <n v="533.50300000000004"/>
    <x v="9"/>
    <s v="G12-N-D1"/>
    <s v="PALF"/>
    <s v="Dahan"/>
    <s v="CONGO"/>
    <m/>
    <m/>
    <m/>
  </r>
  <r>
    <d v="2025-11-16T00:00:00"/>
    <s v="Taxi moto : Marché - l'hopital /extraction"/>
    <x v="0"/>
    <x v="4"/>
    <n v="500"/>
    <n v="0.93720185266062228"/>
    <n v="533.50300000000004"/>
    <x v="9"/>
    <s v="G12-N-D1"/>
    <s v="PALF"/>
    <s v="Dahan"/>
    <s v="CONGO"/>
    <m/>
    <m/>
    <m/>
  </r>
  <r>
    <d v="2025-11-16T00:00:00"/>
    <s v="Achat boissonavec une  cible"/>
    <x v="11"/>
    <x v="4"/>
    <n v="2000"/>
    <n v="3.6802726345967711"/>
    <n v="543.43799999999999"/>
    <x v="9"/>
    <s v="G12-N-D2"/>
    <s v="PALF"/>
    <s v="Marchig Trust"/>
    <s v="CONGO"/>
    <m/>
    <m/>
    <m/>
  </r>
  <r>
    <d v="2025-11-16T00:00:00"/>
    <s v="Taxi moto : L' hopital - hotel"/>
    <x v="0"/>
    <x v="4"/>
    <n v="500"/>
    <n v="0.93720185266062228"/>
    <n v="533.50300000000004"/>
    <x v="9"/>
    <s v="G12-N-D1"/>
    <s v="PALF"/>
    <s v="Dahan"/>
    <s v="CONGO"/>
    <m/>
    <m/>
    <m/>
  </r>
  <r>
    <d v="2025-11-17T00:00:00"/>
    <s v="Maison-Cabinet d'huissier"/>
    <x v="0"/>
    <x v="2"/>
    <n v="1000"/>
    <n v="1.8744037053212446"/>
    <n v="533.50300000000004"/>
    <x v="3"/>
    <s v="DH-N-D1"/>
    <s v="PALF"/>
    <s v="Dahan"/>
    <s v="CONGO"/>
    <m/>
    <m/>
    <m/>
  </r>
  <r>
    <d v="2025-11-17T00:00:00"/>
    <s v="Cabinet - Bureau"/>
    <x v="0"/>
    <x v="2"/>
    <n v="1000"/>
    <n v="1.8744037053212446"/>
    <n v="533.50300000000004"/>
    <x v="3"/>
    <s v="DH-N-D1"/>
    <s v="PALF"/>
    <s v="Dahan"/>
    <s v="CONGO"/>
    <m/>
    <m/>
    <m/>
  </r>
  <r>
    <d v="2025-11-17T00:00:00"/>
    <s v="Credit telephonique MTN/PALF/ du 17 au 23 novembre 2025/ DOVI"/>
    <x v="2"/>
    <x v="2"/>
    <n v="12500"/>
    <n v="23.430046316515558"/>
    <n v="533.50300000000004"/>
    <x v="3"/>
    <s v="DH-N-R4"/>
    <s v="PALF"/>
    <s v="Dahan"/>
    <s v="CONGO"/>
    <m/>
    <m/>
    <m/>
  </r>
  <r>
    <d v="2025-11-17T00:00:00"/>
    <s v="Bureau-Maison"/>
    <x v="0"/>
    <x v="2"/>
    <n v="1000"/>
    <n v="1.8744037053212446"/>
    <n v="533.50300000000004"/>
    <x v="3"/>
    <s v="DH-N-D1"/>
    <s v="PALF"/>
    <s v="Dahan"/>
    <s v="CONGO"/>
    <m/>
    <m/>
    <m/>
  </r>
  <r>
    <d v="2025-11-17T00:00:00"/>
    <s v="Credit telephonique MTN PALF/du 17 au 23 novembre 2025/ crepin"/>
    <x v="2"/>
    <x v="1"/>
    <n v="10000"/>
    <n v="18.744037053212445"/>
    <n v="533.50300000000004"/>
    <x v="4"/>
    <s v="CR-N-R5"/>
    <s v="PALF"/>
    <s v="Dahan"/>
    <s v="CONGO"/>
    <m/>
    <m/>
    <m/>
  </r>
  <r>
    <d v="2025-11-17T00:00:00"/>
    <s v="Taxi: Bureau -Banque BCI/ Retrait espece "/>
    <x v="0"/>
    <x v="3"/>
    <n v="1000"/>
    <n v="1.8744037053212446"/>
    <n v="533.50300000000004"/>
    <x v="5"/>
    <s v="P-N-D1"/>
    <s v="PALF"/>
    <s v="Dahan"/>
    <s v="CONGO"/>
    <m/>
    <m/>
    <m/>
  </r>
  <r>
    <d v="2025-11-17T00:00:00"/>
    <s v="Taxi: Banque BCI-Direction MTN/ achat credit telephonique "/>
    <x v="0"/>
    <x v="3"/>
    <n v="500"/>
    <n v="0.93720185266062228"/>
    <n v="533.50300000000004"/>
    <x v="5"/>
    <s v="P-N-D1"/>
    <s v="PALF"/>
    <s v="Dahan"/>
    <s v="CONGO"/>
    <m/>
    <m/>
    <m/>
  </r>
  <r>
    <d v="2025-11-17T00:00:00"/>
    <s v="Taxi:   Direction MTN-Bureau"/>
    <x v="0"/>
    <x v="3"/>
    <n v="1000"/>
    <n v="1.8744037053212446"/>
    <n v="533.50300000000004"/>
    <x v="5"/>
    <s v="P-N-D1"/>
    <s v="PALF"/>
    <s v="Dahan"/>
    <s v="CONGO"/>
    <m/>
    <m/>
    <m/>
  </r>
  <r>
    <d v="2025-11-17T00:00:00"/>
    <s v="Credit teléphonique MTN PALF/ du 17 au 23 novembre 2025/ Parfaite"/>
    <x v="2"/>
    <x v="2"/>
    <n v="7500"/>
    <n v="14.058027789909334"/>
    <n v="533.50300000000004"/>
    <x v="5"/>
    <s v="P-N-R3"/>
    <s v="PALF"/>
    <s v="Dahan"/>
    <s v="CONGO"/>
    <m/>
    <m/>
    <m/>
  </r>
  <r>
    <d v="2025-11-17T00:00:00"/>
    <s v="Frais de tansfert d'argent  a G12, et T73 par momo"/>
    <x v="4"/>
    <x v="3"/>
    <n v="5495"/>
    <n v="10.299848360740238"/>
    <n v="533.50300000000004"/>
    <x v="5"/>
    <s v="CA-N-R12"/>
    <s v="PALF"/>
    <s v="Dahan"/>
    <s v="CONGO"/>
    <m/>
    <m/>
    <m/>
  </r>
  <r>
    <d v="2025-11-17T00:00:00"/>
    <s v="Taxi hotel-aeroport,réperage"/>
    <x v="0"/>
    <x v="4"/>
    <n v="1000"/>
    <n v="1.8744037053212446"/>
    <n v="533.50300000000004"/>
    <x v="6"/>
    <s v="P29-N-D1"/>
    <s v="PALF"/>
    <s v="Dahan"/>
    <s v="CONGO"/>
    <m/>
    <m/>
    <m/>
  </r>
  <r>
    <d v="2025-11-17T00:00:00"/>
    <s v="Taxi aeroport-bacongo,repérage"/>
    <x v="0"/>
    <x v="4"/>
    <n v="1000"/>
    <n v="1.8744037053212446"/>
    <n v="533.50300000000004"/>
    <x v="6"/>
    <s v="P29-N-D1"/>
    <s v="PALF"/>
    <s v="Dahan"/>
    <s v="CONGO"/>
    <m/>
    <m/>
    <m/>
  </r>
  <r>
    <d v="2025-11-17T00:00:00"/>
    <s v="Taxi bacongo-CF,retrait des fonds"/>
    <x v="0"/>
    <x v="4"/>
    <n v="1000"/>
    <n v="1.8744037053212446"/>
    <n v="533.50300000000004"/>
    <x v="6"/>
    <s v="P29-N-D1"/>
    <s v="PALF"/>
    <s v="Dahan"/>
    <s v="CONGO"/>
    <m/>
    <m/>
    <m/>
  </r>
  <r>
    <d v="2025-11-17T00:00:00"/>
    <s v="Taxi cf-hotel"/>
    <x v="0"/>
    <x v="4"/>
    <n v="1000"/>
    <n v="1.8744037053212446"/>
    <n v="533.50300000000004"/>
    <x v="6"/>
    <s v="P29-N-D1"/>
    <s v="PALF"/>
    <s v="Dahan"/>
    <s v="CONGO"/>
    <m/>
    <m/>
    <m/>
  </r>
  <r>
    <d v="2025-11-17T00:00:00"/>
    <s v="Credit telephonique MTN PALF/ du 17 au 23 novembre 2025/ Investigation/P29"/>
    <x v="2"/>
    <x v="4"/>
    <n v="10000"/>
    <n v="18.744037053212445"/>
    <n v="533.50300000000004"/>
    <x v="6"/>
    <s v="P29-N-R4"/>
    <s v="PALF"/>
    <s v="Dahan"/>
    <s v="CONGO"/>
    <m/>
    <m/>
    <m/>
  </r>
  <r>
    <d v="2025-11-17T00:00:00"/>
    <s v="T73 - CONGO Frais d'hotel du 16 au 17/11/2025 à Madingo kayes (01 Nuitée)"/>
    <x v="3"/>
    <x v="4"/>
    <n v="15000"/>
    <n v="28.116055579818667"/>
    <n v="533.50300000000004"/>
    <x v="7"/>
    <s v="T73-N-R6"/>
    <s v="PALF"/>
    <s v="Dahan"/>
    <s v="CONGO"/>
    <m/>
    <m/>
    <m/>
  </r>
  <r>
    <d v="2025-11-17T00:00:00"/>
    <s v="Taxi moto : hotel lewezo - parking (retour sur pointe noire)"/>
    <x v="0"/>
    <x v="4"/>
    <n v="1000"/>
    <n v="1.8744037053212446"/>
    <n v="533.50300000000004"/>
    <x v="7"/>
    <s v="T73-N-D1"/>
    <s v="PALF"/>
    <s v="Dahan"/>
    <s v="CONGO"/>
    <m/>
    <m/>
    <m/>
  </r>
  <r>
    <d v="2025-11-17T00:00:00"/>
    <s v="Achat billet : Madingo kayes - Pointe noire/T73"/>
    <x v="0"/>
    <x v="4"/>
    <n v="7000"/>
    <n v="13.120825937248712"/>
    <n v="533.50300000000004"/>
    <x v="7"/>
    <s v="T73-N-R7"/>
    <s v="PALF"/>
    <s v="Dahan"/>
    <s v="CONGO"/>
    <m/>
    <m/>
    <m/>
  </r>
  <r>
    <d v="2025-11-17T00:00:00"/>
    <s v="Taxi: parking - hotel la provenance de pemba (retour sur pointe noire)"/>
    <x v="0"/>
    <x v="4"/>
    <n v="1000"/>
    <n v="1.8744037053212446"/>
    <n v="533.50300000000004"/>
    <x v="7"/>
    <s v="T73-N-D1"/>
    <s v="PALF"/>
    <s v="Dahan"/>
    <s v="CONGO"/>
    <m/>
    <m/>
    <m/>
  </r>
  <r>
    <d v="2025-11-17T00:00:00"/>
    <s v="Taxi: hotel la provenance de pemba - marché fond de tie tie (prospection à pointe noire)"/>
    <x v="0"/>
    <x v="4"/>
    <n v="1000"/>
    <n v="1.8744037053212446"/>
    <n v="533.50300000000004"/>
    <x v="7"/>
    <s v="T73-N-D1"/>
    <s v="PALF"/>
    <s v="Dahan"/>
    <s v="CONGO"/>
    <m/>
    <m/>
    <m/>
  </r>
  <r>
    <d v="2025-11-17T00:00:00"/>
    <s v="Taxi: marché fond de tie tie - hopital de base (prospection à pointe noire)"/>
    <x v="0"/>
    <x v="4"/>
    <n v="1000"/>
    <n v="1.8744037053212446"/>
    <n v="533.50300000000004"/>
    <x v="7"/>
    <s v="T73-N-D1"/>
    <s v="PALF"/>
    <s v="Dahan"/>
    <s v="CONGO"/>
    <m/>
    <m/>
    <m/>
  </r>
  <r>
    <d v="2025-11-17T00:00:00"/>
    <s v="Taxi: hopital de base - quartier bord bord (prospection à pointe noire)"/>
    <x v="0"/>
    <x v="4"/>
    <n v="1000"/>
    <n v="1.8744037053212446"/>
    <n v="533.50300000000004"/>
    <x v="7"/>
    <s v="T73-N-D1"/>
    <s v="PALF"/>
    <s v="Dahan"/>
    <s v="CONGO"/>
    <m/>
    <m/>
    <m/>
  </r>
  <r>
    <d v="2025-11-17T00:00:00"/>
    <s v="Taxi: quartier bord bord - sympathique (prospection à pointe noire)"/>
    <x v="0"/>
    <x v="4"/>
    <n v="1500"/>
    <n v="2.8116055579818666"/>
    <n v="533.50300000000004"/>
    <x v="7"/>
    <s v="T73-N-D1"/>
    <s v="PALF"/>
    <s v="Dahan"/>
    <s v="CONGO"/>
    <m/>
    <m/>
    <m/>
  </r>
  <r>
    <d v="2025-11-17T00:00:00"/>
    <s v="Taxi: sympathique - hotel (fin de journeé)"/>
    <x v="0"/>
    <x v="4"/>
    <n v="1500"/>
    <n v="2.8116055579818666"/>
    <n v="533.50300000000004"/>
    <x v="7"/>
    <s v="T73-N-D1"/>
    <s v="PALF"/>
    <s v="Dahan"/>
    <s v="CONGO"/>
    <m/>
    <m/>
    <m/>
  </r>
  <r>
    <d v="2025-11-17T00:00:00"/>
    <s v="Achat boisson/une cible"/>
    <x v="11"/>
    <x v="4"/>
    <n v="2000"/>
    <n v="3.6802726345967711"/>
    <n v="543.43799999999999"/>
    <x v="7"/>
    <s v="T73-N-D2"/>
    <s v="PALF"/>
    <s v="Marchig Trust"/>
    <s v="CONGO"/>
    <m/>
    <m/>
    <m/>
  </r>
  <r>
    <d v="2025-11-17T00:00:00"/>
    <s v="Credit telephonique MTN PALF/ du 17 au 23 novembre 2025/ Investigation/T73"/>
    <x v="2"/>
    <x v="4"/>
    <n v="10000"/>
    <n v="18.744037053212445"/>
    <n v="533.50300000000004"/>
    <x v="7"/>
    <s v="T73-N-R8"/>
    <s v="PALF"/>
    <s v="Dahan"/>
    <s v="CONGO"/>
    <m/>
    <m/>
    <m/>
  </r>
  <r>
    <d v="2025-11-17T00:00:00"/>
    <s v="Taxi : Hôtel Mack-Solo - Charden Farel/ Retrait du budget"/>
    <x v="0"/>
    <x v="4"/>
    <n v="1000"/>
    <n v="1.8744037053212446"/>
    <n v="533.50300000000004"/>
    <x v="8"/>
    <s v="IT87-N-D1"/>
    <s v="PALF"/>
    <s v="Dahan"/>
    <s v="CONGO"/>
    <m/>
    <m/>
    <m/>
  </r>
  <r>
    <d v="2025-11-17T00:00:00"/>
    <s v="Taxi : Charden Farel - Hôtel Mack-Solo/ Retour du retrait d'argent"/>
    <x v="0"/>
    <x v="4"/>
    <n v="1000"/>
    <n v="1.8744037053212446"/>
    <n v="533.50300000000004"/>
    <x v="8"/>
    <s v="IT87-N-D1"/>
    <s v="PALF"/>
    <s v="Dahan"/>
    <s v="CONGO"/>
    <m/>
    <m/>
    <m/>
  </r>
  <r>
    <d v="2025-11-17T00:00:00"/>
    <s v="Credit telephonique MTN PALF/du 17 au 23 novembre 2025/IT87"/>
    <x v="2"/>
    <x v="4"/>
    <n v="10000"/>
    <n v="18.744037053212445"/>
    <n v="533.50300000000004"/>
    <x v="8"/>
    <s v="IT87-N-R4"/>
    <s v="PALF"/>
    <s v="Dahan"/>
    <s v="CONGO"/>
    <m/>
    <m/>
    <m/>
  </r>
  <r>
    <d v="2025-11-17T00:00:00"/>
    <s v="Taxi moto : Hotel - pazapa /prospection"/>
    <x v="0"/>
    <x v="4"/>
    <n v="500"/>
    <n v="0.93720185266062228"/>
    <n v="533.50300000000004"/>
    <x v="9"/>
    <s v="G12-N-D1"/>
    <s v="PALF"/>
    <s v="Dahan"/>
    <s v="CONGO"/>
    <m/>
    <m/>
    <m/>
  </r>
  <r>
    <d v="2025-11-17T00:00:00"/>
    <s v="Taxi moto : Pazapa - hotel "/>
    <x v="0"/>
    <x v="4"/>
    <n v="500"/>
    <n v="0.93720185266062228"/>
    <n v="533.50300000000004"/>
    <x v="9"/>
    <s v="G12-N-D1"/>
    <s v="PALF"/>
    <s v="Dahan"/>
    <s v="CONGO"/>
    <m/>
    <m/>
    <m/>
  </r>
  <r>
    <d v="2025-11-17T00:00:00"/>
    <s v="Taxi moto : Hotel -l'église protestante/ prospection "/>
    <x v="0"/>
    <x v="4"/>
    <n v="500"/>
    <n v="0.93720185266062228"/>
    <n v="533.50300000000004"/>
    <x v="9"/>
    <s v="G12-N-D1"/>
    <s v="PALF"/>
    <s v="Dahan"/>
    <s v="CONGO"/>
    <m/>
    <m/>
    <m/>
  </r>
  <r>
    <d v="2025-11-17T00:00:00"/>
    <s v="Achat boissonavec une  cible"/>
    <x v="11"/>
    <x v="4"/>
    <n v="2000"/>
    <n v="3.6802726345967711"/>
    <n v="543.43799999999999"/>
    <x v="9"/>
    <s v="G12-N-D2"/>
    <s v="PALF"/>
    <s v="Marchig Trust"/>
    <s v="CONGO"/>
    <m/>
    <m/>
    <m/>
  </r>
  <r>
    <d v="2025-11-17T00:00:00"/>
    <s v="Taxi moto : L'église protestante - hotel"/>
    <x v="0"/>
    <x v="4"/>
    <n v="500"/>
    <n v="0.93720185266062228"/>
    <n v="533.50300000000004"/>
    <x v="9"/>
    <s v="G12-N-D1"/>
    <s v="PALF"/>
    <s v="Dahan"/>
    <s v="CONGO"/>
    <m/>
    <m/>
    <m/>
  </r>
  <r>
    <d v="2025-11-17T00:00:00"/>
    <s v="Credit telephonique MTN PALF/du  17 au 23 novembre 2025/G12"/>
    <x v="2"/>
    <x v="4"/>
    <n v="10000"/>
    <n v="18.744037053212445"/>
    <n v="533.50300000000004"/>
    <x v="9"/>
    <s v="G12-N-R6"/>
    <s v="PALF"/>
    <s v="Dahan"/>
    <s v="CONGO"/>
    <m/>
    <m/>
    <m/>
  </r>
  <r>
    <d v="2025-11-17T00:00:00"/>
    <s v="Taxi: Bureau-Charden Farell/Transfert de fonds"/>
    <x v="0"/>
    <x v="1"/>
    <n v="500"/>
    <n v="0.93720185266062228"/>
    <n v="533.50300000000004"/>
    <x v="10"/>
    <s v="AB-N-D1"/>
    <s v="PALF"/>
    <s v="Dahan"/>
    <s v="CONGO"/>
    <m/>
    <m/>
    <m/>
  </r>
  <r>
    <d v="2025-11-17T00:00:00"/>
    <s v="Taxi: Charden Farel-Bureau"/>
    <x v="0"/>
    <x v="1"/>
    <n v="500"/>
    <n v="0.93720185266062228"/>
    <n v="533.50300000000004"/>
    <x v="10"/>
    <s v="AB-N-D1"/>
    <s v="PALF"/>
    <s v="Dahan"/>
    <s v="CONGO"/>
    <m/>
    <m/>
    <m/>
  </r>
  <r>
    <d v="2025-11-17T00:00:00"/>
    <s v="Credit telephonique MTN PALF/ du 17 au 23 novembre 2025/Abraham"/>
    <x v="2"/>
    <x v="1"/>
    <n v="7500"/>
    <n v="14.058027789909334"/>
    <n v="533.50300000000004"/>
    <x v="10"/>
    <s v="AB-N-R6"/>
    <s v="PALF"/>
    <s v="Dahan"/>
    <s v="CONGO"/>
    <m/>
    <m/>
    <m/>
  </r>
  <r>
    <d v="2025-11-17T00:00:00"/>
    <s v="Frais de tansfert d'argent  a P29, et IT87 par Charden farell"/>
    <x v="4"/>
    <x v="3"/>
    <n v="3000"/>
    <n v="5.6232111159637332"/>
    <n v="533.50300000000004"/>
    <x v="10"/>
    <s v="CA-N-R11"/>
    <s v="PALF"/>
    <s v="Dahan"/>
    <s v="CONGO"/>
    <m/>
    <m/>
    <m/>
  </r>
  <r>
    <d v="2025-11-17T00:00:00"/>
    <s v="Credit telephonique MTN PALF/du 17 au 23 novembre 2025/Roderlin"/>
    <x v="2"/>
    <x v="1"/>
    <n v="7500"/>
    <n v="14.058027789909334"/>
    <n v="533.50300000000004"/>
    <x v="1"/>
    <s v="RO-N-R5"/>
    <s v="PALF"/>
    <s v="Dahan"/>
    <s v="CONGO"/>
    <m/>
    <m/>
    <m/>
  </r>
  <r>
    <d v="2025-11-17T00:00:00"/>
    <s v="Credit telephonique MTN PALF/ du 17 au 23 novembre 2025/Donald-Roméo"/>
    <x v="2"/>
    <x v="1"/>
    <n v="10000"/>
    <n v="18.744037053212445"/>
    <n v="533.50300000000004"/>
    <x v="11"/>
    <s v="DR-N-R3"/>
    <s v="PALF"/>
    <s v="Dahan"/>
    <s v="CONGO"/>
    <m/>
    <m/>
    <m/>
  </r>
  <r>
    <d v="2025-11-17T00:00:00"/>
    <s v="Taxi, Bureau PALF-Agence Congolaise d'Information"/>
    <x v="0"/>
    <x v="0"/>
    <n v="1000"/>
    <n v="1.8744037053212446"/>
    <n v="533.50300000000004"/>
    <x v="0"/>
    <s v="EV-N-D1"/>
    <s v="PALF"/>
    <s v="Dahan"/>
    <s v="CONGO"/>
    <m/>
    <m/>
    <m/>
  </r>
  <r>
    <d v="2025-11-17T00:00:00"/>
    <s v="Taxi, Agence Congolaise d'Information-Horizon Africain"/>
    <x v="0"/>
    <x v="0"/>
    <n v="1000"/>
    <n v="1.8744037053212446"/>
    <n v="533.50300000000004"/>
    <x v="0"/>
    <s v="EV-N-D1"/>
    <s v="PALF"/>
    <s v="Dahan"/>
    <s v="CONGO"/>
    <m/>
    <m/>
    <m/>
  </r>
  <r>
    <d v="2025-11-17T00:00:00"/>
    <s v="Taxi, Horizon Africain-Les Dépêches de Brazzaville"/>
    <x v="0"/>
    <x v="0"/>
    <n v="1000"/>
    <n v="1.8744037053212446"/>
    <n v="533.50300000000004"/>
    <x v="0"/>
    <s v="EV-N-D1"/>
    <s v="PALF"/>
    <s v="Dahan"/>
    <s v="CONGO"/>
    <m/>
    <m/>
    <m/>
  </r>
  <r>
    <d v="2025-11-17T00:00:00"/>
    <s v="Taxi, les dépêches de Brazzaville-matinlibre.cg"/>
    <x v="0"/>
    <x v="0"/>
    <n v="1000"/>
    <n v="1.8744037053212446"/>
    <n v="533.50300000000004"/>
    <x v="0"/>
    <s v="EV-N-D1"/>
    <s v="PALF"/>
    <s v="Dahan"/>
    <s v="CONGO"/>
    <m/>
    <m/>
    <m/>
  </r>
  <r>
    <d v="2025-11-17T00:00:00"/>
    <s v="Taxi, matinlibre.cg-lesechoscongobrazza.com"/>
    <x v="0"/>
    <x v="0"/>
    <n v="1000"/>
    <n v="1.8744037053212446"/>
    <n v="533.50300000000004"/>
    <x v="0"/>
    <s v="EV-N-D1"/>
    <s v="PALF"/>
    <s v="Dahan"/>
    <s v="CONGO"/>
    <m/>
    <m/>
    <m/>
  </r>
  <r>
    <d v="2025-11-17T00:00:00"/>
    <s v="Taxi, lesechoscongobrazza.com-panoramik-actu.com"/>
    <x v="0"/>
    <x v="0"/>
    <n v="1000"/>
    <n v="1.8744037053212446"/>
    <n v="533.50300000000004"/>
    <x v="0"/>
    <s v="EV-N-D1"/>
    <s v="PALF"/>
    <s v="Dahan"/>
    <s v="CONGO"/>
    <m/>
    <m/>
    <m/>
  </r>
  <r>
    <d v="2025-11-17T00:00:00"/>
    <s v="Taxi, panoramik-actu.com-Radio Liberté"/>
    <x v="0"/>
    <x v="0"/>
    <n v="1000"/>
    <n v="1.8744037053212446"/>
    <n v="533.50300000000004"/>
    <x v="0"/>
    <s v="EV-N-D1"/>
    <s v="PALF"/>
    <s v="Dahan"/>
    <s v="CONGO"/>
    <m/>
    <m/>
    <m/>
  </r>
  <r>
    <d v="2025-11-17T00:00:00"/>
    <s v="Credit telephonique MTN PALF/du 17  au 23 Novembre 2025/ Evariste"/>
    <x v="2"/>
    <x v="0"/>
    <n v="10000"/>
    <n v="18.744037053212445"/>
    <n v="533.50300000000004"/>
    <x v="0"/>
    <s v="EV-N-R3"/>
    <s v="PALF"/>
    <s v="Dahan"/>
    <s v="CONGO"/>
    <m/>
    <m/>
    <m/>
  </r>
  <r>
    <d v="2025-11-17T00:00:00"/>
    <s v="Taxi: Bureau-Rond point MAZALA(pour aller rencontrer maitre Hélène)"/>
    <x v="0"/>
    <x v="1"/>
    <n v="1000"/>
    <n v="1.8744037053212446"/>
    <n v="533.50300000000004"/>
    <x v="12"/>
    <s v="RM-N-D1"/>
    <s v="PALF"/>
    <s v="Dahan"/>
    <s v="CONGO"/>
    <m/>
    <m/>
    <m/>
  </r>
  <r>
    <d v="2025-11-17T00:00:00"/>
    <s v="Taxi: Rond point MAZALA- DGEF"/>
    <x v="0"/>
    <x v="1"/>
    <n v="1500"/>
    <n v="2.8116055579818666"/>
    <n v="533.50300000000004"/>
    <x v="12"/>
    <s v="RM-N-D1"/>
    <s v="PALF"/>
    <s v="Dahan"/>
    <s v="CONGO"/>
    <m/>
    <m/>
    <m/>
  </r>
  <r>
    <d v="2025-11-17T00:00:00"/>
    <s v="Taxi: DGEF-Bureau"/>
    <x v="0"/>
    <x v="1"/>
    <n v="1000"/>
    <n v="1.8744037053212446"/>
    <n v="533.50300000000004"/>
    <x v="12"/>
    <s v="RM-N-D1"/>
    <s v="PALF"/>
    <s v="Dahan"/>
    <s v="CONGO"/>
    <m/>
    <m/>
    <m/>
  </r>
  <r>
    <d v="2025-11-17T00:00:00"/>
    <s v="Credit telephonique MTN PALF/du 17 au 23 novembre 2025/Romain"/>
    <x v="2"/>
    <x v="1"/>
    <n v="7500"/>
    <n v="14.058027789909334"/>
    <n v="533.50300000000004"/>
    <x v="12"/>
    <s v="RM-N-R6"/>
    <s v="PALF"/>
    <s v="Dahan"/>
    <s v="CONGO"/>
    <m/>
    <m/>
    <m/>
  </r>
  <r>
    <d v="2025-11-18T00:00:00"/>
    <s v="Maison-Bureau"/>
    <x v="0"/>
    <x v="2"/>
    <n v="1000"/>
    <n v="1.8744037053212446"/>
    <n v="533.50300000000004"/>
    <x v="3"/>
    <s v="DH-N-D1"/>
    <s v="PALF"/>
    <s v="Dahan"/>
    <s v="CONGO"/>
    <m/>
    <m/>
    <m/>
  </r>
  <r>
    <d v="2025-11-18T00:00:00"/>
    <s v="Bureau - Aspinall"/>
    <x v="0"/>
    <x v="2"/>
    <n v="1000"/>
    <n v="1.8744037053212446"/>
    <n v="533.50300000000004"/>
    <x v="3"/>
    <s v="DH-N-D1"/>
    <s v="PALF"/>
    <s v="Dahan"/>
    <s v="CONGO"/>
    <m/>
    <m/>
    <m/>
  </r>
  <r>
    <d v="2025-11-18T00:00:00"/>
    <s v="Aspinall - Bureau"/>
    <x v="0"/>
    <x v="2"/>
    <n v="1000"/>
    <n v="1.8744037053212446"/>
    <n v="533.50300000000004"/>
    <x v="3"/>
    <s v="DH-N-D1"/>
    <s v="PALF"/>
    <s v="Dahan"/>
    <s v="CONGO"/>
    <m/>
    <m/>
    <m/>
  </r>
  <r>
    <d v="2025-11-18T00:00:00"/>
    <s v="Bureau-Maison"/>
    <x v="0"/>
    <x v="2"/>
    <n v="1000"/>
    <n v="1.8744037053212446"/>
    <n v="533.50300000000004"/>
    <x v="3"/>
    <s v="DH-N-D1"/>
    <s v="PALF"/>
    <s v="Dahan"/>
    <s v="CONGO"/>
    <m/>
    <m/>
    <m/>
  </r>
  <r>
    <d v="2025-11-18T00:00:00"/>
    <s v="Frais de notification affaire de merveille/ Maître OKEMBA NGABOMBA"/>
    <x v="1"/>
    <x v="1"/>
    <n v="115000"/>
    <n v="215.55642611194313"/>
    <n v="533.50300000000004"/>
    <x v="5"/>
    <s v="CA-N-R17"/>
    <s v="PALF"/>
    <s v="Dahan"/>
    <s v="CONGO"/>
    <m/>
    <m/>
    <m/>
  </r>
  <r>
    <d v="2025-11-18T00:00:00"/>
    <s v="Taxi: Bureau -Banque BCI/ Retrait espece "/>
    <x v="0"/>
    <x v="3"/>
    <n v="1000"/>
    <n v="1.8744037053212446"/>
    <n v="533.50300000000004"/>
    <x v="5"/>
    <s v="P-N-D1"/>
    <s v="PALF"/>
    <s v="Dahan"/>
    <s v="CONGO"/>
    <m/>
    <m/>
    <m/>
  </r>
  <r>
    <d v="2025-11-18T00:00:00"/>
    <s v="Taxi: Banque BCI-Bureau"/>
    <x v="0"/>
    <x v="3"/>
    <n v="1000"/>
    <n v="1.8744037053212446"/>
    <n v="533.50300000000004"/>
    <x v="5"/>
    <s v="P-N-D1"/>
    <s v="PALF"/>
    <s v="Dahan"/>
    <s v="CONGO"/>
    <m/>
    <m/>
    <m/>
  </r>
  <r>
    <d v="2025-11-18T00:00:00"/>
    <s v="Taxi:  Bureau- Cabinet d'avocat/Depot  du chèque du mois d'octobre 2025 Me LOCKO"/>
    <x v="0"/>
    <x v="3"/>
    <n v="1000"/>
    <n v="1.8744037053212446"/>
    <n v="533.50300000000004"/>
    <x v="5"/>
    <s v="P-N-D1"/>
    <s v="PALF"/>
    <s v="Dahan"/>
    <s v="CONGO"/>
    <m/>
    <m/>
    <m/>
  </r>
  <r>
    <d v="2025-11-18T00:00:00"/>
    <s v="Taxi:  Cabinet d'Avocat - Domicile"/>
    <x v="0"/>
    <x v="3"/>
    <n v="1000"/>
    <n v="1.8744037053212446"/>
    <n v="533.50300000000004"/>
    <x v="5"/>
    <s v="P-N-D1"/>
    <s v="PALF"/>
    <s v="Dahan"/>
    <s v="CONGO"/>
    <m/>
    <m/>
    <m/>
  </r>
  <r>
    <d v="2025-11-18T00:00:00"/>
    <s v="Taxi hotel-sab,repérage"/>
    <x v="0"/>
    <x v="4"/>
    <n v="1000"/>
    <n v="1.8744037053212446"/>
    <n v="533.50300000000004"/>
    <x v="6"/>
    <s v="P29-N-D1"/>
    <s v="PALF"/>
    <s v="Dahan"/>
    <s v="CONGO"/>
    <m/>
    <m/>
    <m/>
  </r>
  <r>
    <d v="2025-11-18T00:00:00"/>
    <s v="Taxi sab-fatima,repérage"/>
    <x v="0"/>
    <x v="4"/>
    <n v="1000"/>
    <n v="1.8744037053212446"/>
    <n v="533.50300000000004"/>
    <x v="6"/>
    <s v="P29-N-D1"/>
    <s v="PALF"/>
    <s v="Dahan"/>
    <s v="CONGO"/>
    <m/>
    <m/>
    <m/>
  </r>
  <r>
    <d v="2025-11-18T00:00:00"/>
    <s v="Taxi fatima-belolo,repérage"/>
    <x v="0"/>
    <x v="4"/>
    <n v="1000"/>
    <n v="1.8744037053212446"/>
    <n v="533.50300000000004"/>
    <x v="6"/>
    <s v="P29-N-D1"/>
    <s v="PALF"/>
    <s v="Dahan"/>
    <s v="CONGO"/>
    <m/>
    <m/>
    <m/>
  </r>
  <r>
    <d v="2025-11-18T00:00:00"/>
    <s v="Taxi belolo-tahiti,repérage"/>
    <x v="0"/>
    <x v="4"/>
    <n v="1000"/>
    <n v="1.8744037053212446"/>
    <n v="533.50300000000004"/>
    <x v="6"/>
    <s v="P29-N-D1"/>
    <s v="PALF"/>
    <s v="Dahan"/>
    <s v="CONGO"/>
    <m/>
    <m/>
    <m/>
  </r>
  <r>
    <d v="2025-11-18T00:00:00"/>
    <s v="Taxi tahiti-hotel"/>
    <x v="0"/>
    <x v="4"/>
    <n v="1000"/>
    <n v="1.8744037053212446"/>
    <n v="533.50300000000004"/>
    <x v="6"/>
    <s v="P29-N-D1"/>
    <s v="PALF"/>
    <s v="Dahan"/>
    <s v="CONGO"/>
    <m/>
    <m/>
    <m/>
  </r>
  <r>
    <d v="2025-11-18T00:00:00"/>
    <s v="T73 - CONGO Frais d'hotel du 17 au 18/11/2025 à Pointe noire (01 Nuitée)"/>
    <x v="3"/>
    <x v="4"/>
    <n v="15000"/>
    <n v="28.116055579818667"/>
    <n v="533.50300000000004"/>
    <x v="7"/>
    <s v="T73-N-R9"/>
    <s v="PALF"/>
    <s v="Dahan"/>
    <s v="CONGO"/>
    <m/>
    <m/>
    <m/>
  </r>
  <r>
    <d v="2025-11-18T00:00:00"/>
    <s v="taxi : hotel - agence trans bony ( départ pour Brazzaville)"/>
    <x v="0"/>
    <x v="4"/>
    <n v="1000"/>
    <n v="1.8744037053212446"/>
    <n v="533.50300000000004"/>
    <x v="7"/>
    <s v="T73-N-D1"/>
    <s v="PALF"/>
    <s v="Dahan"/>
    <s v="CONGO"/>
    <m/>
    <m/>
    <m/>
  </r>
  <r>
    <d v="2025-11-18T00:00:00"/>
    <s v="taxi : agence trans bony- océan du nord ( départ pour Brazzaville)"/>
    <x v="0"/>
    <x v="4"/>
    <n v="1000"/>
    <n v="1.8744037053212446"/>
    <n v="533.50300000000004"/>
    <x v="7"/>
    <s v="T73-N-D1"/>
    <s v="PALF"/>
    <s v="Dahan"/>
    <s v="CONGO"/>
    <m/>
    <m/>
    <m/>
  </r>
  <r>
    <d v="2025-11-18T00:00:00"/>
    <s v="taxi : océan du nord - parking thystere (départ pour Brazzaville)"/>
    <x v="0"/>
    <x v="4"/>
    <n v="2500"/>
    <n v="4.6860092633031112"/>
    <n v="533.50300000000004"/>
    <x v="7"/>
    <s v="T73-N-D1"/>
    <s v="PALF"/>
    <s v="Dahan"/>
    <s v="CONGO"/>
    <m/>
    <m/>
    <m/>
  </r>
  <r>
    <d v="2025-11-18T00:00:00"/>
    <s v="taxi : parking plateau - domicile (arrivé sur Brazzaville)"/>
    <x v="0"/>
    <x v="4"/>
    <n v="1000"/>
    <n v="1.8744037053212446"/>
    <n v="533.50300000000004"/>
    <x v="7"/>
    <s v="T73-N-D1"/>
    <s v="PALF"/>
    <s v="Dahan"/>
    <s v="CONGO"/>
    <m/>
    <m/>
    <m/>
  </r>
  <r>
    <d v="2025-11-18T00:00:00"/>
    <s v="Achat billet: Pointe - Brazzaville/T73"/>
    <x v="0"/>
    <x v="4"/>
    <n v="12000"/>
    <n v="22.492844463854933"/>
    <n v="533.50300000000004"/>
    <x v="7"/>
    <s v="T73-N-R10"/>
    <s v="PALF"/>
    <s v="Dahan"/>
    <s v="CONGO"/>
    <m/>
    <m/>
    <m/>
  </r>
  <r>
    <d v="2025-11-18T00:00:00"/>
    <s v="G12-CONGO Frais d'hotel du 15 au 18 /11/2025 à Pokola (03 Nuitées)"/>
    <x v="3"/>
    <x v="4"/>
    <n v="45000"/>
    <n v="84.348166739456005"/>
    <n v="533.50300000000004"/>
    <x v="9"/>
    <s v="G12-N-R7"/>
    <s v="PALF"/>
    <s v="Dahan"/>
    <s v="CONGO"/>
    <m/>
    <m/>
    <m/>
  </r>
  <r>
    <d v="2025-11-18T00:00:00"/>
    <s v="Taxi moto : Hotel - gare routière , depart pour Ouesso"/>
    <x v="0"/>
    <x v="4"/>
    <n v="500"/>
    <n v="0.93720185266062228"/>
    <n v="533.50300000000004"/>
    <x v="9"/>
    <s v="G12-N-D1"/>
    <s v="PALF"/>
    <s v="Dahan"/>
    <s v="CONGO"/>
    <m/>
    <m/>
    <m/>
  </r>
  <r>
    <d v="2025-11-18T00:00:00"/>
    <s v="Achat billet Pokola - Ouesso/G12"/>
    <x v="0"/>
    <x v="4"/>
    <n v="5000"/>
    <n v="9.3720185266062224"/>
    <n v="533.50300000000004"/>
    <x v="9"/>
    <s v="G12-N-R8"/>
    <s v="PALF"/>
    <s v="Dahan"/>
    <s v="CONGO"/>
    <m/>
    <m/>
    <m/>
  </r>
  <r>
    <d v="2025-11-18T00:00:00"/>
    <s v="Taxi : Gare routière - agence océan du nord  achat billet"/>
    <x v="0"/>
    <x v="4"/>
    <n v="500"/>
    <n v="0.93720185266062228"/>
    <n v="533.50300000000004"/>
    <x v="9"/>
    <s v="G12-N-D1"/>
    <s v="PALF"/>
    <s v="Dahan"/>
    <s v="CONGO"/>
    <m/>
    <m/>
    <m/>
  </r>
  <r>
    <d v="2025-11-18T00:00:00"/>
    <s v="Taxi : Agence - hotel"/>
    <x v="0"/>
    <x v="4"/>
    <n v="500"/>
    <n v="0.93720185266062228"/>
    <n v="533.50300000000004"/>
    <x v="9"/>
    <s v="G12-N-D1"/>
    <s v="PALF"/>
    <s v="Dahan"/>
    <s v="CONGO"/>
    <m/>
    <m/>
    <m/>
  </r>
  <r>
    <d v="2025-11-18T00:00:00"/>
    <s v="Taxi : Hotel - libonga / prospection"/>
    <x v="0"/>
    <x v="4"/>
    <n v="500"/>
    <n v="0.93720185266062228"/>
    <n v="533.50300000000004"/>
    <x v="9"/>
    <s v="G12-N-D1"/>
    <s v="PALF"/>
    <s v="Dahan"/>
    <s v="CONGO"/>
    <m/>
    <m/>
    <m/>
  </r>
  <r>
    <d v="2025-11-18T00:00:00"/>
    <s v="Achat boissonavec une  cible"/>
    <x v="11"/>
    <x v="4"/>
    <n v="1500"/>
    <n v="2.7602044759475781"/>
    <n v="543.43799999999999"/>
    <x v="9"/>
    <s v="G12-N-D2"/>
    <s v="PALF"/>
    <s v="Marchig Trust"/>
    <s v="CONGO"/>
    <m/>
    <m/>
    <m/>
  </r>
  <r>
    <d v="2025-11-18T00:00:00"/>
    <s v="Taxi : Libonga - hotel"/>
    <x v="0"/>
    <x v="4"/>
    <n v="500"/>
    <n v="0.93720185266062228"/>
    <n v="533.50300000000004"/>
    <x v="9"/>
    <s v="G12-N-D1"/>
    <s v="PALF"/>
    <s v="Dahan"/>
    <s v="CONGO"/>
    <m/>
    <m/>
    <m/>
  </r>
  <r>
    <d v="2025-11-18T00:00:00"/>
    <s v="Achat carburant groupe electrogène Bureau "/>
    <x v="5"/>
    <x v="3"/>
    <n v="31250"/>
    <n v="58.575115791288894"/>
    <n v="533.50300000000004"/>
    <x v="10"/>
    <s v="CA-N-R14"/>
    <s v="PALF"/>
    <s v="Dahan"/>
    <s v="CONGO"/>
    <m/>
    <m/>
    <m/>
  </r>
  <r>
    <d v="2025-11-18T00:00:00"/>
    <s v="Taxi: Bureau-Station Total Energies Loutassi/Achat carburant"/>
    <x v="0"/>
    <x v="1"/>
    <n v="2000"/>
    <n v="3.7488074106424891"/>
    <n v="533.50300000000004"/>
    <x v="10"/>
    <s v="AB-N-D1"/>
    <s v="PALF"/>
    <s v="Dahan"/>
    <s v="CONGO"/>
    <m/>
    <m/>
    <m/>
  </r>
  <r>
    <d v="2025-11-18T00:00:00"/>
    <s v="Taxi: Bureau-Charden Farell/Transfert de fonds"/>
    <x v="0"/>
    <x v="1"/>
    <n v="2000"/>
    <n v="3.7488074106424891"/>
    <n v="533.50300000000004"/>
    <x v="10"/>
    <s v="AB-N-D1"/>
    <s v="PALF"/>
    <s v="Dahan"/>
    <s v="CONGO"/>
    <m/>
    <m/>
    <m/>
  </r>
  <r>
    <d v="2025-11-18T00:00:00"/>
    <s v="Taxi, Bureau PALF-groupecongomedias.com"/>
    <x v="0"/>
    <x v="0"/>
    <n v="1000"/>
    <n v="1.8744037053212446"/>
    <n v="533.50300000000004"/>
    <x v="0"/>
    <s v="EV-N-D1"/>
    <s v="PALF"/>
    <s v="Dahan"/>
    <s v="CONGO"/>
    <m/>
    <m/>
    <m/>
  </r>
  <r>
    <d v="2025-11-18T00:00:00"/>
    <s v="Taxi, groupecongomedias.com-opion publique"/>
    <x v="0"/>
    <x v="0"/>
    <n v="1000"/>
    <n v="1.8744037053212446"/>
    <n v="533.50300000000004"/>
    <x v="0"/>
    <s v="EV-N-D1"/>
    <s v="PALF"/>
    <s v="Dahan"/>
    <s v="CONGO"/>
    <m/>
    <m/>
    <m/>
  </r>
  <r>
    <d v="2025-11-18T00:00:00"/>
    <s v="Taxi, opinion publique-labreveoneline.com"/>
    <x v="0"/>
    <x v="0"/>
    <n v="1000"/>
    <n v="1.8744037053212446"/>
    <n v="533.50300000000004"/>
    <x v="0"/>
    <s v="EV-N-D1"/>
    <s v="PALF"/>
    <s v="Dahan"/>
    <s v="CONGO"/>
    <m/>
    <m/>
    <m/>
  </r>
  <r>
    <d v="2025-11-18T00:00:00"/>
    <s v="Taxi, labreveoneline.com-Bureau PALF"/>
    <x v="0"/>
    <x v="0"/>
    <n v="1000"/>
    <n v="1.8744037053212446"/>
    <n v="533.50300000000004"/>
    <x v="0"/>
    <s v="EV-N-D1"/>
    <s v="PALF"/>
    <s v="Dahan"/>
    <s v="CONGO"/>
    <m/>
    <m/>
    <m/>
  </r>
  <r>
    <d v="2025-11-18T00:00:00"/>
    <s v="Achat eau mineral 10 LITRES/Bureau"/>
    <x v="5"/>
    <x v="3"/>
    <n v="25000"/>
    <n v="46.860092633031115"/>
    <n v="533.50300000000004"/>
    <x v="12"/>
    <s v="CA-N-R13"/>
    <s v="PALF"/>
    <s v="Dahan"/>
    <s v="CONGO"/>
    <m/>
    <m/>
    <m/>
  </r>
  <r>
    <d v="2025-11-18T00:00:00"/>
    <s v="Frais de transport mission Maitre Helene à Madingou du 19 au 21/11/2025"/>
    <x v="0"/>
    <x v="1"/>
    <n v="20000"/>
    <n v="37.488074106424889"/>
    <n v="533.50300000000004"/>
    <x v="12"/>
    <s v="CA-N-R15"/>
    <s v="PALF"/>
    <s v="Dahan"/>
    <s v="CONGO"/>
    <m/>
    <m/>
    <m/>
  </r>
  <r>
    <d v="2025-11-18T00:00:00"/>
    <s v="Ration et frais d'hotel mission maitre Helène à Madingou du 19 au 21/11/2025"/>
    <x v="3"/>
    <x v="1"/>
    <n v="50000"/>
    <n v="93.720185266062231"/>
    <n v="533.50300000000004"/>
    <x v="12"/>
    <s v="CA-N-R16"/>
    <s v="PALF"/>
    <s v="Dahan"/>
    <s v="CONGO"/>
    <m/>
    <m/>
    <m/>
  </r>
  <r>
    <d v="2025-11-18T00:00:00"/>
    <s v="Taxi: Bureau-Agence Trans Bony de la Frontière"/>
    <x v="0"/>
    <x v="1"/>
    <n v="1000"/>
    <n v="1.8744037053212446"/>
    <n v="533.50300000000004"/>
    <x v="12"/>
    <s v="RM-N-D1"/>
    <s v="PALF"/>
    <s v="Dahan"/>
    <s v="CONGO"/>
    <m/>
    <m/>
    <m/>
  </r>
  <r>
    <d v="2025-11-18T00:00:00"/>
    <s v="Achat Billet Brazzaville-Madingou/ Romain"/>
    <x v="0"/>
    <x v="1"/>
    <n v="7000"/>
    <n v="13.120825937248712"/>
    <n v="533.50300000000004"/>
    <x v="12"/>
    <s v="RM-N-R7"/>
    <s v="PALF"/>
    <s v="Dahan"/>
    <s v="CONGO"/>
    <m/>
    <m/>
    <m/>
  </r>
  <r>
    <d v="2025-11-18T00:00:00"/>
    <s v="Taxi: Agence Trans bony de la Frontière-Bureau"/>
    <x v="0"/>
    <x v="1"/>
    <n v="1000"/>
    <n v="1.8744037053212446"/>
    <n v="533.50300000000004"/>
    <x v="12"/>
    <s v="RM-N-D1"/>
    <s v="PALF"/>
    <s v="Dahan"/>
    <s v="CONGO"/>
    <m/>
    <m/>
    <m/>
  </r>
  <r>
    <d v="2025-11-18T00:00:00"/>
    <s v="Taxi: Bureau-Mfilou(pour la remise du budget à maitre hélène)"/>
    <x v="0"/>
    <x v="1"/>
    <n v="1000"/>
    <n v="1.8744037053212446"/>
    <n v="533.50300000000004"/>
    <x v="12"/>
    <s v="RM-N-D1"/>
    <s v="PALF"/>
    <s v="Dahan"/>
    <s v="CONGO"/>
    <m/>
    <m/>
    <m/>
  </r>
  <r>
    <d v="2025-11-18T00:00:00"/>
    <s v="Taxi: Mfilou-Bureau"/>
    <x v="0"/>
    <x v="1"/>
    <n v="1000"/>
    <n v="1.8744037053212446"/>
    <n v="533.50300000000004"/>
    <x v="12"/>
    <s v="RM-N-D1"/>
    <s v="PALF"/>
    <s v="Dahan"/>
    <s v="CONGO"/>
    <m/>
    <m/>
    <m/>
  </r>
  <r>
    <d v="2025-11-19T00:00:00"/>
    <s v="Maison-Bureau"/>
    <x v="0"/>
    <x v="2"/>
    <n v="1000"/>
    <n v="1.8744037053212446"/>
    <n v="533.50300000000004"/>
    <x v="3"/>
    <s v="DH-N-D1"/>
    <s v="PALF"/>
    <s v="Dahan"/>
    <s v="CONGO"/>
    <m/>
    <m/>
    <m/>
  </r>
  <r>
    <d v="2025-11-19T00:00:00"/>
    <s v="Bureau- Maison"/>
    <x v="0"/>
    <x v="2"/>
    <n v="1000"/>
    <n v="1.8744037053212446"/>
    <n v="533.50300000000004"/>
    <x v="3"/>
    <s v="DH-N-D1"/>
    <s v="PALF"/>
    <s v="Dahan"/>
    <s v="CONGO"/>
    <m/>
    <m/>
    <m/>
  </r>
  <r>
    <d v="2025-11-19T00:00:00"/>
    <s v="Frais de tansfert d'argent  à P29, et IT87 par momo"/>
    <x v="4"/>
    <x v="3"/>
    <n v="6440"/>
    <n v="12.071159862268814"/>
    <n v="533.50300000000004"/>
    <x v="5"/>
    <s v="CA-N-R18"/>
    <s v="PALF"/>
    <s v="Dahan"/>
    <s v="CONGO"/>
    <m/>
    <m/>
    <m/>
  </r>
  <r>
    <d v="2025-11-19T00:00:00"/>
    <s v="Taxi:  Bureau - Direction MB2 Services / transfert d'argent à P29 et IT87 "/>
    <x v="0"/>
    <x v="3"/>
    <n v="1000"/>
    <n v="1.8744037053212446"/>
    <n v="533.50300000000004"/>
    <x v="5"/>
    <s v="P-N-D1"/>
    <s v="PALF"/>
    <s v="Dahan"/>
    <s v="CONGO"/>
    <m/>
    <m/>
    <m/>
  </r>
  <r>
    <d v="2025-11-19T00:00:00"/>
    <s v="Taxi:Direction MB2 services - Domicile"/>
    <x v="0"/>
    <x v="3"/>
    <n v="1000"/>
    <n v="1.8744037053212446"/>
    <n v="533.50300000000004"/>
    <x v="5"/>
    <s v="P-N-D1"/>
    <s v="PALF"/>
    <s v="Dahan"/>
    <s v="CONGO"/>
    <m/>
    <m/>
    <m/>
  </r>
  <r>
    <d v="2025-11-19T00:00:00"/>
    <s v="Taxi hotel-tsila,repérage"/>
    <x v="0"/>
    <x v="4"/>
    <n v="1500"/>
    <n v="2.8116055579818666"/>
    <n v="533.50300000000004"/>
    <x v="6"/>
    <s v="P29-N-D1"/>
    <s v="PALF"/>
    <s v="Dahan"/>
    <s v="CONGO"/>
    <m/>
    <m/>
    <m/>
  </r>
  <r>
    <d v="2025-11-19T00:00:00"/>
    <s v="Taxi tsila-bacongo,repérage"/>
    <x v="0"/>
    <x v="4"/>
    <n v="1000"/>
    <n v="1.8744037053212446"/>
    <n v="533.50300000000004"/>
    <x v="6"/>
    <s v="P29-N-D1"/>
    <s v="PALF"/>
    <s v="Dahan"/>
    <s v="CONGO"/>
    <m/>
    <m/>
    <m/>
  </r>
  <r>
    <d v="2025-11-19T00:00:00"/>
    <s v="Taxi bacongo-sab,repérage"/>
    <x v="0"/>
    <x v="4"/>
    <n v="1000"/>
    <n v="1.8744037053212446"/>
    <n v="533.50300000000004"/>
    <x v="6"/>
    <s v="P29-N-D1"/>
    <s v="PALF"/>
    <s v="Dahan"/>
    <s v="CONGO"/>
    <m/>
    <m/>
    <m/>
  </r>
  <r>
    <d v="2025-11-19T00:00:00"/>
    <s v="Taxi sab-domicile"/>
    <x v="0"/>
    <x v="4"/>
    <n v="1000"/>
    <n v="1.8744037053212446"/>
    <n v="533.50300000000004"/>
    <x v="6"/>
    <s v="P29-N-D1"/>
    <s v="PALF"/>
    <s v="Dahan"/>
    <s v="CONGO"/>
    <m/>
    <m/>
    <m/>
  </r>
  <r>
    <d v="2025-11-19T00:00:00"/>
    <s v="Taxi : Hôtel Mack-Solo - Mboukou/ Rencontrer la cible"/>
    <x v="0"/>
    <x v="4"/>
    <n v="1000"/>
    <n v="1.8744037053212446"/>
    <n v="533.50300000000004"/>
    <x v="8"/>
    <s v="IT87-N-D1"/>
    <s v="PALF"/>
    <s v="Dahan"/>
    <s v="CONGO"/>
    <m/>
    <m/>
    <m/>
  </r>
  <r>
    <d v="2025-11-19T00:00:00"/>
    <s v="Achat boissons avec la cible"/>
    <x v="11"/>
    <x v="4"/>
    <n v="2000"/>
    <n v="3.6802726345967711"/>
    <n v="543.43799999999999"/>
    <x v="8"/>
    <s v="IT87-N-D2"/>
    <s v="PALF"/>
    <s v="Marchig Trust"/>
    <s v="CONGO"/>
    <m/>
    <m/>
    <m/>
  </r>
  <r>
    <d v="2025-11-19T00:00:00"/>
    <s v="Taxi : Mboukou - Gare routière/ Extraction"/>
    <x v="0"/>
    <x v="4"/>
    <n v="1500"/>
    <n v="2.8116055579818666"/>
    <n v="533.50300000000004"/>
    <x v="8"/>
    <s v="IT87-N-D1"/>
    <s v="PALF"/>
    <s v="Dahan"/>
    <s v="CONGO"/>
    <m/>
    <m/>
    <m/>
  </r>
  <r>
    <d v="2025-11-19T00:00:00"/>
    <s v="Taxi : Gare routière - La frontière/ Extraction"/>
    <x v="0"/>
    <x v="4"/>
    <n v="1500"/>
    <n v="2.8116055579818666"/>
    <n v="533.50300000000004"/>
    <x v="8"/>
    <s v="IT87-N-D1"/>
    <s v="PALF"/>
    <s v="Dahan"/>
    <s v="CONGO"/>
    <m/>
    <m/>
    <m/>
  </r>
  <r>
    <d v="2025-11-19T00:00:00"/>
    <s v="Taxi : La frontière - Hôtel Mack-Solo/ Retour de la rencontre"/>
    <x v="0"/>
    <x v="4"/>
    <n v="1000"/>
    <n v="1.8744037053212446"/>
    <n v="533.50300000000004"/>
    <x v="8"/>
    <s v="IT87-N-D1"/>
    <s v="PALF"/>
    <s v="Dahan"/>
    <s v="CONGO"/>
    <m/>
    <m/>
    <m/>
  </r>
  <r>
    <d v="2025-11-19T00:00:00"/>
    <s v="Taxi : Hôtel Mack-Solo - Hôtel Pharaon/ Recupérer le budget"/>
    <x v="0"/>
    <x v="4"/>
    <n v="1000"/>
    <n v="1.8744037053212446"/>
    <n v="533.50300000000004"/>
    <x v="8"/>
    <s v="IT87-N-D1"/>
    <s v="PALF"/>
    <s v="Dahan"/>
    <s v="CONGO"/>
    <m/>
    <m/>
    <m/>
  </r>
  <r>
    <d v="2025-11-19T00:00:00"/>
    <s v="Taxi : Hôtel Pharaon - Hôtel Mack-Solo/ Retour du retrait du budget"/>
    <x v="0"/>
    <x v="4"/>
    <n v="1000"/>
    <n v="1.8744037053212446"/>
    <n v="533.50300000000004"/>
    <x v="8"/>
    <s v="IT87-N-D1"/>
    <s v="PALF"/>
    <s v="Dahan"/>
    <s v="CONGO"/>
    <m/>
    <m/>
    <m/>
  </r>
  <r>
    <d v="2025-11-19T00:00:00"/>
    <s v="Taxi : Hôtel Mack-Solo - Maloumbou/ Rendez-vous avec la cible"/>
    <x v="0"/>
    <x v="4"/>
    <n v="1500"/>
    <n v="2.8116055579818666"/>
    <n v="533.50300000000004"/>
    <x v="8"/>
    <s v="IT87-N-D1"/>
    <s v="PALF"/>
    <s v="Dahan"/>
    <s v="CONGO"/>
    <m/>
    <m/>
    <m/>
  </r>
  <r>
    <d v="2025-11-19T00:00:00"/>
    <s v="Achat repas et boissons"/>
    <x v="11"/>
    <x v="4"/>
    <n v="9000"/>
    <n v="16.561226855685469"/>
    <n v="543.43799999999999"/>
    <x v="8"/>
    <s v="IT87-N-D2"/>
    <s v="PALF"/>
    <s v="Marchig Trust"/>
    <s v="CONGO"/>
    <m/>
    <m/>
    <m/>
  </r>
  <r>
    <d v="2025-11-19T00:00:00"/>
    <s v="Taxi : Maloumbou - Mboukou/ Extraction"/>
    <x v="0"/>
    <x v="4"/>
    <n v="1000"/>
    <n v="1.8744037053212446"/>
    <n v="533.50300000000004"/>
    <x v="8"/>
    <s v="IT87-N-D1"/>
    <s v="PALF"/>
    <s v="Dahan"/>
    <s v="CONGO"/>
    <m/>
    <m/>
    <m/>
  </r>
  <r>
    <d v="2025-11-19T00:00:00"/>
    <s v="Taxi : Mboukou - Grand marché/ Extraction"/>
    <x v="0"/>
    <x v="4"/>
    <n v="1000"/>
    <n v="1.8744037053212446"/>
    <n v="533.50300000000004"/>
    <x v="8"/>
    <s v="IT87-N-D1"/>
    <s v="PALF"/>
    <s v="Dahan"/>
    <s v="CONGO"/>
    <m/>
    <m/>
    <m/>
  </r>
  <r>
    <d v="2025-11-19T00:00:00"/>
    <s v="Taxi : Grand marché - Hôtel Mack-Solo/ Retour du rendez-vous"/>
    <x v="0"/>
    <x v="4"/>
    <n v="1000"/>
    <n v="1.8744037053212446"/>
    <n v="533.50300000000004"/>
    <x v="8"/>
    <s v="IT87-N-D1"/>
    <s v="PALF"/>
    <s v="Dahan"/>
    <s v="CONGO"/>
    <m/>
    <m/>
    <m/>
  </r>
  <r>
    <d v="2025-11-19T00:00:00"/>
    <s v="G12-CONGO Frais d'hotel du 18 au 19 /11/2025 à Ouesso (01 Nuitée)"/>
    <x v="3"/>
    <x v="4"/>
    <n v="15000"/>
    <n v="28.116055579818667"/>
    <n v="533.50300000000004"/>
    <x v="9"/>
    <s v="G12-N-R9"/>
    <s v="PALF"/>
    <s v="Dahan"/>
    <s v="CONGO"/>
    <m/>
    <m/>
    <m/>
  </r>
  <r>
    <d v="2025-11-19T00:00:00"/>
    <s v="Taxi : Hotel - agence océan du nord (retour sur Brazzaville)"/>
    <x v="0"/>
    <x v="4"/>
    <n v="500"/>
    <n v="0.93720185266062228"/>
    <n v="533.50300000000004"/>
    <x v="9"/>
    <s v="G12-N-D1"/>
    <s v="PALF"/>
    <s v="Dahan"/>
    <s v="CONGO"/>
    <m/>
    <m/>
    <m/>
  </r>
  <r>
    <d v="2025-11-19T00:00:00"/>
    <s v="Achat billet Ouesso - Brazzaville/ G12"/>
    <x v="0"/>
    <x v="4"/>
    <n v="12000"/>
    <n v="22.492844463854933"/>
    <n v="533.50300000000004"/>
    <x v="9"/>
    <s v="G12-N-R10"/>
    <s v="PALF"/>
    <s v="Dahan"/>
    <s v="CONGO"/>
    <m/>
    <m/>
    <m/>
  </r>
  <r>
    <d v="2025-11-19T00:00:00"/>
    <s v="Taxi : Agence océan du nord - domicile"/>
    <x v="0"/>
    <x v="4"/>
    <n v="1000"/>
    <n v="1.8744037053212446"/>
    <n v="533.50300000000004"/>
    <x v="9"/>
    <s v="G12-N-D1"/>
    <s v="PALF"/>
    <s v="Dahan"/>
    <s v="CONGO"/>
    <m/>
    <m/>
    <m/>
  </r>
  <r>
    <d v="2025-11-19T00:00:00"/>
    <s v=" Taxi: Domicile-Agence Trans Bony de la Frontère"/>
    <x v="0"/>
    <x v="1"/>
    <n v="2500"/>
    <n v="4.6860092633031112"/>
    <n v="533.50300000000004"/>
    <x v="12"/>
    <s v="RM-N-D1"/>
    <s v="PALF"/>
    <s v="Dahan"/>
    <s v="CONGO"/>
    <m/>
    <m/>
    <m/>
  </r>
  <r>
    <d v="2025-11-19T00:00:00"/>
    <s v="Taxi moto: Agence Trans Bony de Madingou-Hôtel Dzongo Benoit"/>
    <x v="0"/>
    <x v="1"/>
    <n v="500"/>
    <m/>
    <n v="533.50300000000004"/>
    <x v="12"/>
    <s v="RM-N-D1"/>
    <s v="PALF"/>
    <s v="Dahan"/>
    <s v="CONGO"/>
    <m/>
    <m/>
    <m/>
  </r>
  <r>
    <d v="2025-11-19T00:00:00"/>
    <s v="ROMAIN-CONGO: Ration du 19 au 21/11/2025 à Madingou"/>
    <x v="3"/>
    <x v="1"/>
    <n v="20000"/>
    <n v="37.488074106424889"/>
    <n v="533.50300000000004"/>
    <x v="12"/>
    <s v="RM-N-D2"/>
    <s v="PALF"/>
    <s v="Dahan"/>
    <s v="CONGO"/>
    <m/>
    <m/>
    <m/>
  </r>
  <r>
    <d v="2025-11-19T00:00:00"/>
    <s v="Taxi moto: Hotel DZONGO-Marché(pour acheter la ration du prevenu)"/>
    <x v="0"/>
    <x v="1"/>
    <n v="500"/>
    <n v="0.93720185266062228"/>
    <n v="533.50300000000004"/>
    <x v="12"/>
    <s v="RM-N-D1"/>
    <s v="PALF"/>
    <s v="Dahan"/>
    <s v="CONGO"/>
    <m/>
    <m/>
    <m/>
  </r>
  <r>
    <d v="2025-11-19T00:00:00"/>
    <s v=" Ration du prevenu NTONDELE Fulgence au commissariat de police de Madingou/soir"/>
    <x v="6"/>
    <x v="1"/>
    <n v="1500"/>
    <n v="2.8116055579818666"/>
    <n v="533.50300000000004"/>
    <x v="12"/>
    <s v="RM-N-D3"/>
    <s v="PALF"/>
    <s v="Dahan"/>
    <s v="CONGO"/>
    <m/>
    <m/>
    <m/>
  </r>
  <r>
    <d v="2025-11-19T00:00:00"/>
    <s v="Taxi moto: Marché-Commissariat de Police de Madingou"/>
    <x v="0"/>
    <x v="1"/>
    <n v="500"/>
    <n v="0.93720185266062228"/>
    <n v="533.50300000000004"/>
    <x v="12"/>
    <s v="RM-N-D1"/>
    <s v="PALF"/>
    <s v="Dahan"/>
    <s v="CONGO"/>
    <m/>
    <m/>
    <m/>
  </r>
  <r>
    <d v="2025-11-19T00:00:00"/>
    <s v="Taxi moto: Commissariat de Police-Hotel Dzongo"/>
    <x v="0"/>
    <x v="1"/>
    <n v="500"/>
    <n v="0.93720185266062228"/>
    <n v="533.50300000000004"/>
    <x v="12"/>
    <s v="RM-N-D1"/>
    <s v="PALF"/>
    <s v="Dahan"/>
    <s v="CONGO"/>
    <m/>
    <m/>
    <m/>
  </r>
  <r>
    <d v="2025-11-20T00:00:00"/>
    <s v="Maison-Bureau"/>
    <x v="0"/>
    <x v="2"/>
    <n v="1000"/>
    <n v="1.8744037053212446"/>
    <n v="533.50300000000004"/>
    <x v="3"/>
    <s v="DH-N-D1"/>
    <s v="PALF"/>
    <s v="Dahan"/>
    <s v="CONGO"/>
    <m/>
    <m/>
    <m/>
  </r>
  <r>
    <d v="2025-11-20T00:00:00"/>
    <s v="Bureau-Maison"/>
    <x v="0"/>
    <x v="2"/>
    <n v="1000"/>
    <n v="1.8744037053212446"/>
    <n v="533.50300000000004"/>
    <x v="3"/>
    <s v="DH-N-D1"/>
    <s v="PALF"/>
    <s v="Dahan"/>
    <s v="CONGO"/>
    <m/>
    <m/>
    <m/>
  </r>
  <r>
    <d v="2025-11-20T00:00:00"/>
    <s v="Taxi: Domicile Myanga-Marché Total pour suivi de la remise du prix du meilleur activiste"/>
    <x v="0"/>
    <x v="1"/>
    <n v="1500"/>
    <n v="2.8116055579818666"/>
    <n v="533.50300000000004"/>
    <x v="4"/>
    <s v="CR-N-D2"/>
    <s v="PALF"/>
    <s v="Dahan"/>
    <s v="CONGO"/>
    <m/>
    <m/>
    <m/>
  </r>
  <r>
    <d v="2025-11-20T00:00:00"/>
    <s v="Taxi: Marché Total-Bureau"/>
    <x v="0"/>
    <x v="1"/>
    <n v="1000"/>
    <n v="1.8744037053212446"/>
    <n v="533.50300000000004"/>
    <x v="4"/>
    <s v="CR-N-D2"/>
    <s v="PALF"/>
    <s v="Dahan"/>
    <s v="CONGO"/>
    <m/>
    <m/>
    <m/>
  </r>
  <r>
    <d v="2025-11-20T00:00:00"/>
    <s v="Taxi: Bureau-Marché Total"/>
    <x v="0"/>
    <x v="1"/>
    <n v="1000"/>
    <n v="1.8744037053212446"/>
    <n v="533.50300000000004"/>
    <x v="4"/>
    <s v="CR-N-D2"/>
    <s v="PALF"/>
    <s v="Dahan"/>
    <s v="CONGO"/>
    <m/>
    <m/>
    <m/>
  </r>
  <r>
    <d v="2025-11-20T00:00:00"/>
    <s v="Taxi: Marché Total-Domicile Mayanga."/>
    <x v="0"/>
    <x v="1"/>
    <n v="1500"/>
    <n v="2.8116055579818666"/>
    <n v="533.50300000000004"/>
    <x v="4"/>
    <s v="CR-N-D2"/>
    <s v="PALF"/>
    <s v="Dahan"/>
    <s v="CONGO"/>
    <m/>
    <m/>
    <m/>
  </r>
  <r>
    <d v="2025-11-20T00:00:00"/>
    <s v="Taxi:Bureau-Agence océan du nord de la liberté pour la reservation des billets "/>
    <x v="0"/>
    <x v="1"/>
    <n v="1000"/>
    <n v="1.8744037053212446"/>
    <n v="533.50300000000004"/>
    <x v="1"/>
    <s v="RO-N-D1"/>
    <s v="PALF"/>
    <s v="Dahan"/>
    <s v="CONGO"/>
    <m/>
    <m/>
    <m/>
  </r>
  <r>
    <d v="2025-11-20T00:00:00"/>
    <s v="Taxi:Agence Océan du nord de la liberté-Bureau"/>
    <x v="0"/>
    <x v="1"/>
    <n v="1000"/>
    <n v="1.8744037053212446"/>
    <n v="533.50300000000004"/>
    <x v="1"/>
    <s v="RO-N-D1"/>
    <s v="PALF"/>
    <s v="Dahan"/>
    <s v="CONGO"/>
    <m/>
    <m/>
    <m/>
  </r>
  <r>
    <d v="2025-11-20T00:00:00"/>
    <s v="Frais de transport mission Maitre Alain à Impfondo du 20 au 30/11/2025"/>
    <x v="0"/>
    <x v="1"/>
    <n v="88000"/>
    <n v="164.94752606826953"/>
    <n v="533.50300000000004"/>
    <x v="11"/>
    <s v="CA-N-R19"/>
    <s v="PALF"/>
    <s v="Dahan"/>
    <s v="CONGO"/>
    <m/>
    <m/>
    <m/>
  </r>
  <r>
    <d v="2025-11-20T00:00:00"/>
    <s v="Taxi, Sainte Marie de Ouenzé-Bureau PALF"/>
    <x v="0"/>
    <x v="0"/>
    <n v="1000"/>
    <n v="1.8744037053212446"/>
    <n v="533.50300000000004"/>
    <x v="0"/>
    <s v="EV-N-D1"/>
    <s v="PALF"/>
    <s v="Dahan"/>
    <s v="CONGO"/>
    <m/>
    <m/>
    <m/>
  </r>
  <r>
    <d v="2025-11-20T00:00:00"/>
    <s v="Ration et frais d'hotel mission maitre Alain à Impfondo du 20 au 30/11/2025"/>
    <x v="3"/>
    <x v="1"/>
    <n v="175000"/>
    <n v="328.02064843121781"/>
    <n v="533.50300000000004"/>
    <x v="11"/>
    <s v="CA-N-R20"/>
    <s v="PALF"/>
    <s v="Dahan"/>
    <s v="CONGO"/>
    <m/>
    <m/>
    <m/>
  </r>
  <r>
    <d v="2025-11-20T00:00:00"/>
    <s v="Taxi, Bureau PALF-Domicile  (la soirée du prix EAGLE)"/>
    <x v="0"/>
    <x v="0"/>
    <n v="1000"/>
    <n v="1.8744037053212446"/>
    <n v="533.50300000000004"/>
    <x v="0"/>
    <s v="EV-N-D1"/>
    <s v="PALF"/>
    <s v="Dahan"/>
    <s v="CONGO"/>
    <m/>
    <m/>
    <m/>
  </r>
  <r>
    <d v="2025-11-20T00:00:00"/>
    <s v="Taxi moto:  Hotel Dzongo-Marché(pour acheter la ration du Prévenu)"/>
    <x v="0"/>
    <x v="1"/>
    <n v="500"/>
    <n v="0.93720185266062228"/>
    <n v="533.50300000000004"/>
    <x v="12"/>
    <s v="RM-N-D1"/>
    <s v="PALF"/>
    <s v="Dahan"/>
    <s v="CONGO"/>
    <m/>
    <m/>
    <m/>
  </r>
  <r>
    <d v="2025-11-20T00:00:00"/>
    <s v="Taxi moto: Marché-Commissariat de Police"/>
    <x v="0"/>
    <x v="1"/>
    <n v="500"/>
    <n v="0.93720185266062228"/>
    <n v="533.50300000000004"/>
    <x v="12"/>
    <s v="RM-N-D1"/>
    <s v="PALF"/>
    <s v="Dahan"/>
    <s v="CONGO"/>
    <m/>
    <m/>
    <m/>
  </r>
  <r>
    <d v="2025-11-20T00:00:00"/>
    <s v=" Ration du prevenu NTONDELE Fulgence au commissariat de police de Madingou/matin"/>
    <x v="6"/>
    <x v="1"/>
    <n v="1500"/>
    <n v="2.8116055579818666"/>
    <n v="533.50300000000004"/>
    <x v="12"/>
    <s v="RM-N-D3"/>
    <s v="PALF"/>
    <s v="Dahan"/>
    <s v="CONGO"/>
    <m/>
    <m/>
    <m/>
  </r>
  <r>
    <d v="2025-11-20T00:00:00"/>
    <s v="Taxi moto: Commissariat de Police-Tribunal de Grande Instance"/>
    <x v="0"/>
    <x v="1"/>
    <n v="500"/>
    <n v="0.93720185266062228"/>
    <n v="533.50300000000004"/>
    <x v="12"/>
    <s v="RM-N-D1"/>
    <s v="PALF"/>
    <s v="Dahan"/>
    <s v="CONGO"/>
    <m/>
    <m/>
    <m/>
  </r>
  <r>
    <d v="2025-11-20T00:00:00"/>
    <s v="Achat du Billet: Madingou-Brazzaville/ Romain"/>
    <x v="0"/>
    <x v="1"/>
    <n v="7000"/>
    <n v="13.120825937248712"/>
    <n v="533.50300000000004"/>
    <x v="12"/>
    <s v="RM-N-R8"/>
    <s v="PALF"/>
    <s v="Dahan"/>
    <s v="CONGO"/>
    <m/>
    <m/>
    <m/>
  </r>
  <r>
    <d v="2025-11-20T00:00:00"/>
    <s v="Taxi moto: Agence Trans Bony de Madingou-Hôtel Dzongo Benoit"/>
    <x v="0"/>
    <x v="1"/>
    <n v="500"/>
    <n v="0.93720185266062228"/>
    <n v="533.50300000000004"/>
    <x v="12"/>
    <s v="RM-N-D1"/>
    <s v="PALF"/>
    <s v="Dahan"/>
    <s v="CONGO"/>
    <m/>
    <m/>
    <m/>
  </r>
  <r>
    <d v="2025-11-20T00:00:00"/>
    <s v="Taxi moto: Hotel DZONGO-Marché(pour acheter la ration du prevenu)"/>
    <x v="0"/>
    <x v="1"/>
    <n v="500"/>
    <n v="0.93720185266062228"/>
    <n v="533.50300000000004"/>
    <x v="12"/>
    <s v="RM-N-D1"/>
    <s v="PALF"/>
    <s v="Dahan"/>
    <s v="CONGO"/>
    <m/>
    <m/>
    <m/>
  </r>
  <r>
    <d v="2025-11-20T00:00:00"/>
    <s v="Taxi moto: marché-Commissariat de Police"/>
    <x v="0"/>
    <x v="1"/>
    <n v="500"/>
    <n v="0.93720185266062228"/>
    <n v="533.50300000000004"/>
    <x v="12"/>
    <s v="RM-N-D1"/>
    <s v="PALF"/>
    <s v="Dahan"/>
    <s v="CONGO"/>
    <m/>
    <m/>
    <m/>
  </r>
  <r>
    <d v="2025-11-20T00:00:00"/>
    <s v=" Ration du prevenu NTONDELE Fulgence au commissariat de police de Madingou/Soir"/>
    <x v="6"/>
    <x v="1"/>
    <n v="1500"/>
    <n v="2.8116055579818666"/>
    <n v="533.50300000000004"/>
    <x v="12"/>
    <s v="RM-N-D3"/>
    <s v="PALF"/>
    <s v="Dahan"/>
    <s v="CONGO"/>
    <m/>
    <m/>
    <m/>
  </r>
  <r>
    <d v="2025-11-20T00:00:00"/>
    <s v="Taxi moto: Commissariat de Police-Hotel Dzongo"/>
    <x v="0"/>
    <x v="1"/>
    <n v="500"/>
    <n v="0.93720185266062228"/>
    <n v="533.50300000000004"/>
    <x v="12"/>
    <s v="RM-N-D1"/>
    <s v="PALF"/>
    <s v="Dahan"/>
    <s v="CONGO"/>
    <m/>
    <m/>
    <m/>
  </r>
  <r>
    <d v="2025-11-21T00:00:00"/>
    <s v="Maison - Hôtel HILTON (séminaire)"/>
    <x v="0"/>
    <x v="2"/>
    <n v="1500"/>
    <n v="2.8116055579818666"/>
    <n v="533.50300000000004"/>
    <x v="3"/>
    <s v="DH-N-D1"/>
    <s v="PALF"/>
    <s v="Dahan"/>
    <s v="CONGO"/>
    <m/>
    <m/>
    <m/>
  </r>
  <r>
    <d v="2025-11-21T00:00:00"/>
    <s v="Hôtel HILTON - Bureau"/>
    <x v="0"/>
    <x v="2"/>
    <n v="1500"/>
    <n v="2.8116055579818666"/>
    <n v="533.50300000000004"/>
    <x v="3"/>
    <s v="DH-N-D1"/>
    <s v="PALF"/>
    <s v="Dahan"/>
    <s v="CONGO"/>
    <m/>
    <m/>
    <m/>
  </r>
  <r>
    <d v="2025-11-21T00:00:00"/>
    <s v="Bureau - Maison"/>
    <x v="0"/>
    <x v="2"/>
    <n v="1000"/>
    <n v="1.8744037053212446"/>
    <n v="533.50300000000004"/>
    <x v="3"/>
    <s v="DH-N-D1"/>
    <s v="PALF"/>
    <s v="Dahan"/>
    <s v="CONGO"/>
    <m/>
    <m/>
    <m/>
  </r>
  <r>
    <d v="2025-11-21T00:00:00"/>
    <s v="Taxi:  Bureau - Direction MB2 Services / transfert d'argent à P29 et IT87 "/>
    <x v="0"/>
    <x v="3"/>
    <n v="1000"/>
    <n v="1.8744037053212446"/>
    <n v="533.50300000000004"/>
    <x v="5"/>
    <s v="P-N-D1"/>
    <s v="PALF"/>
    <s v="Dahan"/>
    <s v="CONGO"/>
    <m/>
    <m/>
    <m/>
  </r>
  <r>
    <d v="2025-11-21T00:00:00"/>
    <s v="Frais de tansfert d'argent  à P29, et IT87 par momo"/>
    <x v="4"/>
    <x v="3"/>
    <n v="4060"/>
    <n v="7.6100790436042525"/>
    <n v="533.50300000000004"/>
    <x v="5"/>
    <s v="CA-N-R21"/>
    <s v="PALF"/>
    <s v="Dahan"/>
    <s v="CONGO"/>
    <m/>
    <m/>
    <m/>
  </r>
  <r>
    <d v="2025-11-21T00:00:00"/>
    <s v="Taxi:Direction MB2 services - Domicile"/>
    <x v="0"/>
    <x v="3"/>
    <n v="1000"/>
    <n v="1.8744037053212446"/>
    <n v="533.50300000000004"/>
    <x v="5"/>
    <s v="P-N-D1"/>
    <s v="PALF"/>
    <s v="Dahan"/>
    <s v="CONGO"/>
    <m/>
    <m/>
    <m/>
  </r>
  <r>
    <d v="2025-11-21T00:00:00"/>
    <s v="Taxi : Hôtel Mack-Solo - Hôtel Pharaon/ Recupérer le budget"/>
    <x v="0"/>
    <x v="4"/>
    <n v="1000"/>
    <n v="1.8744037053212446"/>
    <n v="533.50300000000004"/>
    <x v="8"/>
    <s v="IT87-N-D1"/>
    <s v="PALF"/>
    <s v="Dahan"/>
    <s v="CONGO"/>
    <m/>
    <m/>
    <m/>
  </r>
  <r>
    <d v="2025-11-21T00:00:00"/>
    <s v="Taxi : Hôtel Pharaon - Hôtel Mack-Solo/ Retour du retrait du budget"/>
    <x v="0"/>
    <x v="4"/>
    <n v="1000"/>
    <n v="1.8744037053212446"/>
    <n v="533.50300000000004"/>
    <x v="8"/>
    <s v="IT87-N-D1"/>
    <s v="PALF"/>
    <s v="Dahan"/>
    <s v="CONGO"/>
    <m/>
    <m/>
    <m/>
  </r>
  <r>
    <d v="2025-11-21T00:00:00"/>
    <s v="Taxi moto: Hotel Dzongo-Agence Trans Bony de Madingou"/>
    <x v="0"/>
    <x v="1"/>
    <n v="500"/>
    <n v="0.93720185266062228"/>
    <n v="533.50300000000004"/>
    <x v="12"/>
    <s v="RM-N-D1"/>
    <s v="PALF"/>
    <s v="Dahan"/>
    <s v="CONGO"/>
    <m/>
    <m/>
    <m/>
  </r>
  <r>
    <d v="2025-11-21T00:00:00"/>
    <s v="ROMAIN-CONGO: Frais d'Hotel du 19 au 21/11/2025 à Madingou(02 nuitées)"/>
    <x v="3"/>
    <x v="1"/>
    <n v="30000"/>
    <n v="56.232111159637334"/>
    <n v="533.50300000000004"/>
    <x v="12"/>
    <s v="RM-N-R9"/>
    <s v="PALF"/>
    <s v="Dahan"/>
    <s v="CONGO"/>
    <m/>
    <m/>
    <m/>
  </r>
  <r>
    <d v="2025-11-21T00:00:00"/>
    <s v="Taxi: Agence Trans Bony de Bifouiti-Domicile"/>
    <x v="0"/>
    <x v="1"/>
    <n v="2500"/>
    <n v="4.6860092633031112"/>
    <n v="533.50300000000004"/>
    <x v="12"/>
    <s v="RM-N-D1"/>
    <s v="PALF"/>
    <s v="Dahan"/>
    <s v="CONGO"/>
    <m/>
    <m/>
    <m/>
  </r>
  <r>
    <d v="2025-11-22T00:00:00"/>
    <s v="Taxi Diata-Boueta-mbongo/ Remettre le budget de maître Banzouzi"/>
    <x v="13"/>
    <x v="1"/>
    <n v="2000"/>
    <n v="3.7488074106424891"/>
    <n v="533.50300000000004"/>
    <x v="11"/>
    <s v="DR-N-D1"/>
    <s v="PALF"/>
    <s v="Dahan"/>
    <s v="CONGO"/>
    <m/>
    <m/>
    <m/>
  </r>
  <r>
    <d v="2025-11-22T00:00:00"/>
    <s v="Taxi Boueta-mbongo-Diata"/>
    <x v="13"/>
    <x v="1"/>
    <n v="2000"/>
    <n v="3.7488074106424891"/>
    <n v="533.50300000000004"/>
    <x v="11"/>
    <s v="DR-N-D1"/>
    <s v="PALF"/>
    <s v="Dahan"/>
    <s v="CONGO"/>
    <m/>
    <m/>
    <m/>
  </r>
  <r>
    <d v="2025-11-23T00:00:00"/>
    <s v="Achat billet Brazzaville-Impfondo/ Donald-Roméo"/>
    <x v="13"/>
    <x v="1"/>
    <n v="37000"/>
    <n v="69.352937096886052"/>
    <n v="533.50300000000004"/>
    <x v="11"/>
    <s v="DR-N-R4"/>
    <s v="PALF"/>
    <s v="Dahan"/>
    <s v="CONGO"/>
    <m/>
    <m/>
    <m/>
  </r>
  <r>
    <d v="2025-11-23T00:00:00"/>
    <s v="Taxi hotel-agence,achat billet"/>
    <x v="0"/>
    <x v="4"/>
    <n v="1000"/>
    <n v="1.8744037053212446"/>
    <n v="533.50300000000004"/>
    <x v="6"/>
    <s v="P29-N-D1"/>
    <s v="PALF"/>
    <s v="Dahan"/>
    <s v="CONGO"/>
    <m/>
    <m/>
    <m/>
  </r>
  <r>
    <d v="2025-11-23T00:00:00"/>
    <s v="Taxi agence-hotel"/>
    <x v="0"/>
    <x v="4"/>
    <n v="1000"/>
    <n v="1.8744037053212446"/>
    <n v="533.50300000000004"/>
    <x v="6"/>
    <s v="P29-N-D1"/>
    <s v="PALF"/>
    <s v="Dahan"/>
    <s v="CONGO"/>
    <m/>
    <m/>
    <m/>
  </r>
  <r>
    <d v="2025-11-23T00:00:00"/>
    <s v="Achat billet dolisie-Brazzaville/P29"/>
    <x v="0"/>
    <x v="4"/>
    <n v="9000"/>
    <n v="16.869633347891202"/>
    <n v="533.50300000000004"/>
    <x v="6"/>
    <s v="P29-N-R5"/>
    <s v="PALF"/>
    <s v="Dahan"/>
    <s v="CONGO"/>
    <m/>
    <m/>
    <m/>
  </r>
  <r>
    <d v="2025-11-23T00:00:00"/>
    <s v="Taxi : Hôtel Mack-Solo - Agence Océan du nord/ Achat billet"/>
    <x v="0"/>
    <x v="4"/>
    <n v="1000"/>
    <n v="1.8744037053212446"/>
    <n v="533.50300000000004"/>
    <x v="8"/>
    <s v="IT87-N-D1"/>
    <s v="PALF"/>
    <s v="Dahan"/>
    <s v="CONGO"/>
    <m/>
    <m/>
    <m/>
  </r>
  <r>
    <d v="2025-11-23T00:00:00"/>
    <s v="Taxi : Agence Océan du nord - Hôtel Mack-Solo/ Retour d'achat billet"/>
    <x v="0"/>
    <x v="4"/>
    <n v="1000"/>
    <n v="1.8744037053212446"/>
    <n v="533.50300000000004"/>
    <x v="8"/>
    <s v="IT87-N-D1"/>
    <s v="PALF"/>
    <s v="Dahan"/>
    <s v="CONGO"/>
    <m/>
    <m/>
    <m/>
  </r>
  <r>
    <d v="2025-11-23T00:00:00"/>
    <s v="Taxi Domicile-Agence Océan du Nord de Talangaî"/>
    <x v="13"/>
    <x v="1"/>
    <n v="3000"/>
    <n v="5.6232111159637332"/>
    <n v="533.50300000000004"/>
    <x v="11"/>
    <s v="DR-N-D1"/>
    <s v="PALF"/>
    <s v="Dahan"/>
    <s v="CONGO"/>
    <m/>
    <m/>
    <m/>
  </r>
  <r>
    <d v="2025-11-23T00:00:00"/>
    <s v="Taxi agence Océan du Nord de Ouesso-Hôtel Divine"/>
    <x v="13"/>
    <x v="1"/>
    <n v="500"/>
    <n v="0.93720185266062228"/>
    <n v="533.50300000000004"/>
    <x v="11"/>
    <s v="DR-N-D1"/>
    <s v="PALF"/>
    <s v="Dahan"/>
    <s v="CONGO"/>
    <m/>
    <m/>
    <m/>
  </r>
  <r>
    <d v="2025-11-23T00:00:00"/>
    <s v="DONALD-ROMEO-CONGO Ration  du  23 au 30/11/2025 à Ouesso/ Impfondo/ Enyellé/ Gamboma"/>
    <x v="3"/>
    <x v="1"/>
    <n v="70000"/>
    <n v="131.20825937248711"/>
    <n v="533.50300000000004"/>
    <x v="11"/>
    <s v="DR-N-D2"/>
    <s v="PALF"/>
    <s v="Dahan"/>
    <s v="CONGO"/>
    <m/>
    <m/>
    <m/>
  </r>
  <r>
    <d v="2025-11-24T00:00:00"/>
    <s v="DONALD ROMEO-CONGO Frais d'hôtel du 23 au 24/11/2025 à Ouesso (01 nuitée)"/>
    <x v="3"/>
    <x v="1"/>
    <n v="15000"/>
    <n v="28.116055579818667"/>
    <n v="533.50300000000004"/>
    <x v="11"/>
    <s v="DR-N-R5"/>
    <s v="PALF"/>
    <s v="Dahan"/>
    <s v="CONGO"/>
    <m/>
    <m/>
    <m/>
  </r>
  <r>
    <d v="2025-11-24T00:00:00"/>
    <s v="Maison-Bureau"/>
    <x v="0"/>
    <x v="2"/>
    <n v="1000"/>
    <n v="1.8744037053212446"/>
    <n v="533.50300000000004"/>
    <x v="3"/>
    <s v="DH-N-D1"/>
    <s v="PALF"/>
    <s v="Dahan"/>
    <s v="CONGO"/>
    <m/>
    <m/>
    <m/>
  </r>
  <r>
    <d v="2025-11-24T00:00:00"/>
    <s v="Bureau -Maison"/>
    <x v="0"/>
    <x v="2"/>
    <n v="1000"/>
    <n v="1.8744037053212446"/>
    <n v="533.50300000000004"/>
    <x v="3"/>
    <s v="DH-N-D1"/>
    <s v="PALF"/>
    <s v="Dahan"/>
    <s v="CONGO"/>
    <m/>
    <m/>
    <m/>
  </r>
  <r>
    <d v="2025-11-24T00:00:00"/>
    <s v="P29 -CONGO Frais d'hotel du 14 au 24/11/2025 à dolisie (10 Nuitées)"/>
    <x v="3"/>
    <x v="4"/>
    <n v="150000"/>
    <n v="281.16055579818669"/>
    <n v="533.50300000000004"/>
    <x v="6"/>
    <s v="P29-N-R6"/>
    <s v="PALF"/>
    <s v="Dahan"/>
    <s v="CONGO"/>
    <m/>
    <m/>
    <m/>
  </r>
  <r>
    <d v="2025-11-24T00:00:00"/>
    <s v="Taxi hotel-agence,départ pour brazza"/>
    <x v="0"/>
    <x v="4"/>
    <n v="1000"/>
    <n v="1.8744037053212446"/>
    <n v="533.50300000000004"/>
    <x v="6"/>
    <s v="P29-N-D1"/>
    <s v="PALF"/>
    <s v="Dahan"/>
    <s v="CONGO"/>
    <m/>
    <m/>
    <m/>
  </r>
  <r>
    <d v="2025-11-24T00:00:00"/>
    <s v="Taxi agence-domicile,arrivé à brazzaville"/>
    <x v="0"/>
    <x v="4"/>
    <n v="1500"/>
    <n v="2.8116055579818666"/>
    <n v="533.50300000000004"/>
    <x v="6"/>
    <s v="P29-N-D1"/>
    <s v="PALF"/>
    <s v="Dahan"/>
    <s v="CONGO"/>
    <m/>
    <m/>
    <m/>
  </r>
  <r>
    <d v="2025-11-24T00:00:00"/>
    <s v="Taxi : domicile - Talangai (prospection)"/>
    <x v="0"/>
    <x v="4"/>
    <n v="1000"/>
    <n v="1.8744037053212446"/>
    <n v="533.50300000000004"/>
    <x v="7"/>
    <s v="T73-N-D1"/>
    <s v="PALF"/>
    <s v="Dahan"/>
    <s v="CONGO"/>
    <m/>
    <m/>
    <m/>
  </r>
  <r>
    <d v="2025-11-24T00:00:00"/>
    <s v="Taxi : oeunze - bureau ( retour au bureau par ordre du coordinateur)"/>
    <x v="0"/>
    <x v="4"/>
    <n v="1000"/>
    <n v="1.8744037053212446"/>
    <n v="533.50300000000004"/>
    <x v="7"/>
    <s v="T73-N-D1"/>
    <s v="PALF"/>
    <s v="Dahan"/>
    <s v="CONGO"/>
    <m/>
    <m/>
    <m/>
  </r>
  <r>
    <d v="2025-11-24T00:00:00"/>
    <s v="IT87-CONGO Frais d'hôtel  du 14 au 24/11/2025 à Dolisie (10 nuitées)"/>
    <x v="3"/>
    <x v="4"/>
    <n v="150000"/>
    <n v="281.16055579818669"/>
    <n v="533.50300000000004"/>
    <x v="8"/>
    <s v="IT87-N-R5"/>
    <s v="PALF"/>
    <s v="Dahan"/>
    <s v="CONGO"/>
    <m/>
    <m/>
    <m/>
  </r>
  <r>
    <d v="2025-11-24T00:00:00"/>
    <s v="Taxi : Hôtel - Agence Océan du nord/ Départ de Dolisie pour Brazzaville"/>
    <x v="0"/>
    <x v="4"/>
    <n v="1000"/>
    <n v="1.8744037053212446"/>
    <n v="533.50300000000004"/>
    <x v="8"/>
    <s v="IT87-N-D1"/>
    <s v="PALF"/>
    <s v="Dahan"/>
    <s v="CONGO"/>
    <m/>
    <m/>
    <m/>
  </r>
  <r>
    <d v="2025-11-24T00:00:00"/>
    <s v="Achat billet Dolisie - Brazzaville/ IT87"/>
    <x v="0"/>
    <x v="4"/>
    <n v="9000"/>
    <n v="16.869633347891202"/>
    <n v="533.50300000000004"/>
    <x v="8"/>
    <s v="IT87-N-R6"/>
    <s v="PALF"/>
    <s v="Dahan"/>
    <s v="CONGO"/>
    <m/>
    <m/>
    <m/>
  </r>
  <r>
    <d v="2025-11-24T00:00:00"/>
    <s v="Taxi : Agence Océan du nord Moungali - Domicile/ Arrivé à Brazzaville"/>
    <x v="0"/>
    <x v="4"/>
    <n v="2500"/>
    <n v="4.6860092633031112"/>
    <n v="533.50300000000004"/>
    <x v="8"/>
    <s v="IT87-N-D1"/>
    <s v="PALF"/>
    <s v="Dahan"/>
    <s v="CONGO"/>
    <m/>
    <m/>
    <m/>
  </r>
  <r>
    <d v="2025-11-24T00:00:00"/>
    <s v="Taxi:Bureau-DGEF pour le rétrait du contrat "/>
    <x v="0"/>
    <x v="1"/>
    <n v="1000"/>
    <n v="1.8744037053212446"/>
    <n v="533.50300000000004"/>
    <x v="1"/>
    <s v="RO-N-D1"/>
    <s v="PALF"/>
    <s v="Dahan"/>
    <s v="CONGO"/>
    <m/>
    <m/>
    <m/>
  </r>
  <r>
    <d v="2025-11-24T00:00:00"/>
    <s v="Taxi:DGEF-Bureau"/>
    <x v="0"/>
    <x v="1"/>
    <n v="1000"/>
    <n v="1.8744037053212446"/>
    <n v="533.50300000000004"/>
    <x v="1"/>
    <s v="RO-N-D1"/>
    <s v="PALF"/>
    <s v="Dahan"/>
    <s v="CONGO"/>
    <m/>
    <m/>
    <m/>
  </r>
  <r>
    <d v="2025-11-24T00:00:00"/>
    <s v="Taxi Hôtel Divine-agence Océan du Nord de Ouesso"/>
    <x v="13"/>
    <x v="1"/>
    <n v="500"/>
    <n v="0.93720185266062228"/>
    <n v="533.50300000000004"/>
    <x v="11"/>
    <s v="DR-N-D1"/>
    <s v="PALF"/>
    <s v="Dahan"/>
    <s v="CONGO"/>
    <m/>
    <m/>
    <m/>
  </r>
  <r>
    <d v="2025-11-24T00:00:00"/>
    <s v="Taxi Hôtel agence Océan du Nord d'Enyelé-Hôtel Paulina"/>
    <x v="13"/>
    <x v="1"/>
    <n v="500"/>
    <n v="0.93720185266062228"/>
    <n v="533.50300000000004"/>
    <x v="11"/>
    <s v="DR-N-D1"/>
    <s v="PALF"/>
    <s v="Dahan"/>
    <s v="CONGO"/>
    <m/>
    <m/>
    <m/>
  </r>
  <r>
    <d v="2025-11-24T00:00:00"/>
    <s v="Acompte honoraire contrat N 87_Madingou casNTONDELE Fulgence Claver/Maitre Marie Hélène NANITELAMIO MALONGA/ 3655350"/>
    <x v="1"/>
    <x v="1"/>
    <n v="200000"/>
    <n v="374.88074106424892"/>
    <n v="533.50300000000004"/>
    <x v="2"/>
    <s v="BQ-N-R5"/>
    <s v="PALF"/>
    <s v="Dahan"/>
    <s v="CONGO"/>
    <m/>
    <m/>
    <m/>
  </r>
  <r>
    <d v="2025-11-24T00:00:00"/>
    <s v="Solde honoraire contrat N 87_Madingou casNTONDELE Fulgence Claver/Maitre Marie Hélène NANITELAMIO MALONGA/ 3655352"/>
    <x v="1"/>
    <x v="1"/>
    <n v="300000"/>
    <n v="562.32111159637338"/>
    <n v="533.50300000000004"/>
    <x v="2"/>
    <s v="BQ-N-R6"/>
    <s v="PALF"/>
    <s v="Dahan"/>
    <s v="CONGO"/>
    <m/>
    <m/>
    <m/>
  </r>
  <r>
    <d v="2025-11-25T00:00:00"/>
    <s v="DONALD ROMEO-CONGO Frais d'hôtel du 24 au 25/11/2025 à Enyelé (01 nuitée)"/>
    <x v="3"/>
    <x v="1"/>
    <n v="15000"/>
    <n v="28.116055579818667"/>
    <n v="533.50300000000004"/>
    <x v="11"/>
    <s v="DR-N-R6"/>
    <s v="PALF"/>
    <s v="Dahan"/>
    <s v="CONGO"/>
    <m/>
    <m/>
    <m/>
  </r>
  <r>
    <d v="2025-11-25T00:00:00"/>
    <s v="Maison- Bureau"/>
    <x v="0"/>
    <x v="2"/>
    <n v="1000"/>
    <n v="1.8744037053212446"/>
    <n v="533.50300000000004"/>
    <x v="3"/>
    <s v="DH-N-D1"/>
    <s v="PALF"/>
    <s v="Dahan"/>
    <s v="CONGO"/>
    <m/>
    <m/>
    <m/>
  </r>
  <r>
    <d v="2025-11-25T00:00:00"/>
    <s v="Bureau -Maison"/>
    <x v="0"/>
    <x v="2"/>
    <n v="1000"/>
    <n v="1.8744037053212446"/>
    <n v="533.50300000000004"/>
    <x v="3"/>
    <s v="DH-N-D1"/>
    <s v="PALF"/>
    <s v="Dahan"/>
    <s v="CONGO"/>
    <m/>
    <m/>
    <m/>
  </r>
  <r>
    <d v="2025-11-25T00:00:00"/>
    <s v="Taxi: Bureau -Banque BCI/ Retrait espece "/>
    <x v="0"/>
    <x v="3"/>
    <n v="1000"/>
    <n v="1.8744037053212446"/>
    <n v="533.50300000000004"/>
    <x v="5"/>
    <s v="P-N-D1"/>
    <s v="PALF"/>
    <s v="Dahan"/>
    <s v="CONGO"/>
    <m/>
    <m/>
    <m/>
  </r>
  <r>
    <d v="2025-11-25T00:00:00"/>
    <s v="Taxi: Banque BCI-Bureau"/>
    <x v="0"/>
    <x v="3"/>
    <n v="1000"/>
    <n v="1.8744037053212446"/>
    <n v="533.50300000000004"/>
    <x v="5"/>
    <s v="P-N-D1"/>
    <s v="PALF"/>
    <s v="Dahan"/>
    <s v="CONGO"/>
    <m/>
    <m/>
    <m/>
  </r>
  <r>
    <d v="2025-11-25T00:00:00"/>
    <s v="Taxi: Bureau-Aéroport"/>
    <x v="0"/>
    <x v="1"/>
    <n v="1000"/>
    <n v="1.8744037053212446"/>
    <n v="533.50300000000004"/>
    <x v="10"/>
    <s v="AB-N-D1"/>
    <s v="PALF"/>
    <s v="Dahan"/>
    <s v="CONGO"/>
    <m/>
    <m/>
    <m/>
  </r>
  <r>
    <d v="2025-11-25T00:00:00"/>
    <s v="Taxi: Aéroport-Bureau"/>
    <x v="0"/>
    <x v="1"/>
    <n v="1000"/>
    <n v="1.8744037053212446"/>
    <n v="533.50300000000004"/>
    <x v="10"/>
    <s v="AB-N-D1"/>
    <s v="PALF"/>
    <s v="Dahan"/>
    <s v="CONGO"/>
    <m/>
    <m/>
    <m/>
  </r>
  <r>
    <d v="2025-11-25T00:00:00"/>
    <s v="Taxi Hôtel Paulina-agence Océan du Nord d'Enylé"/>
    <x v="13"/>
    <x v="1"/>
    <n v="500"/>
    <n v="0.93720185266062228"/>
    <n v="533.50300000000004"/>
    <x v="11"/>
    <s v="DR-N-D1"/>
    <s v="PALF"/>
    <s v="Dahan"/>
    <s v="CONGO"/>
    <m/>
    <m/>
    <m/>
  </r>
  <r>
    <d v="2025-11-25T00:00:00"/>
    <s v="Taxi agence Océan du Nord d'Impfondo-Hôtel Mithé"/>
    <x v="13"/>
    <x v="1"/>
    <n v="500"/>
    <n v="0.93720185266062228"/>
    <n v="533.50300000000004"/>
    <x v="11"/>
    <s v="DR-N-D1"/>
    <s v="PALF"/>
    <s v="Dahan"/>
    <s v="CONGO"/>
    <m/>
    <m/>
    <m/>
  </r>
  <r>
    <d v="2025-11-25T00:00:00"/>
    <s v="Bonus media portant sur la condamnation d'un trafiquant d'un bébé chimpanzé le 20 novembre 2025 à Madingou pieces presse papier(La semain Africaine)"/>
    <x v="7"/>
    <x v="0"/>
    <n v="10000"/>
    <n v="18.744037053212445"/>
    <n v="533.50300000000004"/>
    <x v="0"/>
    <s v="CA-N-D11"/>
    <s v="PALF"/>
    <s v="Dahan"/>
    <s v="CONGO"/>
    <m/>
    <m/>
    <m/>
  </r>
  <r>
    <d v="2025-11-25T00:00:00"/>
    <s v="Bonus media portant sur la condamnation d'un trafiquant d'un bébé chimpanzé le 20 novembre 2025 à Madingou pieces presse papier( Opinion Publique)"/>
    <x v="7"/>
    <x v="0"/>
    <n v="10000"/>
    <n v="18.744037053212445"/>
    <n v="533.50300000000004"/>
    <x v="0"/>
    <s v="CA-N-D11"/>
    <s v="PALF"/>
    <s v="Dahan"/>
    <s v="CONGO"/>
    <m/>
    <m/>
    <m/>
  </r>
  <r>
    <d v="2025-11-25T00:00:00"/>
    <s v="Bonus media portant sur la condamnation d'un trafiquant d'un bébé chimpanzé le 20 novembre 2025 à Madingou pieces presse papier( l'agence congolaise de l'information)"/>
    <x v="7"/>
    <x v="0"/>
    <n v="10000"/>
    <n v="18.744037053212445"/>
    <n v="533.50300000000004"/>
    <x v="0"/>
    <s v="CA-N-D11"/>
    <s v="PALF"/>
    <s v="Dahan"/>
    <s v="CONGO"/>
    <m/>
    <m/>
    <m/>
  </r>
  <r>
    <d v="2025-11-25T00:00:00"/>
    <s v="Bonus media portant sur la condamnation d'un trafiquant d'un bébé chimpanzé le 20 novembre 2025 à Madingou pieces presse papier(les depêches de brazzaville)"/>
    <x v="7"/>
    <x v="0"/>
    <n v="10000"/>
    <n v="18.744037053212445"/>
    <n v="533.50300000000004"/>
    <x v="0"/>
    <s v="CA-N-D11"/>
    <s v="PALF"/>
    <s v="Dahan"/>
    <s v="CONGO"/>
    <m/>
    <m/>
    <m/>
  </r>
  <r>
    <d v="2025-11-25T00:00:00"/>
    <s v="Bonus media portant sur la condamnation d'un trafiquant d'un bébé chimpanzé le 20 novembre 2025 à Madingou pieces presse papier( l'horizion africain)"/>
    <x v="7"/>
    <x v="0"/>
    <n v="10000"/>
    <n v="18.744037053212445"/>
    <n v="533.50300000000004"/>
    <x v="0"/>
    <s v="CA-N-D11"/>
    <s v="PALF"/>
    <s v="Dahan"/>
    <s v="CONGO"/>
    <m/>
    <m/>
    <m/>
  </r>
  <r>
    <d v="2025-11-25T00:00:00"/>
    <s v="Bonus media portant sur la condamnation  du trafiquant d'un bébé chimpanzé le 20 novembre 2025 à Madingou   pièces presse Internet (https://www.panoramik-actu.com)"/>
    <x v="7"/>
    <x v="0"/>
    <n v="6000"/>
    <n v="11.246422231927466"/>
    <n v="533.50300000000004"/>
    <x v="0"/>
    <s v="CA-N-D12"/>
    <s v="PALF"/>
    <s v="Dahan"/>
    <s v="CONGO"/>
    <m/>
    <m/>
    <m/>
  </r>
  <r>
    <d v="2025-11-25T00:00:00"/>
    <s v="Bonus media portant sur la condamnation  du trafiquant d'un bébé chimpanzé le 20 novembre 2025 à Madingou   pièces presse Internet(https://www.tribune-eco.cg)"/>
    <x v="7"/>
    <x v="0"/>
    <n v="6000"/>
    <n v="11.246422231927466"/>
    <n v="533.50300000000004"/>
    <x v="0"/>
    <s v="CA-N-D12"/>
    <s v="PALF"/>
    <s v="Dahan"/>
    <s v="CONGO"/>
    <m/>
    <m/>
    <m/>
  </r>
  <r>
    <d v="2025-11-25T00:00:00"/>
    <s v="Bonus media portant sur la condamnation  du trafiquant d'un bébé chimpanzé le 20 novembre 2025 à Madingou   pièces presse Internet(https://www.groupecongomedias.com)"/>
    <x v="7"/>
    <x v="0"/>
    <n v="6000"/>
    <n v="11.246422231927466"/>
    <n v="533.50300000000004"/>
    <x v="0"/>
    <s v="CA-N-D12"/>
    <s v="PALF"/>
    <s v="Dahan"/>
    <s v="CONGO"/>
    <m/>
    <m/>
    <m/>
  </r>
  <r>
    <d v="2025-11-25T00:00:00"/>
    <s v="Bonus media portant sur la condamnation  du trafiquant d'un bébé chimpanzé le 20 novembre 2025 à Madingou   pièces presse Internet (https://www.labreveonline.com)"/>
    <x v="7"/>
    <x v="0"/>
    <n v="6000"/>
    <n v="11.246422231927466"/>
    <n v="533.50300000000004"/>
    <x v="0"/>
    <s v="CA-N-D12"/>
    <s v="PALF"/>
    <s v="Dahan"/>
    <s v="CONGO"/>
    <m/>
    <m/>
    <m/>
  </r>
  <r>
    <d v="2025-11-25T00:00:00"/>
    <s v="Bonus media portant sur la condamnation  du trafiquant d'un bébé chimpanzé le 20 novembre 2025 à Madingou  pièces presse Internet (https://www.adiac-congo.com)"/>
    <x v="7"/>
    <x v="0"/>
    <n v="6000"/>
    <n v="11.246422231927466"/>
    <n v="533.50300000000004"/>
    <x v="0"/>
    <s v="CA-N-D12"/>
    <s v="PALF"/>
    <s v="Dahan"/>
    <s v="CONGO"/>
    <m/>
    <m/>
    <m/>
  </r>
  <r>
    <d v="2025-11-25T00:00:00"/>
    <s v="Bonus media portant sur la condamnation  du trafiquant d'un bébé chimpanzé le 20 novembre 2025 à Madingou   pièces presse Internet (https://www.lasemaineafricaine.info)"/>
    <x v="7"/>
    <x v="0"/>
    <n v="6000"/>
    <n v="11.246422231927466"/>
    <n v="533.50300000000004"/>
    <x v="0"/>
    <s v="CA-N-D12"/>
    <s v="PALF"/>
    <s v="Dahan"/>
    <s v="CONGO"/>
    <m/>
    <m/>
    <m/>
  </r>
  <r>
    <d v="2025-11-25T00:00:00"/>
    <s v="Bonus media portant sur la condamnation  du trafiquant d'un bébé chimpanzé le 20 novembre 2025 à Madingou   pièces presse Internet (https://www.matinlibre.cg)"/>
    <x v="7"/>
    <x v="0"/>
    <n v="6000"/>
    <n v="11.246422231927466"/>
    <n v="533.50300000000004"/>
    <x v="0"/>
    <s v="CA-N-D12"/>
    <s v="PALF"/>
    <s v="Dahan"/>
    <s v="CONGO"/>
    <m/>
    <m/>
    <m/>
  </r>
  <r>
    <d v="2025-11-25T00:00:00"/>
    <s v="Bonus media portant sur la condamnation  du trafiquant d'un bébé chimpanzé le 20 novembre 2025 à Madingou   pièces presse Internet (https://www.Opinionpublique.cg)"/>
    <x v="7"/>
    <x v="0"/>
    <n v="6000"/>
    <n v="11.246422231927466"/>
    <n v="533.50300000000004"/>
    <x v="0"/>
    <s v="CA-N-D12"/>
    <s v="PALF"/>
    <s v="Dahan"/>
    <s v="CONGO"/>
    <m/>
    <m/>
    <m/>
  </r>
  <r>
    <d v="2025-11-25T00:00:00"/>
    <s v="Bonus media portant sur la condamnation  du trafiquant d'un bébé chimpanzé le 20 novembre 2025 à Madingou   pièces presse Internet (https://wwwlesechos-congobrazza.com/)"/>
    <x v="7"/>
    <x v="0"/>
    <n v="6000"/>
    <n v="11.246422231927466"/>
    <n v="533.50300000000004"/>
    <x v="0"/>
    <s v="CA-N-D12"/>
    <s v="PALF"/>
    <s v="Dahan"/>
    <s v="CONGO"/>
    <m/>
    <m/>
    <m/>
  </r>
  <r>
    <d v="2025-11-25T00:00:00"/>
    <s v="Bonus media portant sur la condamnation  du trafiquant d'un bébé chimpanzé le 20 novembre 2025 à Madingou   pièces presse Internet (https://vmmedias.info)"/>
    <x v="7"/>
    <x v="0"/>
    <n v="6000"/>
    <n v="11.246422231927466"/>
    <n v="533.50300000000004"/>
    <x v="0"/>
    <s v="CA-N-D12"/>
    <s v="PALF"/>
    <s v="Dahan"/>
    <s v="CONGO"/>
    <m/>
    <m/>
    <m/>
  </r>
  <r>
    <d v="2025-11-25T00:00:00"/>
    <s v="Bonus media portant sur la condamnation  du trafiquant d'un bébé chimpanzé le 20 novembre 2025 à Madingou   pièces presse Internet (https://aci.cg)"/>
    <x v="7"/>
    <x v="0"/>
    <n v="6000"/>
    <n v="11.246422231927466"/>
    <n v="533.50300000000004"/>
    <x v="0"/>
    <s v="CA-N-D12"/>
    <s v="PALF"/>
    <s v="Dahan"/>
    <s v="CONGO"/>
    <m/>
    <m/>
    <m/>
  </r>
  <r>
    <d v="2025-11-25T00:00:00"/>
    <s v="Bonus media portant sur la condamnation  du trafiquant d'un bébé chimpanzé le 20 novembre 2025 à Madingou   pièces presse Internet (https://www.lhorizonafricain.com)"/>
    <x v="7"/>
    <x v="0"/>
    <n v="6000"/>
    <n v="11.246422231927466"/>
    <n v="533.50300000000004"/>
    <x v="0"/>
    <s v="CA-N-D12"/>
    <s v="PALF"/>
    <s v="Dahan"/>
    <s v="CONGO"/>
    <m/>
    <m/>
    <m/>
  </r>
  <r>
    <d v="2025-11-25T00:00:00"/>
    <s v="Taxi, Bureau PALF-groupecongomedias.com"/>
    <x v="0"/>
    <x v="0"/>
    <n v="1000"/>
    <n v="1.8744037053212446"/>
    <n v="533.50300000000004"/>
    <x v="0"/>
    <s v="EV-N-D1"/>
    <s v="PALF"/>
    <s v="Dahan"/>
    <s v="CONGO"/>
    <m/>
    <m/>
    <m/>
  </r>
  <r>
    <d v="2025-11-25T00:00:00"/>
    <s v="Taxi, groupecongomedias.com-panoramik-atu.com"/>
    <x v="0"/>
    <x v="0"/>
    <n v="1000"/>
    <n v="1.8744037053212446"/>
    <n v="533.50300000000004"/>
    <x v="0"/>
    <s v="EV-N-D1"/>
    <s v="PALF"/>
    <s v="Dahan"/>
    <s v="CONGO"/>
    <m/>
    <m/>
    <m/>
  </r>
  <r>
    <d v="2025-11-25T00:00:00"/>
    <s v="Taxi, panoramik-actu.com-tribune-eco.com"/>
    <x v="0"/>
    <x v="0"/>
    <n v="1000"/>
    <n v="1.8744037053212446"/>
    <n v="533.50300000000004"/>
    <x v="0"/>
    <s v="EV-N-D1"/>
    <s v="PALF"/>
    <s v="Dahan"/>
    <s v="CONGO"/>
    <m/>
    <m/>
    <m/>
  </r>
  <r>
    <d v="2025-11-25T00:00:00"/>
    <s v="Taxi, tribune-eco.com-Bureau PALF"/>
    <x v="0"/>
    <x v="0"/>
    <n v="1000"/>
    <n v="1.8744037053212446"/>
    <n v="533.50300000000004"/>
    <x v="0"/>
    <s v="EV-N-D1"/>
    <s v="PALF"/>
    <s v="Dahan"/>
    <s v="CONGO"/>
    <m/>
    <m/>
    <m/>
  </r>
  <r>
    <d v="2025-11-25T00:00:00"/>
    <s v="Taxi: Bureau-TGI de Brazzaille(pour rencontrer maitre Hélène)"/>
    <x v="0"/>
    <x v="1"/>
    <n v="1000"/>
    <n v="1.8744037053212446"/>
    <n v="533.50300000000004"/>
    <x v="12"/>
    <s v="RM-N-D1"/>
    <s v="PALF"/>
    <s v="Dahan"/>
    <s v="CONGO"/>
    <m/>
    <m/>
    <m/>
  </r>
  <r>
    <d v="2025-11-25T00:00:00"/>
    <s v="Taxi: TGI de Brazzaville-Bureau"/>
    <x v="0"/>
    <x v="1"/>
    <n v="1000"/>
    <n v="1.8744037053212446"/>
    <n v="533.50300000000004"/>
    <x v="12"/>
    <s v="RM-N-D1"/>
    <s v="PALF"/>
    <s v="Dahan"/>
    <s v="CONGO"/>
    <m/>
    <m/>
    <m/>
  </r>
  <r>
    <d v="2025-11-26T00:00:00"/>
    <s v="Maison - Bureau"/>
    <x v="0"/>
    <x v="2"/>
    <n v="1000"/>
    <n v="1.8744037053212446"/>
    <n v="533.50300000000004"/>
    <x v="3"/>
    <s v="DH-N-D1"/>
    <s v="PALF"/>
    <s v="Dahan"/>
    <s v="CONGO"/>
    <m/>
    <m/>
    <m/>
  </r>
  <r>
    <d v="2025-11-26T00:00:00"/>
    <s v="Bureau -Aspinall"/>
    <x v="0"/>
    <x v="2"/>
    <n v="1000"/>
    <n v="1.8744037053212446"/>
    <n v="533.50300000000004"/>
    <x v="3"/>
    <s v="DH-N-D1"/>
    <s v="PALF"/>
    <s v="Dahan"/>
    <s v="CONGO"/>
    <m/>
    <m/>
    <m/>
  </r>
  <r>
    <d v="2025-11-26T00:00:00"/>
    <s v="Aspinall - Bureau"/>
    <x v="0"/>
    <x v="2"/>
    <n v="1000"/>
    <n v="1.8744037053212446"/>
    <n v="533.50300000000004"/>
    <x v="3"/>
    <s v="DH-N-D1"/>
    <s v="PALF"/>
    <s v="Dahan"/>
    <s v="CONGO"/>
    <m/>
    <m/>
    <m/>
  </r>
  <r>
    <d v="2025-11-26T00:00:00"/>
    <s v="Bureau -Maison"/>
    <x v="0"/>
    <x v="2"/>
    <n v="1000"/>
    <n v="1.8744037053212446"/>
    <n v="533.50300000000004"/>
    <x v="3"/>
    <s v="DH-N-D1"/>
    <s v="PALF"/>
    <s v="Dahan"/>
    <s v="CONGO"/>
    <m/>
    <m/>
    <m/>
  </r>
  <r>
    <d v="2025-11-26T00:00:00"/>
    <s v="Frais de tansfert d'argent  à Donald-Roméo  par momo"/>
    <x v="4"/>
    <x v="3"/>
    <n v="4760"/>
    <n v="8.9221616373291237"/>
    <n v="533.50300000000004"/>
    <x v="5"/>
    <s v="CA-N-R22"/>
    <s v="PALF"/>
    <s v="Dahan"/>
    <s v="CONGO"/>
    <m/>
    <m/>
    <m/>
  </r>
  <r>
    <d v="2025-11-26T00:00:00"/>
    <s v="Taxi:  Bureau - Direction MB2 Services / transfert d'argent à Donald-Roméo"/>
    <x v="0"/>
    <x v="3"/>
    <n v="1000"/>
    <n v="1.8744037053212446"/>
    <n v="533.50300000000004"/>
    <x v="5"/>
    <s v="P-N-D1"/>
    <s v="PALF"/>
    <s v="Dahan"/>
    <s v="CONGO"/>
    <m/>
    <m/>
    <m/>
  </r>
  <r>
    <d v="2025-11-26T00:00:00"/>
    <s v="Taxi:Direction MB2 services - Domicile"/>
    <x v="0"/>
    <x v="3"/>
    <n v="1000"/>
    <n v="1.8744037053212446"/>
    <n v="533.50300000000004"/>
    <x v="5"/>
    <s v="P-N-D1"/>
    <s v="PALF"/>
    <s v="Dahan"/>
    <s v="CONGO"/>
    <m/>
    <m/>
    <m/>
  </r>
  <r>
    <d v="2025-11-26T00:00:00"/>
    <s v="Taxi moto Hôtel Mithé- Maison d'arrêt/ Pour la visite geôle du 26/11/2025 matin"/>
    <x v="13"/>
    <x v="1"/>
    <n v="500"/>
    <n v="0.93720185266062228"/>
    <n v="533.50300000000004"/>
    <x v="11"/>
    <s v="DR-N-D1"/>
    <s v="PALF"/>
    <s v="Dahan"/>
    <s v="CONGO"/>
    <m/>
    <m/>
    <m/>
  </r>
  <r>
    <d v="2025-11-26T00:00:00"/>
    <s v="Ration des deux prevenus/ Parfait et Jodel/ Maison d'arrêt d'Impfondo/matin"/>
    <x v="6"/>
    <x v="1"/>
    <n v="3000"/>
    <n v="5.6232111159637332"/>
    <n v="533.50300000000004"/>
    <x v="11"/>
    <s v="DR-N-D3"/>
    <s v="PALF"/>
    <s v="Dahan"/>
    <s v="CONGO"/>
    <m/>
    <m/>
    <m/>
  </r>
  <r>
    <d v="2025-11-26T00:00:00"/>
    <s v="Taxi moto Maison d'arrêt- Agence Océan du Nord/ Retirer les billets"/>
    <x v="13"/>
    <x v="1"/>
    <n v="500"/>
    <n v="0.93720185266062228"/>
    <n v="533.50300000000004"/>
    <x v="11"/>
    <s v="DR-N-D1"/>
    <s v="PALF"/>
    <s v="Dahan"/>
    <s v="CONGO"/>
    <m/>
    <m/>
    <m/>
  </r>
  <r>
    <d v="2025-11-26T00:00:00"/>
    <s v="Taxi moto Agence Océan du Nord-Hôtel Mithé"/>
    <x v="13"/>
    <x v="1"/>
    <n v="500"/>
    <n v="0.93720185266062228"/>
    <n v="533.50300000000004"/>
    <x v="11"/>
    <s v="DR-N-D1"/>
    <s v="PALF"/>
    <s v="Dahan"/>
    <s v="CONGO"/>
    <m/>
    <m/>
    <m/>
  </r>
  <r>
    <d v="2025-11-26T00:00:00"/>
    <s v="Taxi moto Hôtel Mithé- Maison d'arrêt/ Pour la visite geôle du 26/11/2025 après-midi"/>
    <x v="13"/>
    <x v="1"/>
    <n v="500"/>
    <n v="0.93720185266062228"/>
    <n v="533.50300000000004"/>
    <x v="11"/>
    <s v="DR-N-D1"/>
    <s v="PALF"/>
    <s v="Dahan"/>
    <s v="CONGO"/>
    <m/>
    <m/>
    <m/>
  </r>
  <r>
    <d v="2025-11-26T00:00:00"/>
    <s v="Taxi moto Maison d'arrêt- Hôtel Mithé"/>
    <x v="13"/>
    <x v="1"/>
    <n v="500"/>
    <n v="0.93720185266062228"/>
    <n v="533.50300000000004"/>
    <x v="11"/>
    <s v="DR-N-D1"/>
    <s v="PALF"/>
    <s v="Dahan"/>
    <s v="CONGO"/>
    <m/>
    <m/>
    <m/>
  </r>
  <r>
    <d v="2025-11-26T00:00:00"/>
    <s v="Ration des deux prevenus/ Parfait et Jodel/ Maison d'arrêt d'Impfondo/soir"/>
    <x v="6"/>
    <x v="1"/>
    <n v="3000"/>
    <n v="5.6232111159637332"/>
    <n v="533.50300000000004"/>
    <x v="11"/>
    <s v="DR-N-D3"/>
    <s v="PALF"/>
    <s v="Dahan"/>
    <s v="CONGO"/>
    <m/>
    <m/>
    <m/>
  </r>
  <r>
    <d v="2025-11-26T00:00:00"/>
    <s v="Taxi, Bureau PALF-Les Dépêches de Brazzaville"/>
    <x v="0"/>
    <x v="0"/>
    <n v="1000"/>
    <n v="1.8744037053212446"/>
    <n v="533.50300000000004"/>
    <x v="0"/>
    <s v="EV-N-D1"/>
    <s v="PALF"/>
    <s v="Dahan"/>
    <s v="CONGO"/>
    <m/>
    <m/>
    <m/>
  </r>
  <r>
    <d v="2025-11-26T00:00:00"/>
    <s v="Taxi, les dépêches de Brazzaville-matinlibre.cg"/>
    <x v="0"/>
    <x v="0"/>
    <n v="1000"/>
    <n v="1.8744037053212446"/>
    <n v="533.50300000000004"/>
    <x v="0"/>
    <s v="EV-N-D1"/>
    <s v="PALF"/>
    <s v="Dahan"/>
    <s v="CONGO"/>
    <m/>
    <m/>
    <m/>
  </r>
  <r>
    <d v="2025-11-26T00:00:00"/>
    <s v="Taxi, matinlibre.cg-labreoneline.cg"/>
    <x v="0"/>
    <x v="0"/>
    <n v="1000"/>
    <n v="1.8744037053212446"/>
    <n v="533.50300000000004"/>
    <x v="0"/>
    <s v="EV-N-D1"/>
    <s v="PALF"/>
    <s v="Dahan"/>
    <s v="CONGO"/>
    <m/>
    <m/>
    <m/>
  </r>
  <r>
    <d v="2025-11-26T00:00:00"/>
    <s v="Taxi, labreveoneline.com-Bureau PALF"/>
    <x v="0"/>
    <x v="0"/>
    <n v="1000"/>
    <n v="1.8744037053212446"/>
    <n v="533.50300000000004"/>
    <x v="0"/>
    <s v="EV-N-D1"/>
    <s v="PALF"/>
    <s v="Dahan"/>
    <s v="CONGO"/>
    <m/>
    <m/>
    <m/>
  </r>
  <r>
    <d v="2025-11-27T00:00:00"/>
    <s v="Maison - Bureau"/>
    <x v="0"/>
    <x v="2"/>
    <n v="1000"/>
    <n v="1.8744037053212446"/>
    <n v="533.50300000000004"/>
    <x v="3"/>
    <s v="DH-N-D1"/>
    <s v="PALF"/>
    <s v="Dahan"/>
    <s v="CONGO"/>
    <m/>
    <m/>
    <m/>
  </r>
  <r>
    <d v="2025-11-27T00:00:00"/>
    <s v="Bureau - Maison"/>
    <x v="0"/>
    <x v="2"/>
    <n v="1000"/>
    <n v="1.8744037053212446"/>
    <n v="533.50300000000004"/>
    <x v="3"/>
    <s v="DH-N-D1"/>
    <s v="PALF"/>
    <s v="Dahan"/>
    <s v="CONGO"/>
    <m/>
    <m/>
    <m/>
  </r>
  <r>
    <d v="2025-11-27T00:00:00"/>
    <s v="Taxi:Bureau- Direction Canal Box/ Paiement internet du mois de Décembre 2025"/>
    <x v="0"/>
    <x v="3"/>
    <n v="1000"/>
    <n v="1.8744037053212446"/>
    <n v="533.50300000000004"/>
    <x v="5"/>
    <s v="P-N-D1"/>
    <s v="PALF"/>
    <s v="Dahan"/>
    <s v="CONGO"/>
    <m/>
    <m/>
    <m/>
  </r>
  <r>
    <d v="2025-11-27T00:00:00"/>
    <s v=" Frais de prestation de nettoyage jardin PALF Novembre 2025"/>
    <x v="10"/>
    <x v="3"/>
    <n v="40000"/>
    <n v="74.976148212849779"/>
    <n v="533.50300000000004"/>
    <x v="5"/>
    <s v="CA-N-R23"/>
    <s v="PALF"/>
    <s v="Dahan"/>
    <s v="CONGO"/>
    <m/>
    <m/>
    <m/>
  </r>
  <r>
    <d v="2025-11-27T00:00:00"/>
    <s v="Reglement prestation de nettoyage  PALF du mois de novembre 2025"/>
    <x v="10"/>
    <x v="3"/>
    <n v="80000"/>
    <n v="149.95229642569956"/>
    <n v="533.50300000000004"/>
    <x v="5"/>
    <s v="CA-N-R24"/>
    <s v="PALF"/>
    <s v="Dahan"/>
    <s v="CONGO"/>
    <m/>
    <m/>
    <m/>
  </r>
  <r>
    <d v="2025-11-27T00:00:00"/>
    <s v="Frais de ramassage Ordure novembre 2025"/>
    <x v="8"/>
    <x v="3"/>
    <n v="8000"/>
    <n v="14.995229642569956"/>
    <n v="533.50300000000004"/>
    <x v="5"/>
    <s v="CA-N-R25"/>
    <s v="PALF"/>
    <s v="Dahan"/>
    <s v="CONGO"/>
    <m/>
    <m/>
    <m/>
  </r>
  <r>
    <d v="2025-11-27T00:00:00"/>
    <s v="Reglement facture internet periode du 01/12 au 31/12/2025 bureau PALF"/>
    <x v="14"/>
    <x v="3"/>
    <n v="45050"/>
    <n v="84.44188692472207"/>
    <n v="533.50300000000004"/>
    <x v="5"/>
    <s v="CA-N-R26"/>
    <s v="PALF"/>
    <s v="Dahan"/>
    <s v="CONGO"/>
    <m/>
    <m/>
    <m/>
  </r>
  <r>
    <d v="2025-11-27T00:00:00"/>
    <s v="Taxi: Direction Canal Box-Bureau"/>
    <x v="0"/>
    <x v="3"/>
    <n v="1000"/>
    <n v="1.8744037053212446"/>
    <n v="533.50300000000004"/>
    <x v="5"/>
    <s v="P-N-D1"/>
    <s v="PALF"/>
    <s v="Dahan"/>
    <s v="CONGO"/>
    <m/>
    <m/>
    <m/>
  </r>
  <r>
    <d v="2025-11-27T00:00:00"/>
    <s v="Taxi bureau-agence,achat billet"/>
    <x v="0"/>
    <x v="4"/>
    <n v="1000"/>
    <n v="1.8744037053212446"/>
    <n v="533.50300000000004"/>
    <x v="6"/>
    <s v="P29-N-D1"/>
    <s v="PALF"/>
    <s v="Dahan"/>
    <s v="CONGO"/>
    <m/>
    <m/>
    <m/>
  </r>
  <r>
    <d v="2025-11-27T00:00:00"/>
    <s v="Taxi bureau-domicile"/>
    <x v="0"/>
    <x v="4"/>
    <n v="1500"/>
    <n v="2.8116055579818666"/>
    <n v="533.50300000000004"/>
    <x v="6"/>
    <s v="P29-N-D1"/>
    <s v="PALF"/>
    <s v="Dahan"/>
    <s v="CONGO"/>
    <m/>
    <m/>
    <m/>
  </r>
  <r>
    <d v="2025-11-27T00:00:00"/>
    <s v="Achat billet Brazzaville-Ikouele/P29"/>
    <x v="0"/>
    <x v="4"/>
    <n v="6000"/>
    <n v="11.246422231927466"/>
    <n v="533.50300000000004"/>
    <x v="6"/>
    <s v="P29-N-R7"/>
    <s v="PALF"/>
    <s v="Dahan"/>
    <s v="CONGO"/>
    <m/>
    <m/>
    <m/>
  </r>
  <r>
    <d v="2025-11-27T00:00:00"/>
    <s v="Taxi : Bureau - Trans bony voyage/ réservation du billet"/>
    <x v="0"/>
    <x v="4"/>
    <n v="1000"/>
    <n v="1.8744037053212446"/>
    <n v="533.50300000000004"/>
    <x v="8"/>
    <s v="IT87-N-D1"/>
    <s v="PALF"/>
    <s v="Dahan"/>
    <s v="CONGO"/>
    <m/>
    <m/>
    <m/>
  </r>
  <r>
    <d v="2025-11-27T00:00:00"/>
    <s v="Taxi : Trans bony voyage - Domicile/ Retour de la réservation du billet"/>
    <x v="0"/>
    <x v="4"/>
    <n v="2000"/>
    <n v="3.7488074106424891"/>
    <n v="533.50300000000004"/>
    <x v="8"/>
    <s v="IT87-N-D1"/>
    <s v="PALF"/>
    <s v="Dahan"/>
    <s v="CONGO"/>
    <m/>
    <m/>
    <m/>
  </r>
  <r>
    <d v="2025-11-27T00:00:00"/>
    <s v="Taxi moto Hôtel Mithé- Maison d'arrêt/ Pour la visite geôle du 27/06/2025 matin"/>
    <x v="13"/>
    <x v="1"/>
    <n v="500"/>
    <n v="0.93720185266062228"/>
    <n v="533.50300000000004"/>
    <x v="11"/>
    <s v="DR-N-D1"/>
    <s v="PALF"/>
    <s v="Dahan"/>
    <s v="CONGO"/>
    <m/>
    <m/>
    <m/>
  </r>
  <r>
    <d v="2025-11-27T00:00:00"/>
    <s v="Taxi moto TGI- Hôtel Mithé"/>
    <x v="13"/>
    <x v="1"/>
    <n v="500"/>
    <n v="0.93720185266062228"/>
    <n v="533.50300000000004"/>
    <x v="11"/>
    <s v="DR-N-D1"/>
    <s v="PALF"/>
    <s v="Dahan"/>
    <s v="CONGO"/>
    <m/>
    <m/>
    <m/>
  </r>
  <r>
    <d v="2025-11-27T00:00:00"/>
    <s v="Ration des deux prevenus/ Parfait et Jodel/ Maison d'arrêt d'Impfondo/matin"/>
    <x v="6"/>
    <x v="1"/>
    <n v="3000"/>
    <n v="5.6232111159637332"/>
    <n v="533.50300000000004"/>
    <x v="11"/>
    <s v="DR-N-D3"/>
    <s v="PALF"/>
    <s v="Dahan"/>
    <s v="CONGO"/>
    <m/>
    <m/>
    <m/>
  </r>
  <r>
    <d v="2025-11-27T00:00:00"/>
    <s v="Taxi moto Hôtel Mithé-Agence Océan du Nord/ Deposer les bagages"/>
    <x v="13"/>
    <x v="1"/>
    <n v="500"/>
    <n v="0.93720185266062228"/>
    <n v="533.50300000000004"/>
    <x v="11"/>
    <s v="DR-N-D1"/>
    <s v="PALF"/>
    <s v="Dahan"/>
    <s v="CONGO"/>
    <m/>
    <m/>
    <m/>
  </r>
  <r>
    <d v="2025-11-27T00:00:00"/>
    <s v="Taxi moto Agence Océan du Nord- Maison d'arrêt/ Pour la visite geôle du 27/06/2025 Après-midi"/>
    <x v="13"/>
    <x v="1"/>
    <n v="500"/>
    <n v="0.93720185266062228"/>
    <n v="533.50300000000004"/>
    <x v="11"/>
    <s v="DR-N-D1"/>
    <s v="PALF"/>
    <s v="Dahan"/>
    <s v="CONGO"/>
    <m/>
    <m/>
    <m/>
  </r>
  <r>
    <d v="2025-11-27T00:00:00"/>
    <s v="Taxi moto Maison d'arrêt- Hôtel Mithé"/>
    <x v="13"/>
    <x v="1"/>
    <n v="500"/>
    <n v="0.93720185266062228"/>
    <n v="533.50300000000004"/>
    <x v="11"/>
    <s v="DR-N-D1"/>
    <s v="PALF"/>
    <s v="Dahan"/>
    <s v="CONGO"/>
    <m/>
    <m/>
    <m/>
  </r>
  <r>
    <d v="2025-11-27T00:00:00"/>
    <s v="Ration des deux prevenus/ Parfait et Jodel/ Maison d'arrêt d'Impfondo/soir"/>
    <x v="6"/>
    <x v="1"/>
    <n v="3000"/>
    <n v="5.6232111159637332"/>
    <n v="533.50300000000004"/>
    <x v="11"/>
    <s v="DR-N-D3"/>
    <s v="PALF"/>
    <s v="Dahan"/>
    <s v="CONGO"/>
    <m/>
    <m/>
    <m/>
  </r>
  <r>
    <d v="2025-11-27T00:00:00"/>
    <s v="Taxi, Bureau PALF-Restaurant Mamaty"/>
    <x v="0"/>
    <x v="0"/>
    <n v="1000"/>
    <n v="1.8744037053212446"/>
    <n v="533.50300000000004"/>
    <x v="0"/>
    <s v="EV-N-D1"/>
    <s v="PALF"/>
    <s v="Dahan"/>
    <s v="CONGO"/>
    <m/>
    <m/>
    <m/>
  </r>
  <r>
    <d v="2025-11-27T00:00:00"/>
    <s v="Taxi, Restaurant Mamaty-Bureau PALF "/>
    <x v="0"/>
    <x v="0"/>
    <n v="1000"/>
    <n v="1.8744037053212446"/>
    <n v="533.50300000000004"/>
    <x v="0"/>
    <s v="EV-N-D1"/>
    <s v="PALF"/>
    <s v="Dahan"/>
    <s v="CONGO"/>
    <m/>
    <m/>
    <m/>
  </r>
  <r>
    <d v="2025-11-27T00:00:00"/>
    <s v="Rafraichissement des candidats enquêteurs lors de l'entretion"/>
    <x v="3"/>
    <x v="0"/>
    <n v="3100"/>
    <n v="5.8106514864958578"/>
    <n v="533.50300000000004"/>
    <x v="0"/>
    <s v="EV-N-R4"/>
    <s v="PALF"/>
    <s v="Dahan"/>
    <s v="CONGO"/>
    <m/>
    <m/>
    <m/>
  </r>
  <r>
    <d v="2025-11-27T00:00:00"/>
    <s v="Taxi, Bureau PALF-Horizon Africain"/>
    <x v="0"/>
    <x v="0"/>
    <n v="1000"/>
    <n v="1.8744037053212446"/>
    <n v="533.50300000000004"/>
    <x v="0"/>
    <s v="EV-N-D1"/>
    <s v="PALF"/>
    <s v="Dahan"/>
    <s v="CONGO"/>
    <m/>
    <m/>
    <m/>
  </r>
  <r>
    <d v="2025-11-27T00:00:00"/>
    <s v="Taxi, Horizon Africain-opinion publique"/>
    <x v="0"/>
    <x v="0"/>
    <n v="1000"/>
    <n v="1.8744037053212446"/>
    <n v="533.50300000000004"/>
    <x v="0"/>
    <s v="EV-N-D1"/>
    <s v="PALF"/>
    <s v="Dahan"/>
    <s v="CONGO"/>
    <m/>
    <m/>
    <m/>
  </r>
  <r>
    <d v="2025-11-27T00:00:00"/>
    <s v="Taxi, opinion publique-Bureau PALF"/>
    <x v="0"/>
    <x v="0"/>
    <n v="1000"/>
    <n v="1.8744037053212446"/>
    <n v="533.50300000000004"/>
    <x v="0"/>
    <s v="EV-N-D1"/>
    <s v="PALF"/>
    <s v="Dahan"/>
    <s v="CONGO"/>
    <m/>
    <m/>
    <m/>
  </r>
  <r>
    <d v="2025-11-28T00:00:00"/>
    <s v="Achat billet Impfondo-Brazzaville/Donald-Roméo"/>
    <x v="13"/>
    <x v="1"/>
    <n v="37000"/>
    <n v="69.352937096886052"/>
    <n v="533.50300000000004"/>
    <x v="11"/>
    <s v="DR-N-R7"/>
    <s v="PALF"/>
    <s v="Dahan"/>
    <s v="CONGO"/>
    <m/>
    <m/>
    <m/>
  </r>
  <r>
    <d v="2025-11-28T00:00:00"/>
    <s v="P29 - CONGO Ration  du 28/11 au 02/12/2025 à Ikouele et ivoumba (4 Nuitées)"/>
    <x v="3"/>
    <x v="4"/>
    <n v="40000"/>
    <n v="74.976148212849779"/>
    <n v="533.50300000000004"/>
    <x v="6"/>
    <s v="P29-N-D4"/>
    <s v="PALF"/>
    <s v="Dahan"/>
    <s v="CONGO"/>
    <m/>
    <m/>
    <m/>
  </r>
  <r>
    <d v="2025-11-28T00:00:00"/>
    <s v="Taxi domicile-agence,départ mission"/>
    <x v="0"/>
    <x v="4"/>
    <n v="1500"/>
    <n v="2.8116055579818666"/>
    <n v="533.50300000000004"/>
    <x v="6"/>
    <s v="P29-N-D1"/>
    <s v="PALF"/>
    <s v="Dahan"/>
    <s v="CONGO"/>
    <m/>
    <m/>
    <m/>
  </r>
  <r>
    <d v="2025-11-28T00:00:00"/>
    <s v="Taxi agence-hotel"/>
    <x v="0"/>
    <x v="4"/>
    <n v="1000"/>
    <n v="1.8744037053212446"/>
    <n v="533.50300000000004"/>
    <x v="6"/>
    <s v="P29-N-D1"/>
    <s v="PALF"/>
    <s v="Dahan"/>
    <s v="CONGO"/>
    <m/>
    <m/>
    <m/>
  </r>
  <r>
    <d v="2025-11-28T00:00:00"/>
    <s v="IT87-CONGO Ration du 28/11/2025 au 02/12/2025 à Gamboma et Ngo"/>
    <x v="3"/>
    <x v="4"/>
    <n v="40000"/>
    <n v="74.976148212849779"/>
    <n v="533.50300000000004"/>
    <x v="8"/>
    <s v="IT87-N-D4"/>
    <s v="PALF"/>
    <s v="Dahan"/>
    <s v="CONGO"/>
    <m/>
    <m/>
    <m/>
  </r>
  <r>
    <d v="2025-11-28T00:00:00"/>
    <s v="Taxi : Domicile - Agence Trans bony/ Départ de Brazzaville pour Gamboma"/>
    <x v="0"/>
    <x v="4"/>
    <n v="2000"/>
    <n v="3.7488074106424891"/>
    <n v="533.50300000000004"/>
    <x v="8"/>
    <s v="IT87-N-D1"/>
    <s v="PALF"/>
    <s v="Dahan"/>
    <s v="CONGO"/>
    <m/>
    <m/>
    <m/>
  </r>
  <r>
    <d v="2025-11-28T00:00:00"/>
    <s v="Achat billet Brazzaville - Gamboma/ IT87"/>
    <x v="0"/>
    <x v="4"/>
    <n v="5000"/>
    <n v="9.3720185266062224"/>
    <n v="533.50300000000004"/>
    <x v="8"/>
    <s v="IT87-N-R7"/>
    <s v="PALF"/>
    <s v="Dahan"/>
    <s v="CONGO"/>
    <m/>
    <m/>
    <m/>
  </r>
  <r>
    <d v="2025-11-28T00:00:00"/>
    <s v="Taxi moto : Agence trans bony - Hôtel Baobab/ Arrivé à Gamboma"/>
    <x v="0"/>
    <x v="4"/>
    <n v="500"/>
    <n v="0.93720185266062228"/>
    <n v="533.50300000000004"/>
    <x v="8"/>
    <s v="IT87-N-D1"/>
    <s v="PALF"/>
    <s v="Dahan"/>
    <s v="CONGO"/>
    <m/>
    <m/>
    <m/>
  </r>
  <r>
    <d v="2025-11-28T00:00:00"/>
    <s v="Taxi moto : Hôtel Baobab - Quartier Mpaire/ Prospection"/>
    <x v="0"/>
    <x v="4"/>
    <n v="500"/>
    <n v="0.93720185266062228"/>
    <n v="533.50300000000004"/>
    <x v="8"/>
    <s v="IT87-N-D1"/>
    <s v="PALF"/>
    <s v="Dahan"/>
    <s v="CONGO"/>
    <m/>
    <m/>
    <m/>
  </r>
  <r>
    <d v="2025-11-28T00:00:00"/>
    <s v="Taxi moto : Quartier Mpaire - Hôtel Baobab/ Retour de prospection"/>
    <x v="0"/>
    <x v="4"/>
    <n v="500"/>
    <n v="0.93720185266062228"/>
    <n v="533.50300000000004"/>
    <x v="8"/>
    <s v="IT87-N-D1"/>
    <s v="PALF"/>
    <s v="Dahan"/>
    <s v="CONGO"/>
    <m/>
    <m/>
    <m/>
  </r>
  <r>
    <d v="2025-11-28T00:00:00"/>
    <s v="G12-CONGO Ration du 28 au 02 /12/2025 à Kinkala - Louingui"/>
    <x v="3"/>
    <x v="4"/>
    <n v="40000"/>
    <n v="74.976148212849779"/>
    <n v="533.50300000000004"/>
    <x v="9"/>
    <s v="G12-N-D4"/>
    <s v="PALF"/>
    <s v="Dahan"/>
    <s v="CONGO"/>
    <m/>
    <m/>
    <m/>
  </r>
  <r>
    <d v="2025-11-28T00:00:00"/>
    <s v="Taxi: Domicile - la gare routière  / depart pour kinkala"/>
    <x v="0"/>
    <x v="4"/>
    <n v="1000"/>
    <n v="1.8744037053212446"/>
    <n v="533.50300000000004"/>
    <x v="9"/>
    <s v="G12-N-D1"/>
    <s v="PALF"/>
    <s v="Dahan"/>
    <s v="CONGO"/>
    <m/>
    <m/>
    <m/>
  </r>
  <r>
    <d v="2025-11-28T00:00:00"/>
    <s v="Achat billet Brazzaville - Kinkala"/>
    <x v="0"/>
    <x v="4"/>
    <n v="5000"/>
    <n v="9.3720185266062224"/>
    <n v="533.50300000000004"/>
    <x v="9"/>
    <s v="G12-N-R11"/>
    <s v="PALF"/>
    <s v="Dahan"/>
    <s v="CONGO"/>
    <m/>
    <m/>
    <m/>
  </r>
  <r>
    <d v="2025-11-28T00:00:00"/>
    <s v="Taxi moto : Gare routière - hotel "/>
    <x v="0"/>
    <x v="4"/>
    <n v="500"/>
    <n v="0.93720185266062228"/>
    <n v="533.50300000000004"/>
    <x v="9"/>
    <s v="G12-N-D1"/>
    <s v="PALF"/>
    <s v="Dahan"/>
    <s v="CONGO"/>
    <m/>
    <m/>
    <m/>
  </r>
  <r>
    <d v="2025-11-28T00:00:00"/>
    <s v="Taxi moto: Hotel - zone de la préfecture"/>
    <x v="0"/>
    <x v="4"/>
    <n v="500"/>
    <n v="0.93720185266062228"/>
    <n v="533.50300000000004"/>
    <x v="9"/>
    <s v="G12-N-D1"/>
    <s v="PALF"/>
    <s v="Dahan"/>
    <s v="CONGO"/>
    <m/>
    <m/>
    <m/>
  </r>
  <r>
    <d v="2025-11-28T00:00:00"/>
    <s v="Taxi moto: Zone de la préfecture - l'église protestante"/>
    <x v="0"/>
    <x v="4"/>
    <n v="500"/>
    <n v="0.93720185266062228"/>
    <n v="533.50300000000004"/>
    <x v="9"/>
    <s v="G12-N-D1"/>
    <s v="PALF"/>
    <s v="Dahan"/>
    <s v="CONGO"/>
    <m/>
    <m/>
    <m/>
  </r>
  <r>
    <d v="2025-11-28T00:00:00"/>
    <s v="Achat boissonavec une  cible"/>
    <x v="11"/>
    <x v="4"/>
    <n v="1500"/>
    <n v="2.7602044759475781"/>
    <n v="543.43799999999999"/>
    <x v="9"/>
    <s v="G12-N-D2"/>
    <s v="PALF"/>
    <s v="Marchig Trust"/>
    <s v="CONGO"/>
    <m/>
    <m/>
    <m/>
  </r>
  <r>
    <d v="2025-11-28T00:00:00"/>
    <s v="Taxi moto: L'église protestante - hotel"/>
    <x v="0"/>
    <x v="4"/>
    <n v="500"/>
    <n v="0.93720185266062228"/>
    <n v="533.50300000000004"/>
    <x v="9"/>
    <s v="G12-N-D1"/>
    <s v="PALF"/>
    <s v="Dahan"/>
    <s v="CONGO"/>
    <m/>
    <m/>
    <m/>
  </r>
  <r>
    <d v="2025-11-28T00:00:00"/>
    <s v="DONALD ROMEO-CONGO Frais d'hôtel du 25 au 28/11/2025 à Impfondo (03 nuitées)"/>
    <x v="3"/>
    <x v="1"/>
    <n v="45000"/>
    <n v="84.348166739456005"/>
    <n v="533.50300000000004"/>
    <x v="11"/>
    <s v="DR-N-R8"/>
    <s v="PALF"/>
    <s v="Dahan"/>
    <s v="CONGO"/>
    <m/>
    <m/>
    <m/>
  </r>
  <r>
    <d v="2025-11-28T00:00:00"/>
    <s v="Taxi moto Hôtel Mithé-Agence océan du Nord/ Pour Brazzaville"/>
    <x v="13"/>
    <x v="1"/>
    <n v="500"/>
    <n v="0.93720185266062228"/>
    <n v="533.50300000000004"/>
    <x v="11"/>
    <s v="DR-N-D1"/>
    <s v="PALF"/>
    <s v="Dahan"/>
    <s v="CONGO"/>
    <m/>
    <m/>
    <m/>
  </r>
  <r>
    <d v="2025-11-28T00:00:00"/>
    <s v="Taxi moto agence océan du Nord- Hôtel Paulina/ A Enyellé"/>
    <x v="13"/>
    <x v="1"/>
    <n v="500"/>
    <n v="0.93720185266062228"/>
    <n v="533.50300000000004"/>
    <x v="11"/>
    <s v="DR-N-D1"/>
    <s v="PALF"/>
    <s v="Dahan"/>
    <s v="CONGO"/>
    <m/>
    <m/>
    <m/>
  </r>
  <r>
    <d v="2025-11-29T00:00:00"/>
    <s v="Règlement Loyer Coordinateur du mois de novembre 2025"/>
    <x v="12"/>
    <x v="2"/>
    <n v="174625"/>
    <n v="327.31774704172233"/>
    <n v="533.50300000000004"/>
    <x v="3"/>
    <s v="DH-N-R5"/>
    <s v="PALF"/>
    <s v="Dahan"/>
    <s v="CONGO"/>
    <m/>
    <m/>
    <m/>
  </r>
  <r>
    <d v="2025-11-29T00:00:00"/>
    <s v="Taxi tricycle hotel-otia,prospection"/>
    <x v="0"/>
    <x v="4"/>
    <n v="700"/>
    <n v="1.3120825937248712"/>
    <n v="533.50300000000004"/>
    <x v="6"/>
    <s v="P29-N-D1"/>
    <s v="PALF"/>
    <s v="Dahan"/>
    <s v="CONGO"/>
    <m/>
    <m/>
    <m/>
  </r>
  <r>
    <d v="2025-11-29T00:00:00"/>
    <s v="Taxi tricycle otia-cabane,prospection"/>
    <x v="0"/>
    <x v="4"/>
    <n v="700"/>
    <n v="1.3120825937248712"/>
    <n v="533.50300000000004"/>
    <x v="6"/>
    <s v="P29-N-D1"/>
    <s v="PALF"/>
    <s v="Dahan"/>
    <s v="CONGO"/>
    <m/>
    <m/>
    <m/>
  </r>
  <r>
    <d v="2025-11-29T00:00:00"/>
    <s v="Taxi tricycle cabane-bouale,prospection"/>
    <x v="0"/>
    <x v="4"/>
    <n v="700"/>
    <n v="1.3120825937248712"/>
    <n v="533.50300000000004"/>
    <x v="6"/>
    <s v="P29-N-D1"/>
    <s v="PALF"/>
    <s v="Dahan"/>
    <s v="CONGO"/>
    <m/>
    <m/>
    <m/>
  </r>
  <r>
    <d v="2025-11-29T00:00:00"/>
    <s v="Taxi tricyycle bouale-hotel"/>
    <x v="0"/>
    <x v="4"/>
    <n v="700"/>
    <n v="1.3120825937248712"/>
    <n v="533.50300000000004"/>
    <x v="6"/>
    <s v="P29-N-D1"/>
    <s v="PALF"/>
    <s v="Dahan"/>
    <s v="CONGO"/>
    <m/>
    <m/>
    <m/>
  </r>
  <r>
    <d v="2025-11-29T00:00:00"/>
    <s v=" Achat boisson avec une cible"/>
    <x v="11"/>
    <x v="4"/>
    <n v="2000"/>
    <n v="3.6802726345967711"/>
    <n v="543.43799999999999"/>
    <x v="6"/>
    <s v="P29-N-D3"/>
    <s v="PALF"/>
    <s v="Marchig Trust"/>
    <s v="CONGO"/>
    <m/>
    <m/>
    <m/>
  </r>
  <r>
    <d v="2025-11-29T00:00:00"/>
    <s v="Taxi moto : Hôtel - Marché de Gamboma/ Prospection"/>
    <x v="0"/>
    <x v="4"/>
    <n v="500"/>
    <n v="0.93720185266062228"/>
    <n v="533.50300000000004"/>
    <x v="8"/>
    <s v="IT87-N-D1"/>
    <s v="PALF"/>
    <s v="Dahan"/>
    <s v="CONGO"/>
    <m/>
    <m/>
    <m/>
  </r>
  <r>
    <d v="2025-11-29T00:00:00"/>
    <s v="Achat repas avec la cible"/>
    <x v="11"/>
    <x v="4"/>
    <n v="2000"/>
    <n v="3.6802726345967711"/>
    <n v="543.43799999999999"/>
    <x v="8"/>
    <s v="IT87-N-D2"/>
    <s v="PALF"/>
    <s v="Marchig Trust"/>
    <s v="CONGO"/>
    <m/>
    <m/>
    <m/>
  </r>
  <r>
    <d v="2025-11-29T00:00:00"/>
    <s v="Taxi moto : Marché de Gamboma - Quartier Nkeni/ Prospection"/>
    <x v="0"/>
    <x v="4"/>
    <n v="500"/>
    <n v="0.93720185266062228"/>
    <n v="533.50300000000004"/>
    <x v="8"/>
    <s v="IT87-N-D1"/>
    <s v="PALF"/>
    <s v="Dahan"/>
    <s v="CONGO"/>
    <m/>
    <m/>
    <m/>
  </r>
  <r>
    <d v="2025-11-29T00:00:00"/>
    <s v="Taxi moto : Quartier Nkeni - Marché de nuit/ Prospection"/>
    <x v="0"/>
    <x v="4"/>
    <n v="500"/>
    <n v="0.93720185266062228"/>
    <n v="533.50300000000004"/>
    <x v="8"/>
    <s v="IT87-N-D1"/>
    <s v="PALF"/>
    <s v="Dahan"/>
    <s v="CONGO"/>
    <m/>
    <m/>
    <m/>
  </r>
  <r>
    <d v="2025-11-29T00:00:00"/>
    <s v="Taxi moto : Marché de nuit - Hôtel/ Retour de prospection"/>
    <x v="0"/>
    <x v="4"/>
    <n v="500"/>
    <n v="0.93720185266062228"/>
    <n v="533.50300000000004"/>
    <x v="8"/>
    <s v="IT87-N-D1"/>
    <s v="PALF"/>
    <s v="Dahan"/>
    <s v="CONGO"/>
    <m/>
    <m/>
    <m/>
  </r>
  <r>
    <d v="2025-11-29T00:00:00"/>
    <s v="Taxi moto: Hotel - quertier moudjema"/>
    <x v="0"/>
    <x v="4"/>
    <n v="500"/>
    <n v="0.93720185266062228"/>
    <n v="533.50300000000004"/>
    <x v="9"/>
    <s v="G12-N-D1"/>
    <s v="PALF"/>
    <s v="Dahan"/>
    <s v="CONGO"/>
    <m/>
    <m/>
    <m/>
  </r>
  <r>
    <d v="2025-11-29T00:00:00"/>
    <s v="Taxi moto: Quartier moudjema - la zone du lycée"/>
    <x v="0"/>
    <x v="4"/>
    <n v="500"/>
    <n v="0.93720185266062228"/>
    <n v="533.50300000000004"/>
    <x v="9"/>
    <s v="G12-N-D1"/>
    <s v="PALF"/>
    <s v="Dahan"/>
    <s v="CONGO"/>
    <m/>
    <m/>
    <m/>
  </r>
  <r>
    <d v="2025-11-29T00:00:00"/>
    <s v="Achat boissonavec une  cible"/>
    <x v="11"/>
    <x v="4"/>
    <n v="1500"/>
    <n v="2.7602044759475781"/>
    <n v="543.43799999999999"/>
    <x v="9"/>
    <s v="G12-N-D2"/>
    <s v="PALF"/>
    <s v="Marchig Trust"/>
    <s v="CONGO"/>
    <m/>
    <m/>
    <m/>
  </r>
  <r>
    <d v="2025-11-29T00:00:00"/>
    <s v="Taxi moto: La zone du lycée - le boulevard"/>
    <x v="0"/>
    <x v="4"/>
    <n v="500"/>
    <n v="0.93720185266062228"/>
    <n v="533.50300000000004"/>
    <x v="9"/>
    <s v="G12-N-D1"/>
    <s v="PALF"/>
    <s v="Dahan"/>
    <s v="CONGO"/>
    <m/>
    <m/>
    <m/>
  </r>
  <r>
    <d v="2025-11-29T00:00:00"/>
    <s v="Taxi moto: Boulevard - hotel"/>
    <x v="0"/>
    <x v="4"/>
    <n v="500"/>
    <n v="0.93720185266062228"/>
    <n v="533.50300000000004"/>
    <x v="9"/>
    <s v="G12-N-D1"/>
    <s v="PALF"/>
    <s v="Dahan"/>
    <s v="CONGO"/>
    <m/>
    <m/>
    <m/>
  </r>
  <r>
    <d v="2025-11-29T00:00:00"/>
    <s v="DONALD ROMEO-CONGO Frais d'hôtel du 28 au 29/11/2025 à Enyellé (01 nuitée)"/>
    <x v="3"/>
    <x v="1"/>
    <n v="15000"/>
    <n v="28.116055579818667"/>
    <n v="533.50300000000004"/>
    <x v="11"/>
    <s v="DR-N-R9"/>
    <s v="PALF"/>
    <s v="Dahan"/>
    <s v="CONGO"/>
    <m/>
    <m/>
    <m/>
  </r>
  <r>
    <d v="2025-11-29T00:00:00"/>
    <s v="Taxi moto  Hôtel Paulina-agence océan du Nord"/>
    <x v="13"/>
    <x v="1"/>
    <n v="500"/>
    <n v="0.93720185266062228"/>
    <n v="533.50300000000004"/>
    <x v="11"/>
    <s v="DR-N-D1"/>
    <s v="PALF"/>
    <s v="Dahan"/>
    <s v="CONGO"/>
    <m/>
    <m/>
    <m/>
  </r>
  <r>
    <d v="2025-11-29T00:00:00"/>
    <s v="Taxi moto agence océan du Nord-Hôtel baobab"/>
    <x v="13"/>
    <x v="1"/>
    <n v="500"/>
    <n v="0.93720185266062228"/>
    <n v="533.50300000000004"/>
    <x v="11"/>
    <s v="DR-N-D1"/>
    <s v="PALF"/>
    <s v="Dahan"/>
    <s v="CONGO"/>
    <m/>
    <m/>
    <m/>
  </r>
  <r>
    <d v="2025-11-30T00:00:00"/>
    <s v="Maison-Bureau"/>
    <x v="0"/>
    <x v="2"/>
    <n v="1000"/>
    <n v="1.8744037053212446"/>
    <n v="533.50300000000004"/>
    <x v="3"/>
    <s v="DH-N-D1"/>
    <s v="PALF"/>
    <s v="Dahan"/>
    <s v="CONGO"/>
    <m/>
    <m/>
    <m/>
  </r>
  <r>
    <d v="2025-11-30T00:00:00"/>
    <s v="Bureau -Maison"/>
    <x v="0"/>
    <x v="2"/>
    <n v="1000"/>
    <n v="1.8744037053212446"/>
    <n v="533.50300000000004"/>
    <x v="3"/>
    <s v="DH-N-D1"/>
    <s v="PALF"/>
    <s v="Dahan"/>
    <s v="CONGO"/>
    <m/>
    <m/>
    <m/>
  </r>
  <r>
    <d v="2025-11-30T00:00:00"/>
    <s v="Taxi hotel-parking,départ pour ivoumba"/>
    <x v="0"/>
    <x v="4"/>
    <n v="1000"/>
    <n v="1.8744037053212446"/>
    <n v="533.50300000000004"/>
    <x v="6"/>
    <s v="P29-N-D1"/>
    <s v="PALF"/>
    <s v="Dahan"/>
    <s v="CONGO"/>
    <m/>
    <m/>
    <m/>
  </r>
  <r>
    <d v="2025-11-30T00:00:00"/>
    <s v="Taxi parking-hotel,arrivé à ivoumba"/>
    <x v="0"/>
    <x v="4"/>
    <n v="1000"/>
    <n v="1.8744037053212446"/>
    <n v="533.50300000000004"/>
    <x v="6"/>
    <s v="P29-N-D1"/>
    <s v="PALF"/>
    <s v="Dahan"/>
    <s v="CONGO"/>
    <m/>
    <m/>
    <m/>
  </r>
  <r>
    <d v="2025-11-30T00:00:00"/>
    <s v="P29 -CONGO Frais d'hotel du 28 au 30/11/2025 à ikouele (2 Nuitées)"/>
    <x v="3"/>
    <x v="4"/>
    <n v="30000"/>
    <n v="56.232111159637334"/>
    <n v="533.50300000000004"/>
    <x v="6"/>
    <s v="P29-N-R8"/>
    <s v="PALF"/>
    <s v="Dahan"/>
    <s v="CONGO"/>
    <m/>
    <m/>
    <m/>
  </r>
  <r>
    <d v="2025-11-30T00:00:00"/>
    <s v="Achat billet Ikouele-Ivoumba/P29"/>
    <x v="0"/>
    <x v="4"/>
    <n v="5000"/>
    <n v="9.3720185266062224"/>
    <n v="533.50300000000004"/>
    <x v="6"/>
    <s v="P29-N-R9"/>
    <s v="PALF"/>
    <s v="Dahan"/>
    <s v="CONGO"/>
    <m/>
    <m/>
    <m/>
  </r>
  <r>
    <d v="2025-11-30T00:00:00"/>
    <s v="IT87-CONGO Frais d'hôtel  du 28 au 30/11/2025 à Gamboma (02 Nuitées)"/>
    <x v="3"/>
    <x v="4"/>
    <n v="30000"/>
    <n v="56.232111159637334"/>
    <n v="533.50300000000004"/>
    <x v="8"/>
    <s v="IT87-N-R8"/>
    <s v="PALF"/>
    <s v="Dahan"/>
    <s v="CONGO"/>
    <m/>
    <m/>
    <m/>
  </r>
  <r>
    <d v="2025-11-30T00:00:00"/>
    <s v="Taxi moto : Hôtel Baobab - Parking/ Départ de Gamboma pour Ngo"/>
    <x v="0"/>
    <x v="4"/>
    <n v="500"/>
    <n v="0.93720185266062228"/>
    <n v="533.50300000000004"/>
    <x v="8"/>
    <s v="IT87-N-D1"/>
    <s v="PALF"/>
    <s v="Dahan"/>
    <s v="CONGO"/>
    <m/>
    <m/>
    <m/>
  </r>
  <r>
    <d v="2025-11-30T00:00:00"/>
    <s v="Achat billet Gamboma - Ngo/ IT87"/>
    <x v="0"/>
    <x v="4"/>
    <n v="3000"/>
    <n v="5.6232111159637332"/>
    <n v="533.50300000000004"/>
    <x v="8"/>
    <s v="IT87-N-R9"/>
    <s v="PALF"/>
    <s v="Dahan"/>
    <s v="CONGO"/>
    <m/>
    <m/>
    <m/>
  </r>
  <r>
    <d v="2025-11-30T00:00:00"/>
    <s v="Taxi moto : Parking - Hôtel Concorde/ Arrivé à Ngo"/>
    <x v="0"/>
    <x v="4"/>
    <n v="500"/>
    <n v="0.93720185266062228"/>
    <n v="533.50300000000004"/>
    <x v="8"/>
    <s v="IT87-N-D1"/>
    <s v="PALF"/>
    <s v="Dahan"/>
    <s v="CONGO"/>
    <m/>
    <m/>
    <m/>
  </r>
  <r>
    <d v="2025-11-30T00:00:00"/>
    <s v="Taxi moto : Hôtel Concorde - Marché/ Prospection"/>
    <x v="0"/>
    <x v="4"/>
    <n v="500"/>
    <n v="0.93720185266062228"/>
    <n v="533.50300000000004"/>
    <x v="8"/>
    <s v="IT87-N-D1"/>
    <s v="PALF"/>
    <s v="Dahan"/>
    <s v="CONGO"/>
    <m/>
    <m/>
    <m/>
  </r>
  <r>
    <d v="2025-11-30T00:00:00"/>
    <s v="Achat boissons avec une cible"/>
    <x v="11"/>
    <x v="4"/>
    <n v="1700"/>
    <n v="3.1282317394072554"/>
    <n v="543.43799999999999"/>
    <x v="8"/>
    <s v="IT87-N-D2"/>
    <s v="PALF"/>
    <s v="Marchig Trust"/>
    <s v="CONGO"/>
    <m/>
    <m/>
    <m/>
  </r>
  <r>
    <d v="2025-11-30T00:00:00"/>
    <s v="Taxi moto : Marché - Parking de Mpouya/ Prospection"/>
    <x v="0"/>
    <x v="4"/>
    <n v="500"/>
    <n v="0.93720185266062228"/>
    <n v="533.50300000000004"/>
    <x v="8"/>
    <s v="IT87-N-D1"/>
    <s v="PALF"/>
    <s v="Dahan"/>
    <s v="CONGO"/>
    <m/>
    <m/>
    <m/>
  </r>
  <r>
    <d v="2025-11-30T00:00:00"/>
    <s v="Taxi moto : Parking de Mpouya - Hôtel Concorde/ Retour de prospection"/>
    <x v="0"/>
    <x v="4"/>
    <n v="500"/>
    <n v="0.93720185266062228"/>
    <n v="533.50300000000004"/>
    <x v="8"/>
    <s v="IT87-N-D1"/>
    <s v="PALF"/>
    <s v="Dahan"/>
    <s v="CONGO"/>
    <m/>
    <m/>
    <m/>
  </r>
  <r>
    <d v="2025-11-30T00:00:00"/>
    <s v="G12-CONGO Frais d'hotel du 28 au 30 /11/2025 à Kinkala (02 nuitées)"/>
    <x v="3"/>
    <x v="4"/>
    <n v="30000"/>
    <n v="56.232111159637334"/>
    <n v="533.50300000000004"/>
    <x v="9"/>
    <s v="G12-N-R12"/>
    <s v="PALF"/>
    <s v="Dahan"/>
    <s v="CONGO"/>
    <m/>
    <m/>
    <m/>
  </r>
  <r>
    <d v="2025-11-30T00:00:00"/>
    <s v="Achat billet Kinkala - Louingui"/>
    <x v="0"/>
    <x v="4"/>
    <n v="2000"/>
    <n v="3.7488074106424891"/>
    <n v="533.50300000000004"/>
    <x v="9"/>
    <s v="G12-N-R13"/>
    <s v="PALF"/>
    <s v="Dahan"/>
    <s v="CONGO"/>
    <m/>
    <m/>
    <m/>
  </r>
  <r>
    <d v="2025-11-30T00:00:00"/>
    <s v="Taxi moto: Hotel - la gare routière"/>
    <x v="0"/>
    <x v="4"/>
    <n v="500"/>
    <n v="0.93720185266062228"/>
    <n v="533.50300000000004"/>
    <x v="9"/>
    <s v="G12-N-D1"/>
    <s v="PALF"/>
    <s v="Dahan"/>
    <s v="CONGO"/>
    <m/>
    <m/>
    <m/>
  </r>
  <r>
    <d v="2025-11-30T00:00:00"/>
    <s v="Taxi moto: Gare routière - hotel /depart pour louingui"/>
    <x v="0"/>
    <x v="4"/>
    <n v="1000"/>
    <n v="1.8744037053212446"/>
    <n v="533.50300000000004"/>
    <x v="9"/>
    <s v="G12-N-D1"/>
    <s v="PALF"/>
    <s v="Dahan"/>
    <s v="CONGO"/>
    <m/>
    <m/>
    <m/>
  </r>
  <r>
    <d v="2025-11-30T00:00:00"/>
    <s v="Taxi moto: Hotel - marché"/>
    <x v="0"/>
    <x v="4"/>
    <n v="500"/>
    <n v="0.93720185266062228"/>
    <n v="533.50300000000004"/>
    <x v="9"/>
    <s v="G12-N-D1"/>
    <s v="PALF"/>
    <s v="Dahan"/>
    <s v="CONGO"/>
    <m/>
    <m/>
    <m/>
  </r>
  <r>
    <d v="2025-11-30T00:00:00"/>
    <s v="Achat boissonavec une  cible"/>
    <x v="11"/>
    <x v="4"/>
    <n v="1500"/>
    <n v="2.7602044759475781"/>
    <n v="543.43799999999999"/>
    <x v="9"/>
    <s v="G12-N-D2"/>
    <s v="PALF"/>
    <s v="Marchig Trust"/>
    <s v="CONGO"/>
    <m/>
    <m/>
    <m/>
  </r>
  <r>
    <d v="2025-11-30T00:00:00"/>
    <s v="Taxi moto: Marché - hotel"/>
    <x v="0"/>
    <x v="4"/>
    <n v="500"/>
    <n v="0.93720185266062228"/>
    <n v="533.50300000000004"/>
    <x v="9"/>
    <s v="G12-N-D1"/>
    <s v="PALF"/>
    <s v="Dahan"/>
    <s v="CONGO"/>
    <m/>
    <m/>
    <m/>
  </r>
  <r>
    <d v="2025-11-30T00:00:00"/>
    <s v="DONALD ROMEO-CONGO Frais d'hôte du 29 au 30/11/2025 à Gamboma (01 nuitée)"/>
    <x v="3"/>
    <x v="1"/>
    <n v="15000"/>
    <n v="28.116055579818667"/>
    <n v="533.50300000000004"/>
    <x v="11"/>
    <s v="DR-N-R10"/>
    <s v="PALF"/>
    <s v="Dahan"/>
    <s v="CONGO"/>
    <m/>
    <m/>
    <m/>
  </r>
  <r>
    <d v="2025-11-30T00:00:00"/>
    <s v="Taxi moto Hôtel Baobab-Agence Océan du Nord de Gamboma/ Pour Brazzaville"/>
    <x v="13"/>
    <x v="1"/>
    <n v="500"/>
    <n v="0.93720185266062228"/>
    <n v="533.50300000000004"/>
    <x v="11"/>
    <s v="DR-N-D1"/>
    <s v="PALF"/>
    <s v="Dahan"/>
    <s v="CONGO"/>
    <m/>
    <m/>
    <m/>
  </r>
  <r>
    <d v="2025-11-30T00:00:00"/>
    <s v="Taxi Agence Ocean du Nord de Talangaï- Domicile"/>
    <x v="13"/>
    <x v="1"/>
    <n v="3000"/>
    <n v="5.6232111159637332"/>
    <n v="533.50300000000004"/>
    <x v="11"/>
    <s v="DR-N-D1"/>
    <s v="PALF"/>
    <s v="Dahan"/>
    <s v="CONGO"/>
    <m/>
    <m/>
    <m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4600">
  <r>
    <x v="0"/>
    <s v="Achat credit MTN/Benin pour internet  et communication"/>
    <s v="Telephone"/>
    <s v="Management"/>
    <n v="20000"/>
    <n v="35.074489446962986"/>
    <n v="570.21500000000003"/>
    <s v="DOVI"/>
    <s v="DH-J-R1"/>
    <s v="PALF"/>
    <x v="0"/>
    <s v="Congo"/>
    <m/>
    <m/>
    <m/>
  </r>
  <r>
    <x v="0"/>
    <s v="Achat credit  teléphonique MTN/PALF/Première partie du mois de Janvier 2025/Office"/>
    <s v="Telephone"/>
    <s v="Office"/>
    <n v="21000"/>
    <n v="36.828213919311132"/>
    <n v="570.21500000000003"/>
    <s v="Merveille"/>
    <s v="CA-J-R1"/>
    <s v="PALF"/>
    <x v="0"/>
    <s v="Congo"/>
    <m/>
    <m/>
    <m/>
  </r>
  <r>
    <x v="0"/>
    <s v="Achat credit  teléphonique MTN/PALF/Première partie du mois de Janvier 2025/Legal"/>
    <s v="Telephone"/>
    <s v="Legal"/>
    <n v="95000"/>
    <n v="166.60382487307419"/>
    <n v="570.21500000000003"/>
    <s v="Merveille"/>
    <s v="CA-J-R2"/>
    <s v="PALF"/>
    <x v="0"/>
    <s v="Congo"/>
    <m/>
    <m/>
    <m/>
  </r>
  <r>
    <x v="0"/>
    <s v="Achat credit  teléphonique MTN/PALF/Première partie du mois de Janvier 2025/Investigation"/>
    <s v="Telephone"/>
    <s v="Investigations"/>
    <n v="88000"/>
    <n v="154.32775356663714"/>
    <n v="570.21500000000003"/>
    <s v="Merveille"/>
    <s v="CA-J-R3"/>
    <s v="PALF"/>
    <x v="0"/>
    <s v="Congo"/>
    <m/>
    <m/>
    <m/>
  </r>
  <r>
    <x v="0"/>
    <s v="Achat credit  teléphonique MTN/PALF/Première partie du mois de Janvier 2025/Media"/>
    <s v="Telephone"/>
    <s v="Media"/>
    <n v="10000"/>
    <n v="17.537244723481493"/>
    <n v="570.21500000000003"/>
    <s v="Merveille"/>
    <s v="CA-J-R4"/>
    <s v="PALF"/>
    <x v="0"/>
    <s v="Congo"/>
    <m/>
    <m/>
    <m/>
  </r>
  <r>
    <x v="0"/>
    <s v="Achat credit  teléphonique Airtel/PALF/Première partie du mois de Janvier 2025/Legal"/>
    <s v="Telephone"/>
    <s v="Legal"/>
    <n v="10000"/>
    <n v="17.537244723481493"/>
    <n v="570.21500000000003"/>
    <s v="Merveille"/>
    <s v="CA-J-R5"/>
    <s v="PALF"/>
    <x v="0"/>
    <s v="Congo"/>
    <m/>
    <m/>
    <m/>
  </r>
  <r>
    <x v="0"/>
    <s v="Achat credit  teléphonique Airtel/PALF/Première partie du mois de Janvier 2025/Investigation"/>
    <s v="Telephone"/>
    <s v="Investigations"/>
    <n v="16000"/>
    <n v="28.059591557570389"/>
    <n v="570.21500000000003"/>
    <s v="Merveille"/>
    <s v="CA-J-R6"/>
    <s v="PALF"/>
    <x v="0"/>
    <s v="Congo"/>
    <m/>
    <m/>
    <m/>
  </r>
  <r>
    <x v="0"/>
    <s v="Achat credit  teléphonique Airtel/PALF/Première partie du mois de Janvier 2025/Media"/>
    <s v="Telephone"/>
    <s v="Media"/>
    <n v="11000"/>
    <n v="19.290969195829643"/>
    <n v="570.21500000000003"/>
    <s v="Merveille"/>
    <s v="CA-J-R7"/>
    <s v="PALF"/>
    <x v="0"/>
    <s v="Congo"/>
    <m/>
    <m/>
    <m/>
  </r>
  <r>
    <x v="1"/>
    <s v="Achat eau mineral 10 bidons de 16,5Litres pour le bureau PALF"/>
    <s v="Office Materials"/>
    <s v="Office"/>
    <n v="25000"/>
    <n v="43.843111808703732"/>
    <n v="570.21500000000003"/>
    <s v="Merveille"/>
    <s v="CA-J-R8"/>
    <s v="PALF"/>
    <x v="0"/>
    <s v="Congo"/>
    <m/>
    <m/>
    <m/>
  </r>
  <r>
    <x v="2"/>
    <s v="Solde honoraire contrat n°79 Dolisie cas BOUTSANA et Consorts/ Maître BANZOUZI Alain"/>
    <s v="Lawyer Fees"/>
    <s v="Legal"/>
    <n v="300000"/>
    <n v="526.11734170444481"/>
    <n v="570.21500000000003"/>
    <s v="BCI"/>
    <s v="BQ-J-R1"/>
    <s v="PALF"/>
    <x v="0"/>
    <s v="Congo"/>
    <m/>
    <m/>
    <m/>
  </r>
  <r>
    <x v="2"/>
    <s v="Solde honoraire contrat n°67 Sibiti et Consorts/ Maître Helene"/>
    <s v="Lawyer Fees"/>
    <s v="Legal"/>
    <n v="300000"/>
    <n v="526.11734170444481"/>
    <n v="570.21500000000003"/>
    <s v="BCI"/>
    <s v="BQ-J-R2"/>
    <s v="PALF"/>
    <x v="0"/>
    <s v="Congo"/>
    <m/>
    <m/>
    <m/>
  </r>
  <r>
    <x v="2"/>
    <s v="Reglement loyer du mois de Décembre 2024/3654776"/>
    <s v="Rent &amp; Utilities"/>
    <s v="Office"/>
    <n v="500000"/>
    <n v="838.65459674971032"/>
    <n v="596.19299999999998"/>
    <s v="BCI"/>
    <s v="BQ-J-R3"/>
    <s v="PALF"/>
    <x v="0"/>
    <s v="Congo"/>
    <m/>
    <m/>
    <m/>
  </r>
  <r>
    <x v="2"/>
    <s v="Reglement Facture Gardiennage Mois de Décembre 2024/3654775"/>
    <s v="Services"/>
    <s v="Office"/>
    <n v="260000"/>
    <n v="436.10039030984933"/>
    <n v="596.19299999999998"/>
    <s v="BCI"/>
    <s v="BQ-J-R13"/>
    <s v="PALF"/>
    <x v="0"/>
    <s v="Congo"/>
    <m/>
    <m/>
    <m/>
  </r>
  <r>
    <x v="2"/>
    <s v="Paiement Honoraire Me LOCKO/Mois de Décembre 2024/3654777"/>
    <s v="Lawyer Fees"/>
    <s v="Legal"/>
    <n v="150000"/>
    <n v="251.59637902491309"/>
    <n v="596.19299999999998"/>
    <s v="BCI"/>
    <s v="BQ-J-R14"/>
    <s v="PALF"/>
    <x v="0"/>
    <s v="Congo"/>
    <m/>
    <m/>
    <m/>
  </r>
  <r>
    <x v="3"/>
    <s v="achat billet: Brazzaville - Owando/T73"/>
    <s v="Transport"/>
    <s v="Investigations"/>
    <n v="7000"/>
    <n v="12.276071306437045"/>
    <n v="570.21500000000003"/>
    <s v="T73"/>
    <s v="T73-J-R1"/>
    <s v="PALF"/>
    <x v="0"/>
    <s v="Congo"/>
    <m/>
    <m/>
    <m/>
  </r>
  <r>
    <x v="3"/>
    <s v="T73 - CONGO Food Allowance du 07 au 17/01/2025 (10 nuitées) à Owando et Oyo"/>
    <s v="Travel Subsistence"/>
    <s v="Investigations"/>
    <n v="100000"/>
    <n v="175.37244723481493"/>
    <n v="570.21500000000003"/>
    <s v="T73"/>
    <s v="T73-J-D1"/>
    <s v="PALF"/>
    <x v="0"/>
    <s v="Congo"/>
    <m/>
    <m/>
    <m/>
  </r>
  <r>
    <x v="4"/>
    <s v="Achat billet d'Avion Retour Cotonou - Brazzaville/DOVI"/>
    <s v="Transport"/>
    <s v="Management"/>
    <n v="226000"/>
    <n v="396.34173075068173"/>
    <n v="570.21500000000003"/>
    <s v="DOVI"/>
    <s v="DH-J-R2"/>
    <s v="PALF"/>
    <x v="0"/>
    <s v="Congo"/>
    <m/>
    <m/>
    <m/>
  </r>
  <r>
    <x v="4"/>
    <s v="Frais de transfert d'argent à DOVI"/>
    <s v="Transfer Fees"/>
    <s v="Office"/>
    <n v="22640"/>
    <n v="39.704322053962102"/>
    <n v="570.21500000000003"/>
    <s v="Merveille"/>
    <s v="CA-J-R9"/>
    <s v="PALF"/>
    <x v="0"/>
    <s v="Congo"/>
    <m/>
    <m/>
    <m/>
  </r>
  <r>
    <x v="4"/>
    <s v="Achat billet brazzaville-owando/P29"/>
    <s v="Transport"/>
    <s v="Investigations"/>
    <n v="7000"/>
    <n v="12.276071306437045"/>
    <n v="570.21500000000003"/>
    <s v="P29"/>
    <s v="P29-J-R1"/>
    <s v="PALF"/>
    <x v="0"/>
    <s v="Congo"/>
    <m/>
    <m/>
    <m/>
  </r>
  <r>
    <x v="4"/>
    <s v="Achat de Billet Brazzaville-Owando/Romain"/>
    <s v="Transport"/>
    <s v="Legal"/>
    <n v="7000"/>
    <n v="12.276071306437045"/>
    <n v="570.21500000000003"/>
    <s v="Romain"/>
    <s v="RM-J-R1"/>
    <s v="PALF"/>
    <x v="0"/>
    <s v="Congo"/>
    <m/>
    <m/>
    <m/>
  </r>
  <r>
    <x v="4"/>
    <s v="Achat billet Brazzaville - Owando/Abraham"/>
    <s v="Transport"/>
    <s v="Legal"/>
    <n v="7000"/>
    <n v="12.276071306437045"/>
    <n v="570.21500000000003"/>
    <s v="Abraham"/>
    <s v="AB-J-R1"/>
    <s v="PALF"/>
    <x v="0"/>
    <s v="Congo"/>
    <m/>
    <m/>
    <m/>
  </r>
  <r>
    <x v="4"/>
    <s v="Frais de transfert d'argent à T73"/>
    <s v="Transfer Fees"/>
    <s v="Office"/>
    <n v="1860"/>
    <n v="3.2619275185675578"/>
    <n v="570.21500000000003"/>
    <s v="Roderlin"/>
    <s v="CA-J-R10"/>
    <s v="PALF"/>
    <x v="0"/>
    <s v="Congo"/>
    <m/>
    <m/>
    <m/>
  </r>
  <r>
    <x v="4"/>
    <s v="Achat billet Brazzaville-Owando/Donald-Roméo"/>
    <s v="Transport"/>
    <s v="Legal"/>
    <n v="7000"/>
    <n v="12.276071306437045"/>
    <n v="570.21500000000003"/>
    <s v="Donald-Roméo"/>
    <s v="DR-J-R1"/>
    <s v="PALF"/>
    <x v="0"/>
    <s v="Congo"/>
    <m/>
    <m/>
    <m/>
  </r>
  <r>
    <x v="5"/>
    <s v="Billet: Brazzaville-Owando/Crepin"/>
    <s v="Transport"/>
    <s v="Operations"/>
    <n v="7000"/>
    <n v="12.276071306437045"/>
    <n v="570.21500000000003"/>
    <s v="Crépin"/>
    <s v="CR-J-R1"/>
    <s v="PALF"/>
    <x v="0"/>
    <s v="Congo"/>
    <m/>
    <m/>
    <m/>
  </r>
  <r>
    <x v="5"/>
    <s v="P29 - CONGO Foodallowance mission du 09 au 17/01/2025 à Owando et Oyo (08 Nuitées)"/>
    <s v="Travel Subsistence"/>
    <s v="Investigations"/>
    <n v="80000"/>
    <n v="140.29795778785194"/>
    <n v="570.21500000000003"/>
    <s v="P29"/>
    <s v="P29-J-D1"/>
    <s v="PALF"/>
    <x v="0"/>
    <s v="Congo"/>
    <m/>
    <m/>
    <m/>
  </r>
  <r>
    <x v="5"/>
    <s v="ROMAIN-CONGO Food Alowance du 09 au 25  janvier à Owando(16 Nuitées)"/>
    <s v="Travel Subsistence"/>
    <s v="Legal"/>
    <n v="160000"/>
    <n v="280.59591557570388"/>
    <n v="570.21500000000003"/>
    <s v="Romain"/>
    <s v="RM-J-D1"/>
    <s v="PALF"/>
    <x v="0"/>
    <s v="Congo"/>
    <m/>
    <m/>
    <m/>
  </r>
  <r>
    <x v="5"/>
    <s v="ABRAHAM - CONGO food allowance du 09 au 17/01/2025 à Owando (08Nuitées)"/>
    <s v="Travel Subsistence"/>
    <s v="Legal"/>
    <n v="80000"/>
    <n v="140.29795778785194"/>
    <n v="570.21500000000003"/>
    <s v="Abraham"/>
    <s v="AB-J-D1"/>
    <s v="PALF"/>
    <x v="0"/>
    <s v="Congo"/>
    <m/>
    <m/>
    <m/>
  </r>
  <r>
    <x v="5"/>
    <s v="Frais de transfert d'argent à P29 et Romain"/>
    <s v="Transfer Fees"/>
    <s v="Office"/>
    <n v="32070"/>
    <n v="56.241943828205144"/>
    <n v="570.21500000000003"/>
    <s v="Roderlin"/>
    <s v="CA-J-R11"/>
    <s v="PALF"/>
    <x v="0"/>
    <s v="Congo"/>
    <m/>
    <m/>
    <m/>
  </r>
  <r>
    <x v="5"/>
    <s v="Donald-Roméo - CONGO Food Allowance Mission du  09 au 19/01/2025 à Owando"/>
    <s v="Travel Subsistence"/>
    <s v="Legal"/>
    <n v="100000"/>
    <n v="175.37244723481493"/>
    <n v="570.21500000000003"/>
    <s v="Donald-Roméo"/>
    <s v="DR-J-D1"/>
    <s v="PALF"/>
    <x v="0"/>
    <s v="Congo"/>
    <m/>
    <m/>
    <m/>
  </r>
  <r>
    <x v="5"/>
    <s v="Achat billet Brazzaville-Owando/Evariste"/>
    <s v="Transport"/>
    <s v="Media"/>
    <n v="7000"/>
    <n v="12.276071306437045"/>
    <n v="570.21500000000003"/>
    <s v="Evariste"/>
    <s v="EV-J-R1"/>
    <s v="PALF"/>
    <x v="0"/>
    <s v="Congo"/>
    <m/>
    <m/>
    <m/>
  </r>
  <r>
    <x v="6"/>
    <s v="CREPIN IBOUILI - CONGO Food-Allowance à Owando du 10 au 25/01/2025/(15 Nuitées)"/>
    <s v="Travel Subsistence"/>
    <s v="Legal"/>
    <n v="150000"/>
    <n v="263.05867085222241"/>
    <n v="570.21500000000003"/>
    <s v="Crépin"/>
    <s v="CR-J-D1"/>
    <s v="PALF"/>
    <x v="0"/>
    <s v="Congo"/>
    <m/>
    <m/>
    <m/>
  </r>
  <r>
    <x v="6"/>
    <s v="Reglement facture d'electricité periode Novembre - Decembre 2024/Bureau PALF"/>
    <s v="Rent &amp; Utilities"/>
    <s v="Office"/>
    <n v="59466"/>
    <n v="104.28697947265505"/>
    <n v="570.21500000000003"/>
    <s v="Roderlin"/>
    <s v="CA-J-R13"/>
    <s v="PALF"/>
    <x v="0"/>
    <s v="Congo"/>
    <m/>
    <m/>
    <m/>
  </r>
  <r>
    <x v="6"/>
    <s v="EVARISTE - CONGO Food Allowance du 10 au 17 janvier 2025 mission à Owando (7 nuitées)"/>
    <s v="Travel Subsistence"/>
    <s v="Media"/>
    <n v="70000"/>
    <n v="122.76071306437045"/>
    <n v="570.21500000000003"/>
    <s v="Evariste"/>
    <s v="EV-J-D1"/>
    <s v="PALF"/>
    <x v="0"/>
    <s v="Congo"/>
    <m/>
    <m/>
    <m/>
  </r>
  <r>
    <x v="7"/>
    <s v="CREPIN IBOUILI  - CONGO Frais d'hôtel à Owando du 10 au 13/01/2025 (03 Nuitées)"/>
    <s v="Travel Subsistence"/>
    <s v="Operations"/>
    <n v="45000"/>
    <n v="78.917601255666725"/>
    <n v="570.21500000000003"/>
    <s v="Crépin"/>
    <s v="CR-J-R2"/>
    <s v="PALF"/>
    <x v="0"/>
    <s v="Congo"/>
    <m/>
    <m/>
    <m/>
  </r>
  <r>
    <x v="7"/>
    <s v="P29 - CONGO Frais d'hotel du 09 au 13/01/2025 à owando (4 Nuitées)"/>
    <s v="Travel Subsistence"/>
    <s v="Investigations"/>
    <n v="60000"/>
    <n v="105.22346834088896"/>
    <n v="570.21500000000003"/>
    <s v="P29"/>
    <s v="P29-J-R2"/>
    <s v="PALF"/>
    <x v="0"/>
    <s v="Congo"/>
    <m/>
    <m/>
    <m/>
  </r>
  <r>
    <x v="7"/>
    <s v="Frais de transfert d'argent à T73"/>
    <s v="Transfer Fees"/>
    <s v="Office"/>
    <n v="1000"/>
    <n v="1.7537244723481493"/>
    <n v="570.21500000000003"/>
    <s v="Roderlin"/>
    <s v="CA-J-R14"/>
    <s v="PALF"/>
    <x v="0"/>
    <s v="Congo"/>
    <m/>
    <m/>
    <m/>
  </r>
  <r>
    <x v="8"/>
    <s v="Reglement facture d'hotel Eric ONA du 07 au 14/01/2025/(07 Nuitées)"/>
    <s v="Travel Subsistence"/>
    <s v="Management"/>
    <n v="245000"/>
    <n v="429.66249572529659"/>
    <n v="570.21500000000003"/>
    <s v="Abraham"/>
    <s v="CA-J-R12"/>
    <s v="PALF"/>
    <x v="0"/>
    <s v="Congo"/>
    <m/>
    <m/>
    <m/>
  </r>
  <r>
    <x v="8"/>
    <s v="Frais de transfert d'argent à Romain,P29 et Donald-Roméo"/>
    <s v="Transfer Fees"/>
    <s v="Office"/>
    <n v="8100"/>
    <n v="14.205168226020009"/>
    <n v="570.21500000000003"/>
    <s v="Roderlin"/>
    <s v="CA-J-R15"/>
    <s v="PALF"/>
    <x v="0"/>
    <s v="Congo"/>
    <m/>
    <m/>
    <m/>
  </r>
  <r>
    <x v="9"/>
    <s v="Raffraichissement et plats avec 03 gendarmes pendant l'attente du top"/>
    <s v="Travel Subsistence"/>
    <s v="Operations"/>
    <n v="9750"/>
    <n v="17.098813605394454"/>
    <n v="570.21500000000003"/>
    <s v="Crépin"/>
    <s v="CR-J-R3"/>
    <s v="PALF"/>
    <x v="0"/>
    <s v="Congo"/>
    <m/>
    <m/>
    <m/>
  </r>
  <r>
    <x v="9"/>
    <s v="Achat credit  teléphonique MTN/PALF/Deuxième partie du mois de Janvier 2025/Management"/>
    <s v="Telephone"/>
    <s v="Management"/>
    <n v="31000"/>
    <n v="54.365458642792625"/>
    <n v="570.21500000000003"/>
    <s v="Merveille"/>
    <s v="CA-J-R17"/>
    <s v="PALF"/>
    <x v="0"/>
    <s v="Congo"/>
    <m/>
    <m/>
    <m/>
  </r>
  <r>
    <x v="9"/>
    <s v="Achat credit  teléphonique MTN/PALF/Deuxième partie du mois de Janvier 2025/Legal"/>
    <s v="Telephone"/>
    <s v="Legal"/>
    <n v="35000"/>
    <n v="61.380356532185225"/>
    <n v="570.21500000000003"/>
    <s v="Merveille"/>
    <s v="CA-J-R18"/>
    <s v="PALF"/>
    <x v="0"/>
    <s v="Congo"/>
    <m/>
    <m/>
    <m/>
  </r>
  <r>
    <x v="9"/>
    <s v="Achat credit  teléphonique MTN/PALF/Deuxième partie du mois de Janvier 2025/Investigation"/>
    <s v="Telephone"/>
    <s v="Investigations"/>
    <n v="50000"/>
    <n v="87.686223617407464"/>
    <n v="570.21500000000003"/>
    <s v="Merveille"/>
    <s v="CA-J-R19"/>
    <s v="PALF"/>
    <x v="0"/>
    <s v="Congo"/>
    <m/>
    <m/>
    <m/>
  </r>
  <r>
    <x v="9"/>
    <s v="Achat credit  teléphonique MTN/PALF/Deuxième partie du mois de Janvier 2025/Media"/>
    <s v="Telephone"/>
    <s v="Media"/>
    <n v="10000"/>
    <n v="17.537244723481493"/>
    <n v="570.21500000000003"/>
    <s v="Merveille"/>
    <s v="CA-J-R20"/>
    <s v="PALF"/>
    <x v="0"/>
    <s v="Congo"/>
    <m/>
    <m/>
    <m/>
  </r>
  <r>
    <x v="9"/>
    <s v="Achat credit  teléphonique Airtel/PALF/Deuxième partie du mois de Janvier 2025/Legal"/>
    <s v="Telephone"/>
    <s v="Legal"/>
    <n v="10000"/>
    <n v="17.537244723481493"/>
    <n v="570.21500000000003"/>
    <s v="Merveille"/>
    <s v="CA-J-R21"/>
    <s v="PALF"/>
    <x v="0"/>
    <s v="Congo"/>
    <m/>
    <m/>
    <m/>
  </r>
  <r>
    <x v="9"/>
    <s v="Achat credit  teléphonique Airtel/PALF/Deuxième partie du mois de Janvier 2025/Investigation"/>
    <s v="Telephone"/>
    <s v="Investigations"/>
    <n v="5000"/>
    <n v="8.7686223617407464"/>
    <n v="570.21500000000003"/>
    <s v="Merveille"/>
    <s v="CA-J-R22"/>
    <s v="PALF"/>
    <x v="0"/>
    <s v="Congo"/>
    <m/>
    <m/>
    <m/>
  </r>
  <r>
    <x v="9"/>
    <s v="Location véhicule owando-oyo,extraction/après opération"/>
    <s v="Transport"/>
    <s v="Investigations"/>
    <n v="50000"/>
    <n v="87.686223617407464"/>
    <n v="570.21500000000003"/>
    <s v="P29"/>
    <s v="P29-J-R3"/>
    <s v="PALF"/>
    <x v="0"/>
    <s v="Congo"/>
    <m/>
    <m/>
    <m/>
  </r>
  <r>
    <x v="9"/>
    <s v="T73- CONGO Frais d'hotel du 07 au 15/01/2025 (08nuitées ) à Owando"/>
    <s v="Travel Subsistence"/>
    <s v="Investigations"/>
    <n v="120000"/>
    <n v="210.44693668177791"/>
    <n v="570.21500000000003"/>
    <s v="T73"/>
    <s v="T73-J-R2"/>
    <s v="PALF"/>
    <x v="0"/>
    <s v="Congo"/>
    <m/>
    <m/>
    <m/>
  </r>
  <r>
    <x v="9"/>
    <s v="Location  1 Taxis pour l'opération (Gendarmerie-Hotel  la Concorde:Aller-Retour)"/>
    <s v="Transport"/>
    <s v="Operations"/>
    <n v="8500"/>
    <n v="14.90665801495927"/>
    <n v="570.21500000000003"/>
    <s v="Romain"/>
    <s v="RM-J-R2"/>
    <s v="PALF"/>
    <x v="0"/>
    <s v="Congo"/>
    <m/>
    <m/>
    <m/>
  </r>
  <r>
    <x v="9"/>
    <s v="Location  1 Taxis pour l'opération (Gendarmerie-Hotel  la Concorde:Aller-Retour)"/>
    <s v="Transport"/>
    <s v="Operations"/>
    <n v="8500"/>
    <n v="14.90665801495927"/>
    <n v="570.21500000000003"/>
    <s v="Romain"/>
    <s v="RM-J-R3"/>
    <s v="PALF"/>
    <x v="0"/>
    <s v="Congo"/>
    <m/>
    <m/>
    <m/>
  </r>
  <r>
    <x v="9"/>
    <s v="Rafraichissement en attente opération "/>
    <s v="Travel Subsistence"/>
    <s v="Operations"/>
    <n v="10100"/>
    <n v="17.712617170716307"/>
    <n v="570.21500000000003"/>
    <s v="Romain"/>
    <s v="RM-J-R4"/>
    <s v="PALF"/>
    <x v="0"/>
    <s v="Congo"/>
    <m/>
    <m/>
    <m/>
  </r>
  <r>
    <x v="9"/>
    <s v="ABRAHAM - CONGO frais d'Hôtel (Hôtel Joela) du 09 au 15/01/2025 Owando (06Nuitées)"/>
    <s v="Travel Subsistence"/>
    <s v="Legal"/>
    <n v="90000"/>
    <n v="157.83520251133345"/>
    <n v="570.21500000000003"/>
    <s v="Abraham"/>
    <s v="AB-J-R2"/>
    <s v="PALF"/>
    <x v="0"/>
    <s v="Congo"/>
    <m/>
    <m/>
    <m/>
  </r>
  <r>
    <x v="9"/>
    <s v="Rafraîchissement attente op"/>
    <s v="Travel Subsistence"/>
    <s v="Operations"/>
    <n v="9600"/>
    <n v="16.835754934542233"/>
    <n v="570.21500000000003"/>
    <s v="Abraham"/>
    <s v="AB-J-R3"/>
    <s v="PALF"/>
    <x v="0"/>
    <s v="Congo"/>
    <m/>
    <m/>
    <m/>
  </r>
  <r>
    <x v="9"/>
    <s v="Achat billet Brazzaville-Dolisie/Rodelin"/>
    <s v="Transport"/>
    <s v="Legal"/>
    <n v="8000"/>
    <n v="14.029795778785195"/>
    <n v="570.21500000000003"/>
    <s v="Roderlin"/>
    <s v="RO-J-R1"/>
    <s v="PALF"/>
    <x v="0"/>
    <s v="Congo"/>
    <m/>
    <m/>
    <m/>
  </r>
  <r>
    <x v="9"/>
    <s v="Frais de mission maitre marie Helène à dolisie du 16 au 18/01/2025"/>
    <s v="Lawyer Fees"/>
    <s v="Legal"/>
    <n v="72000"/>
    <n v="126.26816200906674"/>
    <n v="570.21500000000003"/>
    <s v="Roderlin"/>
    <s v="CA-J-R16"/>
    <s v="PALF"/>
    <x v="0"/>
    <s v="Congo"/>
    <m/>
    <m/>
    <m/>
  </r>
  <r>
    <x v="9"/>
    <s v="Achat carburant BJ  pour OP"/>
    <s v="Transport"/>
    <s v="Operations"/>
    <n v="25000"/>
    <n v="43.843111808703732"/>
    <n v="570.21500000000003"/>
    <s v="Donald-Roméo"/>
    <s v="DR-J-R2"/>
    <s v="PALF"/>
    <x v="0"/>
    <s v="Congo"/>
    <m/>
    <m/>
    <m/>
  </r>
  <r>
    <x v="9"/>
    <s v="Raffraichissement OP  à Owando/10  gendarmes et moi"/>
    <s v="Travel Subsistence"/>
    <s v="Operations"/>
    <n v="19600"/>
    <n v="34.372999658023723"/>
    <n v="570.21500000000003"/>
    <s v="Donald-Roméo"/>
    <s v="DR-J-R3"/>
    <s v="PALF"/>
    <x v="0"/>
    <s v="Congo"/>
    <m/>
    <m/>
    <m/>
  </r>
  <r>
    <x v="9"/>
    <s v="Rafraichissement de mon équipe lors de l'opération"/>
    <s v="Travel Subsistence"/>
    <s v="Operations"/>
    <n v="9700"/>
    <n v="17.011127381777047"/>
    <n v="570.21500000000003"/>
    <s v="Evariste"/>
    <s v="EV-J-R2"/>
    <s v="PALF"/>
    <x v="0"/>
    <s v="Congo"/>
    <m/>
    <m/>
    <m/>
  </r>
  <r>
    <x v="10"/>
    <s v="Bonus pour 16 gendarmes ayant participé à l'opération du 15 Janvier 2025 à Owando"/>
    <s v="Bonus"/>
    <s v="Operations"/>
    <n v="160000"/>
    <n v="280.59591557570388"/>
    <n v="570.21500000000003"/>
    <s v="Crépin"/>
    <s v="CR-J-R4"/>
    <s v="PALF"/>
    <x v="0"/>
    <s v="Congo"/>
    <m/>
    <m/>
    <m/>
  </r>
  <r>
    <x v="10"/>
    <s v="Bonus pour 02 EF ayant participé à l'opération du 15 Janvier 2025 à Owando"/>
    <s v="Bonus"/>
    <s v="Operations"/>
    <n v="20000"/>
    <n v="35.074489446962986"/>
    <n v="570.21500000000003"/>
    <s v="Crépin"/>
    <s v="CR-J-R5"/>
    <s v="PALF"/>
    <x v="0"/>
    <s v="Congo"/>
    <m/>
    <m/>
    <m/>
  </r>
  <r>
    <x v="10"/>
    <s v="Frais de transfert d'argent à Crepin,T73 et Evariste"/>
    <s v="Transfer Fees"/>
    <s v="Office"/>
    <n v="6055"/>
    <n v="10.618801680068044"/>
    <n v="570.21500000000003"/>
    <s v="Merveille"/>
    <s v="CA-J-R23"/>
    <s v="PALF"/>
    <x v="0"/>
    <s v="Congo"/>
    <m/>
    <m/>
    <m/>
  </r>
  <r>
    <x v="10"/>
    <s v="Achat billet Oyo-Brazzaville(Océan du Nord)/Abraham"/>
    <s v="Transport"/>
    <s v="Legal"/>
    <n v="7000"/>
    <n v="12.276071306437045"/>
    <n v="570.21500000000003"/>
    <s v="Abraham"/>
    <s v="AB-J-R4"/>
    <s v="PALF"/>
    <x v="0"/>
    <s v="Congo"/>
    <m/>
    <m/>
    <m/>
  </r>
  <r>
    <x v="10"/>
    <s v="RODERLIN-CONGO food allowance du 16 au 18/01/2025 à Dolisie (02 nuitées)"/>
    <s v="Travel Subsistence"/>
    <s v="Legal"/>
    <n v="20000"/>
    <n v="35.074489446962986"/>
    <n v="570.21500000000003"/>
    <s v="Roderlin"/>
    <s v="RO-J-D1"/>
    <s v="PALF"/>
    <x v="0"/>
    <s v="Congo"/>
    <m/>
    <m/>
    <m/>
  </r>
  <r>
    <x v="10"/>
    <s v="Achat billet Owando-Brazzaville/Evariste"/>
    <s v="Transport"/>
    <s v="Media"/>
    <n v="7000"/>
    <n v="12.276071306437045"/>
    <n v="570.21500000000003"/>
    <s v="Evariste"/>
    <s v="EV-J-R3"/>
    <s v="PALF"/>
    <x v="0"/>
    <s v="Congo"/>
    <m/>
    <m/>
    <m/>
  </r>
  <r>
    <x v="11"/>
    <s v="Frais de transfert d'argent à Donald-Roméo et Romain"/>
    <s v="Transfer Fees"/>
    <s v="Office"/>
    <n v="6720"/>
    <n v="11.785028454179564"/>
    <n v="570.21500000000003"/>
    <s v="Merveille"/>
    <s v="CA-J-R24"/>
    <s v="PALF"/>
    <x v="0"/>
    <s v="Congo"/>
    <m/>
    <m/>
    <m/>
  </r>
  <r>
    <x v="11"/>
    <s v="Frais de mission maitre Alain BANZOUZI du 19 au 22/01/2025 à Owando"/>
    <s v="Lawyer Fees"/>
    <s v="Legal"/>
    <n v="176000"/>
    <n v="308.65550713327428"/>
    <n v="570.21500000000003"/>
    <s v="Merveille"/>
    <s v="CA-J-R25"/>
    <s v="PALF"/>
    <x v="0"/>
    <s v="Congo"/>
    <m/>
    <m/>
    <m/>
  </r>
  <r>
    <x v="11"/>
    <s v="P29 - Frais d'hotel du 13 au 17/01/2025  lieu op à owando(pour P29)/04 Nuitées"/>
    <s v="Travel Subsistence"/>
    <s v="Investigations"/>
    <n v="100000"/>
    <n v="175.37244723481493"/>
    <n v="570.21500000000003"/>
    <s v="P29"/>
    <s v="P29-J-R4"/>
    <s v="PALF"/>
    <x v="0"/>
    <s v="Congo"/>
    <m/>
    <m/>
    <m/>
  </r>
  <r>
    <x v="11"/>
    <s v="P29 - Frais d'hotel du 13 au 17/01/2025  lieu op à owando(Pour Crépin)/04 Nuitées"/>
    <s v="Travel Subsistence"/>
    <s v="Investigations"/>
    <n v="100000"/>
    <n v="175.37244723481493"/>
    <n v="570.21500000000003"/>
    <s v="P29"/>
    <s v="P29-J-R5"/>
    <s v="PALF"/>
    <x v="0"/>
    <s v="Congo"/>
    <m/>
    <m/>
    <m/>
  </r>
  <r>
    <x v="11"/>
    <s v="Achat billet oyo-brazzaville/P29"/>
    <s v="Transport"/>
    <s v="Investigations"/>
    <n v="7000"/>
    <n v="12.276071306437045"/>
    <n v="570.21500000000003"/>
    <s v="P29"/>
    <s v="P29-J-R6"/>
    <s v="PALF"/>
    <x v="0"/>
    <s v="Congo"/>
    <m/>
    <m/>
    <m/>
  </r>
  <r>
    <x v="11"/>
    <s v="P29 - CONGO Frais d'hotel du 15 au 17/01/2025  à oyo ( 02 Nuitées)"/>
    <s v="Travel Subsistence"/>
    <s v="Investigations"/>
    <n v="30000"/>
    <n v="52.611734170444478"/>
    <n v="570.21500000000003"/>
    <s v="P29"/>
    <s v="P29-J-R7"/>
    <s v="PALF"/>
    <x v="0"/>
    <s v="Congo"/>
    <m/>
    <m/>
    <m/>
  </r>
  <r>
    <x v="11"/>
    <s v="T73 - CONGO Frais d'hotel du 15 au 17/01/2025 (02nuitées ) à Oyo"/>
    <s v="Travel Subsistence"/>
    <s v="Investigations"/>
    <n v="30000"/>
    <n v="52.611734170444478"/>
    <n v="570.21500000000003"/>
    <s v="T73"/>
    <s v="T73-J-R3"/>
    <s v="PALF"/>
    <x v="0"/>
    <s v="Congo"/>
    <m/>
    <m/>
    <m/>
  </r>
  <r>
    <x v="11"/>
    <s v="achat billet : Oyo - Brazzaville /T73"/>
    <s v="Transport"/>
    <s v="Investigations"/>
    <n v="7000"/>
    <n v="12.276071306437045"/>
    <n v="570.21500000000003"/>
    <s v="T73"/>
    <s v="T73-J-R4"/>
    <s v="PALF"/>
    <x v="0"/>
    <s v="Congo"/>
    <m/>
    <m/>
    <m/>
  </r>
  <r>
    <x v="11"/>
    <s v="ABRAHAM - CONGO frais d'Hôtel (Hôtel Saint Benoit) du 17 au 17/01/2025 Oyo (02Nuitées)"/>
    <s v="Travel Subsistence"/>
    <s v="Legal"/>
    <n v="30000"/>
    <n v="52.611734170444478"/>
    <n v="570.21500000000003"/>
    <s v="Abraham"/>
    <s v="AB-J-R5"/>
    <s v="PALF"/>
    <x v="0"/>
    <s v="Congo"/>
    <m/>
    <m/>
    <m/>
  </r>
  <r>
    <x v="11"/>
    <s v="Cumul frais de Jail visit du mois de Janvier 2025/Roderlin"/>
    <s v="Jail visit"/>
    <s v="Legal"/>
    <n v="12000"/>
    <n v="21.044693668177793"/>
    <n v="570.21500000000003"/>
    <s v="Roderlin"/>
    <s v="RO-J-D2"/>
    <s v="PALF"/>
    <x v="0"/>
    <s v="Congo"/>
    <m/>
    <m/>
    <m/>
  </r>
  <r>
    <x v="11"/>
    <s v="Achat billet Dolisie -Brazzaville /Roderlin"/>
    <s v="Transport"/>
    <s v="Legal"/>
    <n v="8000"/>
    <n v="14.029795778785195"/>
    <n v="570.21500000000003"/>
    <s v="Roderlin"/>
    <s v="RO-J-R2"/>
    <s v="PALF"/>
    <x v="0"/>
    <s v="Congo"/>
    <m/>
    <m/>
    <m/>
  </r>
  <r>
    <x v="11"/>
    <s v="EVARISTE - CONGO Frais d'hôtel du 10 au 17 janvier 2025 (7 nuitées) à Owando"/>
    <s v="Travel Subsistence"/>
    <s v="Media"/>
    <n v="105000"/>
    <n v="184.14106959655567"/>
    <n v="570.21500000000003"/>
    <s v="Evariste"/>
    <s v="EV-J-R4"/>
    <s v="PALF"/>
    <x v="0"/>
    <s v="Congo"/>
    <m/>
    <m/>
    <m/>
  </r>
  <r>
    <x v="11"/>
    <s v="RAPATRIEME01100 RAO00010730"/>
    <s v="Grant"/>
    <m/>
    <m/>
    <m/>
    <n v="596.1932333333333"/>
    <s v="BCI"/>
    <s v="BQ-J-G1"/>
    <s v="PALF"/>
    <x v="0"/>
    <s v="Congo"/>
    <n v="17885797"/>
    <n v="30000"/>
    <m/>
  </r>
  <r>
    <x v="12"/>
    <s v="RODERLIN-CONGO frais d'hôtel du 16 au 18/01/2025 à DOLISIE (02 nuitées)"/>
    <s v="Travel Subsistence"/>
    <s v="Legal"/>
    <n v="30000"/>
    <n v="50.319275804982617"/>
    <n v="596.19299999999998"/>
    <s v="Roderlin"/>
    <s v="RO-J-R3"/>
    <s v="PALF"/>
    <x v="0"/>
    <s v="Congo"/>
    <m/>
    <m/>
    <m/>
  </r>
  <r>
    <x v="13"/>
    <s v="Achat billet Owando-Brazzaville/Donald-Roméo"/>
    <s v="Transport"/>
    <s v="Legal"/>
    <n v="7000"/>
    <n v="12.276071306437045"/>
    <n v="570.21500000000003"/>
    <s v="Donald-Roméo"/>
    <s v="DR-J-R4"/>
    <s v="PALF"/>
    <x v="0"/>
    <s v="Congo"/>
    <m/>
    <m/>
    <m/>
  </r>
  <r>
    <x v="13"/>
    <s v="DONALD-ROMEO - CONGO Frais d'hôtel du 09 au 19/01/2025 à  Owando (Hôtel  Joella)/ 10 Nuitées"/>
    <s v="Travel Subsistence"/>
    <s v="Legal"/>
    <n v="150000"/>
    <n v="251.59637902491309"/>
    <n v="596.19299999999998"/>
    <s v="Donald-Roméo"/>
    <s v="DR-J-R5"/>
    <s v="PALF"/>
    <x v="0"/>
    <s v="Congo"/>
    <m/>
    <m/>
    <m/>
  </r>
  <r>
    <x v="13"/>
    <s v="Cumul frais de transport local du mois de Janvier 2025/Donald-Roméo"/>
    <s v="Transport"/>
    <s v="Legal"/>
    <n v="12500"/>
    <n v="20.966364918742755"/>
    <n v="596.19299999999998"/>
    <s v="Donald-Roméo"/>
    <s v="DR-J-D2"/>
    <s v="PALF"/>
    <x v="0"/>
    <s v="Congo"/>
    <m/>
    <m/>
    <m/>
  </r>
  <r>
    <x v="14"/>
    <s v="Achat encre 216A et registre"/>
    <s v="Office Materials"/>
    <s v="Office"/>
    <n v="195000"/>
    <n v="327.07529273238703"/>
    <n v="596.19299999999998"/>
    <s v="Merveille"/>
    <s v="CA-J-R26"/>
    <s v="PALF"/>
    <x v="0"/>
    <s v="Congo"/>
    <m/>
    <m/>
    <m/>
  </r>
  <r>
    <x v="14"/>
    <s v="Prestation de nettoyage Jardin PALF mois de Janvier 2025"/>
    <s v="Services"/>
    <s v="Office"/>
    <n v="20000"/>
    <n v="33.546183869988411"/>
    <n v="596.19299999999998"/>
    <s v="Merveille"/>
    <s v="CA-J-R27"/>
    <s v="PALF"/>
    <x v="0"/>
    <s v="Congo"/>
    <m/>
    <m/>
    <m/>
  </r>
  <r>
    <x v="15"/>
    <s v="achat billet : Brazzaville - dolisie/T73"/>
    <s v="Transport"/>
    <s v="Investigations"/>
    <n v="7000"/>
    <n v="11.741164354495943"/>
    <n v="596.19299999999998"/>
    <s v="T73"/>
    <s v="T73-J-R5"/>
    <s v="PALF"/>
    <x v="0"/>
    <s v="Congo"/>
    <m/>
    <m/>
    <m/>
  </r>
  <r>
    <x v="15"/>
    <s v="Achat carte sim pour T73"/>
    <s v="Investigation materials"/>
    <s v="Investigations"/>
    <n v="10000"/>
    <n v="17.537244723481493"/>
    <n v="570.21500000000003"/>
    <s v="T73"/>
    <s v="T73-J-R16"/>
    <s v="PALF"/>
    <x v="0"/>
    <s v="Congo"/>
    <m/>
    <m/>
    <m/>
  </r>
  <r>
    <x v="15"/>
    <s v="Impréssion de la procédure de la Gendaremrie"/>
    <s v="Office Materials"/>
    <s v="Operations"/>
    <n v="24675"/>
    <n v="43.273151355190585"/>
    <n v="570.21500000000003"/>
    <s v="Romain"/>
    <s v="RM-J-R5"/>
    <s v="PALF"/>
    <x v="0"/>
    <s v="Congo"/>
    <m/>
    <m/>
    <m/>
  </r>
  <r>
    <x v="15"/>
    <s v="Cumul frais de jail visit du mois de Janvier 2025/Romain"/>
    <s v="Jail visit"/>
    <s v="Legal"/>
    <n v="26000"/>
    <n v="43.610039030984936"/>
    <n v="596.19299999999998"/>
    <s v="Romain"/>
    <s v="RM-J-D2"/>
    <s v="PALF"/>
    <x v="0"/>
    <s v="Congo"/>
    <m/>
    <m/>
    <m/>
  </r>
  <r>
    <x v="15"/>
    <s v="Bonus media portant sur l'operation du 15/01/2025"/>
    <s v="Bonus to media officer"/>
    <s v="Media"/>
    <n v="154000"/>
    <n v="258.30561579891076"/>
    <n v="596.19299999999998"/>
    <s v="Evariste"/>
    <s v="CA-J-D1"/>
    <s v="PALF"/>
    <x v="0"/>
    <s v="Congo"/>
    <m/>
    <m/>
    <m/>
  </r>
  <r>
    <x v="16"/>
    <s v="IT87 - CONGO Food Allowance mission du 22 au 30/01/2025 à Mouyondzi, Kolo, Bouansa et Madingou/(08 Nuitées)"/>
    <s v="Travel Subsistence"/>
    <s v="Investigations"/>
    <n v="80000"/>
    <n v="134.18473547995364"/>
    <n v="596.19299999999998"/>
    <s v="IT87"/>
    <s v="IT87-J-D1"/>
    <s v="PALF"/>
    <x v="0"/>
    <s v="Congo"/>
    <m/>
    <m/>
    <m/>
  </r>
  <r>
    <x v="16"/>
    <s v="Achat billet Brazzaville - Mouyondzi/ IT87"/>
    <s v="Transport"/>
    <s v="Investigations"/>
    <n v="7000"/>
    <n v="11.741164354495943"/>
    <n v="596.19299999999998"/>
    <s v="IT87"/>
    <s v="IT87-J-R1"/>
    <s v="PALF"/>
    <x v="0"/>
    <s v="Congo"/>
    <m/>
    <m/>
    <m/>
  </r>
  <r>
    <x v="16"/>
    <s v="Achat billet brazzaville-dolisie/P29"/>
    <s v="Transport"/>
    <s v="Investigations"/>
    <n v="7000"/>
    <n v="11.741164354495943"/>
    <n v="596.19299999999998"/>
    <s v="P29"/>
    <s v="P29-J-R8"/>
    <s v="PALF"/>
    <x v="0"/>
    <s v="Congo"/>
    <m/>
    <m/>
    <m/>
  </r>
  <r>
    <x v="16"/>
    <s v="P29 - CONGO Foodallowance mission du 22 au 30/01/2025 à Dolisie,Kimongo,Louvakou et ditadi (08 Nuitées)"/>
    <s v="Travel Subsistence"/>
    <s v="Investigations"/>
    <n v="80000"/>
    <n v="134.18473547995364"/>
    <n v="596.19299999999998"/>
    <s v="P29"/>
    <s v="P29-J-D2"/>
    <s v="PALF"/>
    <x v="0"/>
    <s v="Congo"/>
    <m/>
    <m/>
    <m/>
  </r>
  <r>
    <x v="16"/>
    <s v="T73 - CONGO Food Allowance du 22 au 30/01/2025 (08nuitées) à Dolisie,Kibangou,Mbanda et Passi passi"/>
    <s v="Travel Subsistence"/>
    <s v="Investigations"/>
    <n v="80000"/>
    <n v="134.18473547995364"/>
    <n v="596.19299999999998"/>
    <s v="T73"/>
    <s v="T73-J-D2"/>
    <s v="PALF"/>
    <x v="0"/>
    <s v="Congo"/>
    <m/>
    <m/>
    <m/>
  </r>
  <r>
    <x v="16"/>
    <s v="Achat billet: Brazzaville - dolisie / G12"/>
    <s v="Transport"/>
    <s v="Investigations"/>
    <n v="7000"/>
    <n v="11.741164354495943"/>
    <n v="596.19299999999998"/>
    <s v="G12"/>
    <s v="G12-J-R1"/>
    <s v="PALF"/>
    <x v="0"/>
    <s v="Congo"/>
    <m/>
    <m/>
    <m/>
  </r>
  <r>
    <x v="16"/>
    <s v="G12 - CONGO Food Allowance du 22  au 30 /01/2025 (08nuitées)"/>
    <s v="Travel Subsistence"/>
    <s v="Investigations"/>
    <n v="80000"/>
    <n v="134.18473547995364"/>
    <n v="596.19299999999998"/>
    <s v="G12"/>
    <s v="G12-J-D1"/>
    <s v="PALF"/>
    <x v="0"/>
    <s v="Congo"/>
    <m/>
    <m/>
    <m/>
  </r>
  <r>
    <x v="16"/>
    <s v="Cumul frais de transport local du mois de Janvier 2025/Abraham"/>
    <s v="Transport"/>
    <s v="Legal"/>
    <n v="14500"/>
    <n v="24.320983305741599"/>
    <n v="596.19299999999998"/>
    <s v="Abraham"/>
    <s v="AB-J-D2"/>
    <s v="PALF"/>
    <x v="0"/>
    <s v="Congo"/>
    <m/>
    <m/>
    <m/>
  </r>
  <r>
    <x v="16"/>
    <s v="Frais de transfert d'argent à Romain "/>
    <s v="Transfer Fees"/>
    <s v="Office"/>
    <n v="3330"/>
    <n v="5.5854396143530707"/>
    <n v="596.19299999999998"/>
    <s v="Abraham"/>
    <s v="CA-J-R28"/>
    <s v="PALF"/>
    <x v="0"/>
    <s v="Congo"/>
    <m/>
    <m/>
    <m/>
  </r>
  <r>
    <x v="16"/>
    <s v="Recharge bouteille de gaz de 12KG/Bureau PALF"/>
    <s v="Office Materials"/>
    <s v="Office"/>
    <n v="7500"/>
    <n v="12.579818951245654"/>
    <n v="596.19299999999998"/>
    <s v="Roderlin"/>
    <s v="CA-J-R29"/>
    <s v="PALF"/>
    <x v="0"/>
    <s v="Congo"/>
    <m/>
    <m/>
    <m/>
  </r>
  <r>
    <x v="17"/>
    <s v="Frais de notification contrat Roderlin et Abraham"/>
    <s v="Personnel"/>
    <s v="Legal"/>
    <n v="21000"/>
    <n v="35.22349306348783"/>
    <n v="596.19299999999998"/>
    <s v="Merveille"/>
    <s v="CA-J-R31"/>
    <s v="PALF"/>
    <x v="0"/>
    <s v="Congo"/>
    <m/>
    <m/>
    <m/>
  </r>
  <r>
    <x v="17"/>
    <s v="Frais de transfert d'argent à T73,P29,IT87 et G12"/>
    <s v="Transfer Fees"/>
    <s v="Office"/>
    <n v="21030"/>
    <n v="35.273812339292817"/>
    <n v="596.19299999999998"/>
    <s v="Roderlin"/>
    <s v="CA-J-R30"/>
    <s v="PALF"/>
    <x v="0"/>
    <s v="Congo"/>
    <m/>
    <m/>
    <m/>
  </r>
  <r>
    <x v="17"/>
    <s v="Paiement salaire du mois de Janvier 2025"/>
    <s v="Personnel"/>
    <s v="Management"/>
    <n v="1311000"/>
    <n v="2198.9523526777402"/>
    <n v="596.19299999999998"/>
    <s v="BCI"/>
    <s v="BQ-J-R4"/>
    <s v="PALF"/>
    <x v="0"/>
    <s v="Congo"/>
    <m/>
    <m/>
    <m/>
  </r>
  <r>
    <x v="17"/>
    <s v="Paiement salaire du mois de Janvier 2025/Loundou Jean Romain"/>
    <s v="Personnel"/>
    <s v="Legal"/>
    <n v="200000"/>
    <n v="335.46183869988408"/>
    <n v="596.19299999999998"/>
    <s v="BCI"/>
    <s v="BQ-J-R5"/>
    <s v="PALF"/>
    <x v="0"/>
    <s v="Congo"/>
    <m/>
    <m/>
    <m/>
  </r>
  <r>
    <x v="17"/>
    <s v="Paiement salaire du mois de Janvier 2025/Crepin IBOUILI IBOUILI"/>
    <s v="Personnel"/>
    <s v="Office"/>
    <n v="551482"/>
    <n v="925.00582864944738"/>
    <n v="596.19299999999998"/>
    <s v="BCI"/>
    <s v="BQ-J-R6"/>
    <s v="PALF"/>
    <x v="0"/>
    <s v="Congo"/>
    <m/>
    <m/>
    <m/>
  </r>
  <r>
    <x v="17"/>
    <s v="Paiement salaire du mois de Janvier 2025/Merveille MAHANGA"/>
    <s v="Personnel"/>
    <s v="Legal"/>
    <n v="384789"/>
    <n v="645.41012725744849"/>
    <n v="596.19299999999998"/>
    <s v="BCI"/>
    <s v="BQ-J-R7"/>
    <s v="PALF"/>
    <x v="0"/>
    <s v="Congo"/>
    <m/>
    <m/>
    <m/>
  </r>
  <r>
    <x v="17"/>
    <s v="Paiement salaire du mois de Janvier 2025 et congé/PINDI BINGA Donald-Roméo"/>
    <s v="Personnel"/>
    <s v="Legal"/>
    <n v="336400"/>
    <n v="564.24681269320502"/>
    <n v="596.19299999999998"/>
    <s v="BCI"/>
    <s v="BQ-J-R8"/>
    <s v="PALF"/>
    <x v="0"/>
    <s v="Congo"/>
    <m/>
    <m/>
    <m/>
  </r>
  <r>
    <x v="17"/>
    <s v="Paiement salaire du mois de Janvier 2025/BOUNGOU Abraham"/>
    <s v="Personnel"/>
    <s v="Legal"/>
    <n v="200000"/>
    <n v="335.46183869988408"/>
    <n v="596.19299999999998"/>
    <s v="BCI"/>
    <s v="BQ-J-R9"/>
    <s v="PALF"/>
    <x v="0"/>
    <s v="Congo"/>
    <m/>
    <m/>
    <m/>
  </r>
  <r>
    <x v="17"/>
    <s v="Paiement salaire du mois de Janvier 2025/FOUMBA Roderlin"/>
    <s v="Personnel"/>
    <s v="Legal"/>
    <n v="200000"/>
    <n v="335.46183869988408"/>
    <n v="596.19299999999998"/>
    <s v="BCI"/>
    <s v="BQ-J-R10"/>
    <s v="PALF"/>
    <x v="0"/>
    <s v="Congo"/>
    <m/>
    <m/>
    <m/>
  </r>
  <r>
    <x v="17"/>
    <s v="Paiement salaire du mois de Janvier 2025/Evariste LELOUSSI"/>
    <s v="Personnel"/>
    <s v="Media"/>
    <n v="238140"/>
    <n v="399.43441133995202"/>
    <n v="596.19299999999998"/>
    <s v="BCI"/>
    <s v="BQ-J-R11"/>
    <s v="PALF"/>
    <x v="0"/>
    <s v="Congo"/>
    <m/>
    <m/>
    <m/>
  </r>
  <r>
    <x v="18"/>
    <s v="Billet: Owando-Brazzaville/Crepin"/>
    <s v="Transport"/>
    <s v="Legal"/>
    <n v="7000"/>
    <n v="11.741164354495943"/>
    <n v="596.19299999999998"/>
    <s v="Crépin"/>
    <s v="CR-J-R6"/>
    <s v="PALF"/>
    <x v="0"/>
    <s v="Congo"/>
    <m/>
    <m/>
    <m/>
  </r>
  <r>
    <x v="18"/>
    <s v="Taxi : Mouyondzi - Village Kolo/ vérification de l'animal avec la cible"/>
    <s v="Transport"/>
    <s v="Investigations"/>
    <n v="5000"/>
    <n v="8.3865459674971028"/>
    <n v="596.19299999999998"/>
    <s v="IT87"/>
    <s v="IT87-J-R2"/>
    <s v="PALF"/>
    <x v="0"/>
    <s v="Congo"/>
    <m/>
    <m/>
    <m/>
  </r>
  <r>
    <x v="18"/>
    <s v="Taxi : Village Kolo - Mouyondzi/ Retour de la vérification avec la cible"/>
    <s v="Transport"/>
    <s v="Investigations"/>
    <n v="5000"/>
    <n v="8.3865459674971028"/>
    <n v="596.19299999999998"/>
    <s v="IT87"/>
    <s v="IT87-J-R3"/>
    <s v="PALF"/>
    <x v="0"/>
    <s v="Congo"/>
    <m/>
    <m/>
    <m/>
  </r>
  <r>
    <x v="18"/>
    <s v="P29 - CONGO Frais d'hotel du 22 au 24/01/2025 à Dolisie (02 Nuitées)"/>
    <s v="Travel Subsistence"/>
    <s v="Investigations"/>
    <n v="30000"/>
    <n v="50.319275804982617"/>
    <n v="596.19299999999998"/>
    <s v="P29"/>
    <s v="P29-J-R9"/>
    <s v="PALF"/>
    <x v="0"/>
    <s v="Congo"/>
    <m/>
    <m/>
    <m/>
  </r>
  <r>
    <x v="18"/>
    <s v="Achat billet Dolisie-kimongo/P29"/>
    <s v="Transport"/>
    <s v="Investigations"/>
    <n v="6000"/>
    <n v="10.063855160996523"/>
    <n v="596.19299999999998"/>
    <s v="P29"/>
    <s v="P29-J-R10"/>
    <s v="PALF"/>
    <x v="0"/>
    <s v="Congo"/>
    <m/>
    <m/>
    <m/>
  </r>
  <r>
    <x v="18"/>
    <s v="T73 - CONGO Frais d'hotel du 22 au 24/01/2025 (02nuitées ) à Dolisie"/>
    <s v="Travel Subsistence"/>
    <s v="Investigations"/>
    <n v="30000"/>
    <n v="50.319275804982617"/>
    <n v="596.19299999999998"/>
    <s v="T73"/>
    <s v="T73-J-R6"/>
    <s v="PALF"/>
    <x v="0"/>
    <s v="Congo"/>
    <m/>
    <m/>
    <m/>
  </r>
  <r>
    <x v="18"/>
    <s v="Achat billet: dolisie - Mbanda/T73"/>
    <s v="Transport"/>
    <s v="Investigations"/>
    <n v="15000"/>
    <n v="25.159637902491308"/>
    <n v="596.19299999999998"/>
    <s v="T73"/>
    <s v="T73-J-R7"/>
    <s v="PALF"/>
    <x v="0"/>
    <s v="Congo"/>
    <m/>
    <m/>
    <m/>
  </r>
  <r>
    <x v="18"/>
    <s v=" G12 - CONGO frais d'hotel du 22au 24 /01/2025 à Dolisie ( 2 nuitées)"/>
    <s v="Travel Subsistence"/>
    <s v="Investigations"/>
    <n v="30000"/>
    <n v="50.319275804982617"/>
    <n v="596.19299999999998"/>
    <s v="G12"/>
    <s v="G12-J-R2"/>
    <s v="PALF"/>
    <x v="0"/>
    <s v="Congo"/>
    <m/>
    <m/>
    <m/>
  </r>
  <r>
    <x v="18"/>
    <s v="Achat billet : Dolisie - mossendjo/G12"/>
    <s v="Transport"/>
    <s v="Investigations"/>
    <n v="8000"/>
    <n v="13.418473547995363"/>
    <n v="596.19299999999998"/>
    <s v="G12"/>
    <s v="G12-J-R3"/>
    <s v="PALF"/>
    <x v="0"/>
    <s v="Congo"/>
    <m/>
    <m/>
    <m/>
  </r>
  <r>
    <x v="18"/>
    <s v="Achat de Billet Owando-Brazzaville/Romain"/>
    <s v="Transport"/>
    <s v="Legal"/>
    <n v="7000"/>
    <n v="11.741164354495943"/>
    <n v="596.19299999999998"/>
    <s v="Romain"/>
    <s v="RM-J-R5"/>
    <s v="PALF"/>
    <x v="0"/>
    <s v="Congo"/>
    <m/>
    <m/>
    <m/>
  </r>
  <r>
    <x v="19"/>
    <s v="CREPIN IBOUILI  - CONGO Frais d'hôtel à Owando du 15 au 25/01/2025/10 Nuitées"/>
    <s v="Travel Subsistence"/>
    <s v="Legal"/>
    <n v="150000"/>
    <n v="251.59637902491309"/>
    <n v="596.19299999999998"/>
    <s v="Crépin"/>
    <s v="CR-J-R7"/>
    <s v="PALF"/>
    <x v="0"/>
    <s v="Congo"/>
    <m/>
    <m/>
    <m/>
  </r>
  <r>
    <x v="19"/>
    <s v="Cumul frais de transport local du mois de Janvier 2025/Crepin"/>
    <s v="Transport"/>
    <s v="Legal"/>
    <n v="13500"/>
    <n v="22.643674112242177"/>
    <n v="596.19299999999998"/>
    <s v="Crépin"/>
    <s v="CR-J-D2"/>
    <s v="PALF"/>
    <x v="0"/>
    <s v="Congo"/>
    <m/>
    <m/>
    <m/>
  </r>
  <r>
    <x v="19"/>
    <s v="ROMAIN - CONGO Frais d'hôtel de la mission du 09 au 25/2025 à Owando(16 nuitées)"/>
    <s v="Travel Subsistence"/>
    <s v="Legal"/>
    <n v="240000"/>
    <n v="402.55420643986093"/>
    <n v="596.19299999999998"/>
    <s v="Romain"/>
    <s v="RM-J-R7"/>
    <s v="PALF"/>
    <x v="0"/>
    <s v="Congo"/>
    <m/>
    <m/>
    <m/>
  </r>
  <r>
    <x v="20"/>
    <s v="IT87 - CONGO Frais d'hôtel DZA-MATSAKA du 22 au 26/01/2025 à Mouyondzi (04 nuitées)"/>
    <s v="Travel Subsistence"/>
    <s v="Investigations"/>
    <n v="60000"/>
    <n v="100.63855160996523"/>
    <n v="596.19299999999998"/>
    <s v="IT87"/>
    <s v="IT87-J-R4"/>
    <s v="PALF"/>
    <x v="0"/>
    <s v="Congo"/>
    <m/>
    <m/>
    <m/>
  </r>
  <r>
    <x v="20"/>
    <s v="Achat billet Mouyondzi - Bouansa/ IT87"/>
    <s v="Transport"/>
    <s v="Investigations"/>
    <n v="3000"/>
    <n v="5.0319275804982615"/>
    <n v="596.19299999999998"/>
    <s v="IT87"/>
    <s v="IT87-J-R5"/>
    <s v="PALF"/>
    <x v="0"/>
    <s v="Congo"/>
    <m/>
    <m/>
    <m/>
  </r>
  <r>
    <x v="20"/>
    <s v="P29 - CONGO Frais d'hotel du 24 au 26/01/2025 à kimongo ( 02 Nuitées)"/>
    <s v="Travel Subsistence"/>
    <s v="Investigations"/>
    <n v="30000"/>
    <n v="50.319275804982617"/>
    <n v="596.19299999999998"/>
    <s v="P29"/>
    <s v="P29-J-R11"/>
    <s v="PALF"/>
    <x v="0"/>
    <s v="Congo"/>
    <m/>
    <m/>
    <m/>
  </r>
  <r>
    <x v="20"/>
    <s v="Achat billet kimongo-dolisie/P29"/>
    <s v="Transport"/>
    <s v="Investigations"/>
    <n v="6000"/>
    <n v="10.063855160996523"/>
    <n v="596.19299999999998"/>
    <s v="P29"/>
    <s v="P29-J-R12"/>
    <s v="PALF"/>
    <x v="0"/>
    <s v="Congo"/>
    <m/>
    <m/>
    <m/>
  </r>
  <r>
    <x v="20"/>
    <s v="Achat billet dolisie-louvakou/P29"/>
    <s v="Transport"/>
    <s v="Investigations"/>
    <n v="5000"/>
    <n v="8.3865459674971028"/>
    <n v="596.19299999999998"/>
    <s v="P29"/>
    <s v="P29-J-R13"/>
    <s v="PALF"/>
    <x v="0"/>
    <s v="Congo"/>
    <m/>
    <m/>
    <m/>
  </r>
  <r>
    <x v="20"/>
    <s v="T73 - CONGO Frais d'hotel du 24 au 26/01/2025 (02nuitées ) à MBanda"/>
    <s v="Travel Subsistence"/>
    <s v="Investigations"/>
    <n v="30000"/>
    <n v="50.319275804982617"/>
    <n v="596.19299999999998"/>
    <s v="T73"/>
    <s v="T73-J-R8"/>
    <s v="PALF"/>
    <x v="0"/>
    <s v="Congo"/>
    <m/>
    <m/>
    <m/>
  </r>
  <r>
    <x v="20"/>
    <s v="achat billet : MBanda - kibangou/T73"/>
    <s v="Transport"/>
    <s v="Investigations"/>
    <n v="7000"/>
    <n v="11.741164354495943"/>
    <n v="596.19299999999998"/>
    <s v="T73"/>
    <s v="T73-J-R9"/>
    <s v="PALF"/>
    <x v="0"/>
    <s v="Congo"/>
    <m/>
    <m/>
    <m/>
  </r>
  <r>
    <x v="20"/>
    <s v="G12 congo frais d'hotel du 24 au 26/01/2025   à mossendjo(2nuitées)"/>
    <s v="Travel Subsistence"/>
    <s v="Investigations"/>
    <n v="30000"/>
    <n v="50.319275804982617"/>
    <n v="596.19299999999998"/>
    <s v="G12"/>
    <s v="G12-J-R4"/>
    <s v="PALF"/>
    <x v="0"/>
    <s v="Congo"/>
    <m/>
    <m/>
    <m/>
  </r>
  <r>
    <x v="20"/>
    <s v="Achat billet :Mossendjo makabana/G12"/>
    <s v="Transport"/>
    <s v="Investigations"/>
    <n v="5000"/>
    <n v="8.3865459674971028"/>
    <n v="596.19299999999998"/>
    <s v="G12"/>
    <s v="G12-J-R5"/>
    <s v="PALF"/>
    <x v="0"/>
    <s v="Congo"/>
    <m/>
    <m/>
    <m/>
  </r>
  <r>
    <x v="21"/>
    <s v="Prime de fin d'année Donald-Roméo"/>
    <s v="Personnel"/>
    <s v="Legal"/>
    <n v="127070"/>
    <n v="213.13567921797136"/>
    <n v="596.19299999999998"/>
    <s v="Merveille"/>
    <s v="CA-J-D2"/>
    <s v="PALF"/>
    <x v="0"/>
    <s v="Congo"/>
    <m/>
    <m/>
    <m/>
  </r>
  <r>
    <x v="21"/>
    <s v="Cumul frais de trust building du mois de Janvier 2025/IT87"/>
    <s v="Trust Building"/>
    <s v="Investigations"/>
    <n v="17500"/>
    <n v="30.690178266092612"/>
    <n v="570.21500000000003"/>
    <s v="IT87"/>
    <s v="IT87-J-D2"/>
    <s v="PALF"/>
    <x v="0"/>
    <s v="Congo"/>
    <m/>
    <m/>
    <m/>
  </r>
  <r>
    <x v="21"/>
    <s v="Cumul frais de trust building du mois de Janvier 2025/G12"/>
    <s v="Trust Building"/>
    <s v="Investigations"/>
    <n v="6000"/>
    <n v="10.522346834088896"/>
    <n v="570.21500000000003"/>
    <s v="G12"/>
    <s v="G12-J-D2"/>
    <s v="PALF"/>
    <x v="0"/>
    <s v="Congo"/>
    <m/>
    <m/>
    <m/>
  </r>
  <r>
    <x v="21"/>
    <s v="Bonus du mois de Janvier 2025/Donald-Roméo"/>
    <s v="Personnel"/>
    <s v="Legal"/>
    <n v="30000"/>
    <n v="50.319275804982617"/>
    <n v="596.19299999999998"/>
    <s v="Donald-Roméo"/>
    <s v="CA-J-D3"/>
    <s v="PALF"/>
    <x v="0"/>
    <s v="Congo"/>
    <m/>
    <m/>
    <m/>
  </r>
  <r>
    <x v="21"/>
    <s v="Bonus Opération du 15/01/2025 à Owando"/>
    <s v="Bonus"/>
    <s v="Operations"/>
    <n v="30000"/>
    <n v="52.611734170444478"/>
    <n v="570.21500000000003"/>
    <s v="Donald-Roméo"/>
    <s v="CA-J-D4"/>
    <s v="PALF"/>
    <x v="0"/>
    <s v="Congo"/>
    <m/>
    <m/>
    <m/>
  </r>
  <r>
    <x v="22"/>
    <s v="Paiement retraite Coordinateur periode Octobre,Novembre et Decembre 2024"/>
    <s v="Personnel"/>
    <s v="Management"/>
    <n v="150000"/>
    <n v="251.59637902491309"/>
    <n v="596.19299999999998"/>
    <s v="DOVI"/>
    <s v="CA-J-R33"/>
    <s v="PALF"/>
    <x v="0"/>
    <s v="Congo"/>
    <m/>
    <m/>
    <m/>
  </r>
  <r>
    <x v="22"/>
    <s v="IT87 - CONGO Frais d'hôtel le Point de Repère du 26 au 28/01/2025 à Bouansa (02 Nuitées)"/>
    <s v="Travel Subsistence"/>
    <s v="Investigations"/>
    <n v="30000"/>
    <n v="50.319275804982617"/>
    <n v="596.19299999999998"/>
    <s v="IT87"/>
    <s v="IT87-J-R6"/>
    <s v="PALF"/>
    <x v="0"/>
    <s v="Congo"/>
    <m/>
    <m/>
    <m/>
  </r>
  <r>
    <x v="22"/>
    <s v="Achat billet Bouansa - Madingou/ IT87"/>
    <s v="Transport"/>
    <s v="Investigations"/>
    <n v="2000"/>
    <n v="3.3546183869988409"/>
    <n v="596.19299999999998"/>
    <s v="IT87"/>
    <s v="IT87-J-R7"/>
    <s v="PALF"/>
    <x v="0"/>
    <s v="Congo"/>
    <m/>
    <m/>
    <m/>
  </r>
  <r>
    <x v="22"/>
    <s v="P29 - CONGO Frais d'hotel du 26 au 28/01/2025 à louvakou (02 Nuitées)"/>
    <s v="Travel Subsistence"/>
    <s v="Investigations"/>
    <n v="30000"/>
    <n v="50.319275804982617"/>
    <n v="596.19299999999998"/>
    <s v="P29"/>
    <s v="P29-J-R14"/>
    <s v="PALF"/>
    <x v="0"/>
    <s v="Congo"/>
    <m/>
    <m/>
    <m/>
  </r>
  <r>
    <x v="22"/>
    <s v="Achat billet louvakou-ditadi/P29"/>
    <s v="Transport"/>
    <s v="Investigations"/>
    <n v="5000"/>
    <n v="8.3865459674971028"/>
    <n v="596.19299999999998"/>
    <s v="P29"/>
    <s v="P29-J-R15"/>
    <s v="PALF"/>
    <x v="0"/>
    <s v="Congo"/>
    <m/>
    <m/>
    <m/>
  </r>
  <r>
    <x v="22"/>
    <s v="T73 - CONGO Frais d'hotel du 26 au 28/01/2025 (02nuitées ) à Kibangou"/>
    <s v="Travel Subsistence"/>
    <s v="Investigations"/>
    <n v="30000"/>
    <n v="50.319275804982617"/>
    <n v="596.19299999999998"/>
    <s v="T73"/>
    <s v="T73-J-R10"/>
    <s v="PALF"/>
    <x v="0"/>
    <s v="Congo"/>
    <m/>
    <m/>
    <m/>
  </r>
  <r>
    <x v="22"/>
    <s v="Achat billet : kibangou - Passi Passi/T73"/>
    <s v="Transport"/>
    <s v="Investigations"/>
    <n v="5000"/>
    <n v="8.3865459674971028"/>
    <n v="596.19299999999998"/>
    <s v="T73"/>
    <s v="T73-J-R11"/>
    <s v="PALF"/>
    <x v="0"/>
    <s v="Congo"/>
    <m/>
    <m/>
    <m/>
  </r>
  <r>
    <x v="22"/>
    <s v="G12 - CONGO frais d'hotel du 26 au 28 /01/2025  à makabana (2nuitées)"/>
    <s v="Travel Subsistence"/>
    <s v="Investigations"/>
    <n v="30000"/>
    <n v="50.319275804982617"/>
    <n v="596.19299999999998"/>
    <s v="G12"/>
    <s v="G12-J-R6"/>
    <s v="PALF"/>
    <x v="0"/>
    <s v="Congo"/>
    <m/>
    <m/>
    <m/>
  </r>
  <r>
    <x v="22"/>
    <s v="Achat du billet makabana  - mila mila/G12"/>
    <s v="Transport"/>
    <s v="Investigations"/>
    <n v="5000"/>
    <n v="8.3865459674971028"/>
    <n v="596.19299999999998"/>
    <s v="G12"/>
    <s v="G12-J-R7"/>
    <s v="PALF"/>
    <x v="0"/>
    <s v="Congo"/>
    <m/>
    <m/>
    <m/>
  </r>
  <r>
    <x v="22"/>
    <s v="Achat carburant 100litre de Gazoil/Groupe electrogène PALF"/>
    <s v="Office Materials"/>
    <s v="Office"/>
    <n v="62500"/>
    <n v="104.83182459371379"/>
    <n v="596.19299999999998"/>
    <s v="Roderlin"/>
    <s v="CA-J-R32"/>
    <s v="PALF"/>
    <x v="0"/>
    <s v="Congo"/>
    <m/>
    <m/>
    <m/>
  </r>
  <r>
    <x v="22"/>
    <s v="Frais de virement salaire Janvier 2025"/>
    <s v="Bank fees"/>
    <s v="Office"/>
    <n v="10665"/>
    <n v="17.888502548671319"/>
    <n v="596.19299999999998"/>
    <s v="BCI"/>
    <s v="BQ-J-R12"/>
    <s v="PALF"/>
    <x v="0"/>
    <s v="Congo"/>
    <m/>
    <m/>
    <m/>
  </r>
  <r>
    <x v="23"/>
    <s v="Règlement prestation technicienne de surface (mois de Janvier 2025)"/>
    <s v="Services"/>
    <s v="Office"/>
    <n v="75625"/>
    <n v="126.84650775839368"/>
    <n v="596.19299999999998"/>
    <s v="Merveille"/>
    <s v="CA-J-R34"/>
    <s v="PALF"/>
    <x v="0"/>
    <s v="Congo"/>
    <m/>
    <m/>
    <m/>
  </r>
  <r>
    <x v="23"/>
    <s v="P29 - CONGO Frais d'hotel du 28 au 29/01/2025 à Ditadi/ 01 Nuitée"/>
    <s v="Travel Subsistence"/>
    <s v="Investigations"/>
    <n v="15000"/>
    <n v="25.159637902491308"/>
    <n v="596.19299999999998"/>
    <s v="P29"/>
    <s v="P29-J-R16"/>
    <s v="PALF"/>
    <x v="0"/>
    <s v="Congo"/>
    <m/>
    <m/>
    <m/>
  </r>
  <r>
    <x v="23"/>
    <s v="Achat billet ditadi-dolisie/P29"/>
    <s v="Transport"/>
    <s v="Investigations"/>
    <n v="3000"/>
    <n v="5.0319275804982615"/>
    <n v="596.19299999999998"/>
    <s v="P29"/>
    <s v="P29-J-R17"/>
    <s v="PALF"/>
    <x v="0"/>
    <s v="Congo"/>
    <m/>
    <m/>
    <m/>
  </r>
  <r>
    <x v="23"/>
    <s v="Cumul frais de trust building du mois de Janvier 2025/P29"/>
    <s v="Trust Building"/>
    <s v="Investigations"/>
    <n v="70200"/>
    <n v="123.11145795884008"/>
    <n v="570.21500000000003"/>
    <s v="P29"/>
    <s v="P29-J-D3"/>
    <s v="PALF"/>
    <x v="0"/>
    <s v="Congo"/>
    <m/>
    <m/>
    <m/>
  </r>
  <r>
    <x v="23"/>
    <s v="Achat  billet : Passi Passi pour Dolisie/T73"/>
    <s v="Transport"/>
    <s v="Investigations"/>
    <n v="2500"/>
    <n v="4.1932729837485514"/>
    <n v="596.19299999999998"/>
    <s v="T73"/>
    <s v="T73-J-R12"/>
    <s v="PALF"/>
    <x v="0"/>
    <s v="Congo"/>
    <m/>
    <m/>
    <m/>
  </r>
  <r>
    <x v="23"/>
    <s v="T73 - CONGO Frais d'hotel du 28 au 29/01/2025 (01nuitée ) à Passi Passi"/>
    <s v="Travel Subsistence"/>
    <s v="Investigations"/>
    <n v="15000"/>
    <n v="25.159637902491308"/>
    <n v="596.19299999999998"/>
    <s v="T73"/>
    <s v="T73-J-R13"/>
    <s v="PALF"/>
    <x v="0"/>
    <s v="Congo"/>
    <m/>
    <m/>
    <m/>
  </r>
  <r>
    <x v="23"/>
    <s v="Cumul frais de trust building du mois de Janvier 2025/T73"/>
    <s v="Trust Building"/>
    <s v="Investigations"/>
    <n v="32000"/>
    <n v="56.119183115140778"/>
    <n v="570.21500000000003"/>
    <s v="T73"/>
    <s v="T73-J-D3"/>
    <s v="PALF"/>
    <x v="0"/>
    <s v="Congo"/>
    <m/>
    <m/>
    <m/>
  </r>
  <r>
    <x v="23"/>
    <s v="G12-CONGO frais d'hotel du 28 au 29 /01/2025 à  mila mila( 1 nuitée)"/>
    <s v="Travel Subsistence"/>
    <s v="Investigations"/>
    <n v="15000"/>
    <n v="25.159637902491308"/>
    <n v="596.19299999999998"/>
    <s v="G12"/>
    <s v="G12-J-R8"/>
    <s v="PALF"/>
    <x v="0"/>
    <s v="Congo"/>
    <m/>
    <m/>
    <m/>
  </r>
  <r>
    <x v="23"/>
    <s v="Achat du billet mila mila -dolisie/G12"/>
    <s v="Transport"/>
    <s v="Investigations"/>
    <n v="3000"/>
    <n v="5.0319275804982615"/>
    <n v="596.19299999999998"/>
    <s v="G12"/>
    <s v="G12-J-R9"/>
    <s v="PALF"/>
    <x v="0"/>
    <s v="Congo"/>
    <m/>
    <m/>
    <m/>
  </r>
  <r>
    <x v="23"/>
    <s v="G12 - CONGO frais d'hotel du 29 au 30 /01/2025 à  Dolisie( 1 nuitée)"/>
    <s v="Travel Subsistence"/>
    <s v="Investigations"/>
    <n v="15000"/>
    <n v="25.159637902491308"/>
    <n v="596.19299999999998"/>
    <s v="G12"/>
    <s v="G12-J-R10"/>
    <s v="PALF"/>
    <x v="0"/>
    <s v="Congo"/>
    <m/>
    <m/>
    <m/>
  </r>
  <r>
    <x v="24"/>
    <s v="IT87 - CONGO Frais d'hôtel Dzongo Benoit du 28 au 30/01/2025 à Madingou (02 Nuitées)"/>
    <s v="Travel Subsistence"/>
    <s v="Investigations"/>
    <n v="30000"/>
    <n v="50.319275804982617"/>
    <n v="596.19299999999998"/>
    <s v="IT87"/>
    <s v="IT87-J-R8"/>
    <s v="PALF"/>
    <x v="0"/>
    <s v="Congo"/>
    <m/>
    <m/>
    <m/>
  </r>
  <r>
    <x v="24"/>
    <s v="Achat billet Madingou - Brazzaville/ IT87"/>
    <s v="Transport"/>
    <s v="Investigations"/>
    <n v="7000"/>
    <n v="11.741164354495943"/>
    <n v="596.19299999999998"/>
    <s v="IT87"/>
    <s v="IT87-J-R9"/>
    <s v="PALF"/>
    <x v="0"/>
    <s v="Congo"/>
    <m/>
    <m/>
    <m/>
  </r>
  <r>
    <x v="24"/>
    <s v="Cumul frais de transport local du mois de Janvier 2025/IT87"/>
    <s v="Transport"/>
    <s v="Investigations"/>
    <n v="39300"/>
    <n v="65.918251304527232"/>
    <n v="596.19299999999998"/>
    <s v="IT87"/>
    <s v="IT87-J-D3"/>
    <s v="PALF"/>
    <x v="0"/>
    <s v="Congo"/>
    <m/>
    <m/>
    <m/>
  </r>
  <r>
    <x v="24"/>
    <s v="Achat billet Dolisie-Brazzaville/P29"/>
    <s v="Transport"/>
    <s v="Investigations"/>
    <n v="7000"/>
    <n v="11.741164354495943"/>
    <n v="596.19299999999998"/>
    <s v="P29"/>
    <s v="P29-J-R18"/>
    <s v="PALF"/>
    <x v="0"/>
    <s v="Congo"/>
    <m/>
    <m/>
    <m/>
  </r>
  <r>
    <x v="24"/>
    <s v="P29 - CONGO Frais d'hotel du 29 au 30/01/2025 à Dolisie (01 Nuitée)"/>
    <s v="Travel Subsistence"/>
    <s v="Investigations"/>
    <n v="15000"/>
    <n v="25.159637902491308"/>
    <n v="596.19299999999998"/>
    <s v="P29"/>
    <s v="P29-J-R19"/>
    <s v="PALF"/>
    <x v="0"/>
    <s v="Congo"/>
    <m/>
    <m/>
    <m/>
  </r>
  <r>
    <x v="24"/>
    <s v="Cumul frais de transport local du mois de Janvier 2025/P29"/>
    <s v="Transport"/>
    <s v="Investigations"/>
    <n v="54800"/>
    <n v="91.916543803768249"/>
    <n v="596.19299999999998"/>
    <s v="P29"/>
    <s v="P29-J-D4"/>
    <s v="PALF"/>
    <x v="0"/>
    <s v="Congo"/>
    <m/>
    <m/>
    <m/>
  </r>
  <r>
    <x v="24"/>
    <s v="T73 - CONGO Frais d'hotel du 29 au 30/01/2025 (01nuitées ) à Dolisie"/>
    <s v="Travel Subsistence"/>
    <s v="Investigations"/>
    <n v="15000"/>
    <n v="25.159637902491308"/>
    <n v="596.19299999999998"/>
    <s v="T73"/>
    <s v="T73-J-R14"/>
    <s v="PALF"/>
    <x v="0"/>
    <s v="Congo"/>
    <m/>
    <m/>
    <m/>
  </r>
  <r>
    <x v="24"/>
    <s v="Achat billet : Dolisie - Brazzaville/ T73"/>
    <s v="Transport"/>
    <s v="Investigations"/>
    <n v="8000"/>
    <n v="13.418473547995363"/>
    <n v="596.19299999999998"/>
    <s v="T73"/>
    <s v="T73-J-R15"/>
    <s v="PALF"/>
    <x v="0"/>
    <s v="Congo"/>
    <m/>
    <m/>
    <m/>
  </r>
  <r>
    <x v="24"/>
    <s v="Cumul frais de transport local du mois de Janvier 2025/T73"/>
    <s v="Transport"/>
    <s v="Investigations"/>
    <n v="63400"/>
    <n v="106.34140286786327"/>
    <n v="596.19299999999998"/>
    <s v="T73"/>
    <s v="T73-J-D4"/>
    <s v="PALF"/>
    <x v="0"/>
    <s v="Congo"/>
    <m/>
    <m/>
    <m/>
  </r>
  <r>
    <x v="24"/>
    <s v="Achat billet : Dolisie - brazzaville/G12"/>
    <s v="Transport"/>
    <s v="Investigations"/>
    <n v="8000"/>
    <n v="13.418473547995363"/>
    <n v="596.19299999999998"/>
    <s v="G12"/>
    <s v="G12-J-R11"/>
    <s v="PALF"/>
    <x v="0"/>
    <s v="Congo"/>
    <m/>
    <m/>
    <m/>
  </r>
  <r>
    <x v="24"/>
    <s v="Cumul frais de transport local du mois Janvier 2025/G12"/>
    <s v="Transport"/>
    <s v="Investigations"/>
    <n v="38500"/>
    <n v="64.576403949727691"/>
    <n v="596.19299999999998"/>
    <s v="G12"/>
    <s v="G12-J-D3"/>
    <s v="PALF"/>
    <x v="0"/>
    <s v="Congo"/>
    <m/>
    <m/>
    <m/>
  </r>
  <r>
    <x v="24"/>
    <s v="Cumul frais de transport local du mois de Janvier 2025/Roderlin"/>
    <s v="Transport"/>
    <s v="Legal"/>
    <n v="33500"/>
    <n v="56.189857982230585"/>
    <n v="596.19299999999998"/>
    <s v="Roderlin"/>
    <s v="RO-J-D3"/>
    <s v="PALF"/>
    <x v="0"/>
    <s v="Congo"/>
    <m/>
    <m/>
    <m/>
  </r>
  <r>
    <x v="24"/>
    <s v="Cumul frais de transport local du mois de Janvier 2025/EVARISTE"/>
    <s v="Transport"/>
    <s v="Media"/>
    <n v="24500"/>
    <n v="41.094075240735805"/>
    <n v="596.19299999999998"/>
    <s v="Evariste"/>
    <s v="EV-J-D2"/>
    <s v="PALF"/>
    <x v="0"/>
    <s v="Congo"/>
    <m/>
    <m/>
    <m/>
  </r>
  <r>
    <x v="24"/>
    <s v="Bonus media portant sur le bilan des interpellation de 2023 et 2024"/>
    <s v="Bonus to media officer"/>
    <s v="Media"/>
    <n v="148000"/>
    <n v="248.24176063791424"/>
    <n v="596.19299999999998"/>
    <s v="Evariste"/>
    <s v="CA-J-D5"/>
    <s v="PALF"/>
    <x v="0"/>
    <s v="Congo"/>
    <m/>
    <m/>
    <m/>
  </r>
  <r>
    <x v="25"/>
    <s v="Cumul frais de transport local du mois de Janvier 2025/DOVI"/>
    <s v="Transport"/>
    <s v="Management"/>
    <n v="25500"/>
    <n v="42.771384434235223"/>
    <n v="596.19299999999998"/>
    <s v="DOVI"/>
    <s v="DH-J-D1"/>
    <s v="PALF"/>
    <x v="0"/>
    <s v="Congo"/>
    <m/>
    <m/>
    <m/>
  </r>
  <r>
    <x v="25"/>
    <s v="Reglement loyer du mois de Janvier 2025/DOVI Coordinateur PALF"/>
    <s v="Personnel"/>
    <s v="Management"/>
    <n v="174625"/>
    <n v="292.9001179148363"/>
    <n v="596.19299999999998"/>
    <s v="DOVI"/>
    <s v="DH-J-R3"/>
    <s v="PALF"/>
    <x v="0"/>
    <s v="Congo"/>
    <m/>
    <m/>
    <m/>
  </r>
  <r>
    <x v="25"/>
    <s v="Cumul frais de transport local du mois de Janvier 2025/Merveille"/>
    <s v="Transport"/>
    <s v="Office"/>
    <n v="41000"/>
    <n v="68.769676933476248"/>
    <n v="596.19299999999998"/>
    <s v="Merveille"/>
    <s v="ME-J-D1"/>
    <s v="PALF"/>
    <x v="0"/>
    <s v="Congo"/>
    <m/>
    <m/>
    <m/>
  </r>
  <r>
    <x v="25"/>
    <s v="Ramassage Ordure/bureau PALF"/>
    <s v="Services"/>
    <s v="Office"/>
    <n v="6000"/>
    <n v="10.063855160996523"/>
    <n v="596.19299999999998"/>
    <s v="Merveille"/>
    <s v="CA-J-R35"/>
    <s v="PALF"/>
    <x v="0"/>
    <s v="Congo"/>
    <m/>
    <m/>
    <m/>
  </r>
  <r>
    <x v="25"/>
    <s v="Reglement facture internet perionde du 01/02 au 28/02/2025 bureau PALF"/>
    <s v="Internet "/>
    <s v="Office"/>
    <n v="45050"/>
    <n v="75.562779167148889"/>
    <n v="596.19299999999998"/>
    <s v="Merveille"/>
    <s v="CA-J-R36"/>
    <s v="PALF"/>
    <x v="0"/>
    <s v="Congo"/>
    <m/>
    <m/>
    <m/>
  </r>
  <r>
    <x v="25"/>
    <s v="Cumul frais de transport local du mois de Janvier 2025/LOUNDOU Jean Romain"/>
    <s v="Transport"/>
    <s v="Legal"/>
    <n v="38000"/>
    <n v="63.737749352977978"/>
    <n v="596.19299999999998"/>
    <s v="Romain"/>
    <s v="RM-J-D3"/>
    <s v="PALF"/>
    <x v="0"/>
    <s v="Congo"/>
    <m/>
    <m/>
    <m/>
  </r>
  <r>
    <x v="25"/>
    <s v="Installation Pack office et activation et installation des pratiques logiques"/>
    <s v="Website and software"/>
    <s v="Office"/>
    <n v="50000"/>
    <n v="83.865459674971021"/>
    <n v="596.19299999999998"/>
    <s v="Abraham"/>
    <s v="CA-J-R37"/>
    <s v="PALF"/>
    <x v="0"/>
    <s v="Congo"/>
    <m/>
    <m/>
    <m/>
  </r>
  <r>
    <x v="25"/>
    <s v="Reglement honoraire du mois de Janvier 2025/G12"/>
    <s v="Personnel"/>
    <s v="Investigations"/>
    <n v="255000"/>
    <n v="427.71384434235222"/>
    <n v="596.19299999999998"/>
    <s v="BCI"/>
    <s v="BQ-J-R15"/>
    <s v="PALF"/>
    <x v="0"/>
    <s v="Congo"/>
    <m/>
    <m/>
    <m/>
  </r>
  <r>
    <x v="25"/>
    <s v="Reglement honoraire du mois de Janvier 2025/T73"/>
    <s v="Personnel"/>
    <s v="Investigations"/>
    <n v="335000"/>
    <n v="561.89857982230592"/>
    <n v="596.19299999999998"/>
    <s v="BCI"/>
    <s v="BQ-J-R16"/>
    <s v="PALF"/>
    <x v="0"/>
    <s v="Congo"/>
    <m/>
    <m/>
    <m/>
  </r>
  <r>
    <x v="25"/>
    <s v="Reglement honoraire du mois de Janvier 2025/P29"/>
    <s v="Personnel"/>
    <s v="Investigations"/>
    <n v="400000"/>
    <n v="670.92367739976817"/>
    <n v="596.19299999999998"/>
    <s v="BCI"/>
    <s v="BQ-J-R17"/>
    <s v="PALF"/>
    <x v="0"/>
    <s v="Congo"/>
    <m/>
    <m/>
    <m/>
  </r>
  <r>
    <x v="25"/>
    <s v="Reglement honoraire du mois de Janvier 2025/TIT87"/>
    <s v="Personnel"/>
    <s v="Investigations"/>
    <n v="255000"/>
    <n v="427.71384434235222"/>
    <n v="596.19299999999998"/>
    <s v="BCI"/>
    <s v="BQ-J-R18"/>
    <s v="PALF"/>
    <x v="0"/>
    <s v="Congo"/>
    <m/>
    <m/>
    <m/>
  </r>
  <r>
    <x v="26"/>
    <s v="Achat credit  teléphonique MTN/PALF/Première partie du mois de Février 2025/Management"/>
    <s v="Telephone"/>
    <s v="Management"/>
    <n v="42000"/>
    <n v="70.446986126975659"/>
    <n v="579.25099999999998"/>
    <s v="Merveille"/>
    <s v="CA-F-R1"/>
    <s v="PALF"/>
    <x v="1"/>
    <s v="Congo"/>
    <m/>
    <m/>
    <m/>
  </r>
  <r>
    <x v="26"/>
    <s v="Achat credit  teléphonique MTN/PALF/Première partie du mois de Février 2025/Legal"/>
    <s v="Telephone"/>
    <s v="Legal"/>
    <n v="74000"/>
    <n v="124.12088031895712"/>
    <n v="579.25099999999998"/>
    <s v="Merveille"/>
    <s v="CA-F-R2"/>
    <s v="PALF"/>
    <x v="1"/>
    <s v="Congo"/>
    <m/>
    <m/>
    <m/>
  </r>
  <r>
    <x v="26"/>
    <s v="Achat credit  teléphonique MTN/PALF/Première partie du mois de Février 2025/Investigation"/>
    <s v="Telephone"/>
    <s v="Investigations"/>
    <n v="88000"/>
    <n v="147.60320902794902"/>
    <n v="579.25099999999998"/>
    <s v="Merveille"/>
    <s v="CA-F-R3"/>
    <s v="PALF"/>
    <x v="1"/>
    <s v="Congo"/>
    <m/>
    <m/>
    <m/>
  </r>
  <r>
    <x v="26"/>
    <s v="Achat credit  teléphonique MTN/PALF/Première partie du mois de Février 2025/Media"/>
    <s v="Telephone"/>
    <s v="Media"/>
    <n v="10000"/>
    <n v="16.773091934994206"/>
    <n v="579.25099999999998"/>
    <s v="Merveille"/>
    <s v="CA-F-R4"/>
    <s v="PALF"/>
    <x v="1"/>
    <s v="Congo"/>
    <m/>
    <m/>
    <m/>
  </r>
  <r>
    <x v="26"/>
    <s v="Achat credit  teléphonique Airtel/PALF/Première partie du mois de Février 2025/Legal"/>
    <s v="Telephone"/>
    <s v="Legal"/>
    <n v="10000"/>
    <n v="16.773091934994206"/>
    <n v="579.25099999999998"/>
    <s v="Merveille"/>
    <s v="CA-F-R5"/>
    <s v="PALF"/>
    <x v="1"/>
    <s v="Congo"/>
    <m/>
    <m/>
    <m/>
  </r>
  <r>
    <x v="26"/>
    <s v="Achat credit  teléphonique Airtel/PALF/Première partie du mois de Février 2025/Investigation"/>
    <s v="Telephone"/>
    <s v="Investigations"/>
    <n v="16000"/>
    <n v="26.836947095990727"/>
    <n v="579.25099999999998"/>
    <s v="Merveille"/>
    <s v="CA-F-R6"/>
    <s v="PALF"/>
    <x v="1"/>
    <s v="Congo"/>
    <m/>
    <m/>
    <m/>
  </r>
  <r>
    <x v="26"/>
    <s v="Achat credit  teléphonique Airtel/PALF/Première partie du mois de Février 2025/Media"/>
    <s v="Telephone"/>
    <s v="Media"/>
    <n v="11000"/>
    <n v="18.450401128493628"/>
    <n v="579.25099999999998"/>
    <s v="Merveille"/>
    <s v="CA-F-R7"/>
    <s v="PALF"/>
    <x v="1"/>
    <s v="Congo"/>
    <m/>
    <m/>
    <m/>
  </r>
  <r>
    <x v="27"/>
    <s v="Achat  Billet  Brazzaville-Owando/Romain"/>
    <s v="Transport"/>
    <s v="Legal"/>
    <n v="7000"/>
    <n v="11.741164354495943"/>
    <n v="579.25099999999998"/>
    <s v="Romain"/>
    <s v="RM-F-R1"/>
    <s v="PALF"/>
    <x v="1"/>
    <s v="Congo"/>
    <m/>
    <m/>
    <m/>
  </r>
  <r>
    <x v="27"/>
    <s v="Frais de mission maitre Alain BANZOUZI du 05 au 07 Février 2025 à Owando suivi audience"/>
    <s v="Lawyer Fees"/>
    <s v="Legal"/>
    <n v="70000"/>
    <n v="117.41164354495943"/>
    <n v="579.25099999999998"/>
    <s v="Romain"/>
    <s v="CA-F-R8"/>
    <s v="PALF"/>
    <x v="1"/>
    <s v="Congo"/>
    <m/>
    <m/>
    <m/>
  </r>
  <r>
    <x v="27"/>
    <s v=" Achat billet Brazzaville- Owando/Roderlin"/>
    <s v="Transport"/>
    <s v="Legal"/>
    <n v="7000"/>
    <n v="11.741164354495943"/>
    <n v="579.25099999999998"/>
    <s v="Roderlin"/>
    <s v="RO-F-R1"/>
    <s v="PALF"/>
    <x v="1"/>
    <s v="Congo"/>
    <m/>
    <m/>
    <m/>
  </r>
  <r>
    <x v="27"/>
    <s v="Reglement Facture Gardiennage Mois de Janvier 2025/36564792"/>
    <s v="Services"/>
    <s v="Office"/>
    <n v="260000"/>
    <n v="436.10039030984933"/>
    <n v="579.25099999999998"/>
    <s v="BCI"/>
    <s v="BQ-F-R1"/>
    <s v="PALF"/>
    <x v="1"/>
    <s v="Congo"/>
    <m/>
    <m/>
    <m/>
  </r>
  <r>
    <x v="27"/>
    <s v="Achat billet Brazzaville - Makoua/ IT87"/>
    <s v="Transport"/>
    <s v="Investigations"/>
    <n v="9000"/>
    <n v="15.095782741494785"/>
    <n v="579.25099999999998"/>
    <s v="IT87"/>
    <s v="IT87-F-R1"/>
    <s v="PALF"/>
    <x v="1"/>
    <s v="Congo"/>
    <m/>
    <m/>
    <m/>
  </r>
  <r>
    <x v="28"/>
    <s v="Achat billet brazzaville-oyo/P29"/>
    <s v="Transport"/>
    <s v="Investigations"/>
    <n v="6000"/>
    <n v="10.063855160996523"/>
    <n v="579.25099999999998"/>
    <s v="P29"/>
    <s v="P29-F-R1"/>
    <s v="PALF"/>
    <x v="1"/>
    <s v="Congo"/>
    <m/>
    <m/>
    <m/>
  </r>
  <r>
    <x v="28"/>
    <s v="Achat eau mineral 16 LITRES/Bureau"/>
    <s v="Office Materials"/>
    <s v="Office"/>
    <n v="25000"/>
    <n v="41.93272983748551"/>
    <n v="579.25099999999998"/>
    <s v="Merveille"/>
    <s v="CA-F-R9"/>
    <s v="PALF"/>
    <x v="1"/>
    <s v="Congo"/>
    <m/>
    <m/>
    <m/>
  </r>
  <r>
    <x v="28"/>
    <s v="Achat produit d'entretien lait,sucre,javel,papier toilette,sucre,café/Bureau PALF"/>
    <s v="Office Materials"/>
    <s v="Office"/>
    <n v="63000"/>
    <n v="105.6704791904635"/>
    <n v="579.25099999999998"/>
    <s v="Merveille"/>
    <s v="CA-F-R10"/>
    <s v="PALF"/>
    <x v="1"/>
    <s v="Congo"/>
    <m/>
    <m/>
    <m/>
  </r>
  <r>
    <x v="28"/>
    <s v="P29 - CONGO Ration  du 05 au 28/02/2025 à Oyo,Tchikapika et Owando(23 Nuitées)"/>
    <s v="Travel Subsistence"/>
    <s v="Investigations"/>
    <n v="230000"/>
    <n v="385.78111450486671"/>
    <n v="579.25099999999998"/>
    <s v="P29"/>
    <s v="P29-F-D1"/>
    <s v="PALF"/>
    <x v="1"/>
    <s v="Congo"/>
    <m/>
    <m/>
    <m/>
  </r>
  <r>
    <x v="28"/>
    <s v="IT87 - CONGO Ration du 05 au 12/02/2025 à Makoua,etoumbi,Otende"/>
    <s v="Travel Subsistence"/>
    <s v="Investigations"/>
    <n v="70000"/>
    <n v="117.41164354495943"/>
    <n v="579.25099999999998"/>
    <s v="IT87"/>
    <s v="IT87-F-D1"/>
    <s v="PALF"/>
    <x v="1"/>
    <s v="Congo"/>
    <m/>
    <m/>
    <m/>
  </r>
  <r>
    <x v="28"/>
    <s v="Achat billet Makoua - Etoumbi/ IT87"/>
    <s v="Transport"/>
    <s v="Investigations"/>
    <n v="5000"/>
    <n v="8.3865459674971028"/>
    <n v="579.25099999999998"/>
    <s v="IT87"/>
    <s v="IT87-F-R1"/>
    <s v="PALF"/>
    <x v="1"/>
    <s v="Congo"/>
    <m/>
    <m/>
    <m/>
  </r>
  <r>
    <x v="28"/>
    <s v="ROMAIN-CONGO: Ration du 05 au 07/02/2025 à Owando"/>
    <s v="Travel Subsistence"/>
    <s v="Legal"/>
    <n v="20000"/>
    <n v="33.546183869988411"/>
    <n v="579.25099999999998"/>
    <s v="Romain"/>
    <s v="RM-F-D1"/>
    <s v="PALF"/>
    <x v="1"/>
    <s v="Congo"/>
    <m/>
    <m/>
    <m/>
  </r>
  <r>
    <x v="28"/>
    <s v="RODERLIN-CONGO Ration du 05 au 07/02/2025 à Owando (02 nuitées)"/>
    <s v="Travel Subsistence"/>
    <s v="Legal"/>
    <n v="20000"/>
    <n v="33.546183869988411"/>
    <n v="579.25099999999998"/>
    <s v="Roderlin"/>
    <s v="RO-F-D1"/>
    <s v="PALF"/>
    <x v="1"/>
    <s v="Congo"/>
    <m/>
    <m/>
    <m/>
  </r>
  <r>
    <x v="28"/>
    <s v="Reglement loyer du mois de Janvier 2025/3654789"/>
    <s v="Rent &amp; Utilities"/>
    <s v="Office"/>
    <n v="500000"/>
    <n v="838.65459674971032"/>
    <n v="579.25099999999998"/>
    <s v="BCI"/>
    <s v="BQ-F-R2"/>
    <s v="PALF"/>
    <x v="1"/>
    <s v="Congo"/>
    <m/>
    <m/>
    <m/>
  </r>
  <r>
    <x v="29"/>
    <s v="Achat billet : Brazzaville - Makoua/T73"/>
    <s v="Transport"/>
    <s v="Investigations"/>
    <n v="9000"/>
    <n v="15.095782741494785"/>
    <n v="579.25099999999998"/>
    <s v="T73"/>
    <s v="T73-F-R1"/>
    <s v="PALF"/>
    <x v="1"/>
    <s v="Congo"/>
    <m/>
    <m/>
    <m/>
  </r>
  <r>
    <x v="29"/>
    <s v="T73 - CONGO Ration du 06 au 28/12/2024 (22nuitées)à Makoua et Owando"/>
    <s v="Travel Subsistence"/>
    <s v="Investigations"/>
    <n v="190000"/>
    <n v="318.68874676488991"/>
    <n v="579.25099999999998"/>
    <s v="T73"/>
    <s v="T73-F-D1"/>
    <s v="PALF"/>
    <x v="1"/>
    <s v="Congo"/>
    <m/>
    <m/>
    <m/>
  </r>
  <r>
    <x v="29"/>
    <s v="Bonus media portant sur l'audience du 06 Février au TG1 d'Owando"/>
    <s v="Bonus to media officer"/>
    <s v="Media"/>
    <n v="148000"/>
    <n v="248.24176063791424"/>
    <n v="579.25099999999998"/>
    <s v="Evariste"/>
    <s v="CA-F-D1"/>
    <s v="PALF"/>
    <x v="1"/>
    <s v="Congo"/>
    <m/>
    <m/>
    <m/>
  </r>
  <r>
    <x v="30"/>
    <s v="Achat billet oyo-tchikapika/P29"/>
    <s v="Transport"/>
    <s v="Investigations"/>
    <n v="5000"/>
    <n v="8.3865459674971028"/>
    <n v="579.25099999999998"/>
    <s v="P29"/>
    <s v="P29-F-R2"/>
    <s v="PALF"/>
    <x v="1"/>
    <s v="Congo"/>
    <m/>
    <m/>
    <m/>
  </r>
  <r>
    <x v="30"/>
    <s v="P29 - CONGO Frais d'hotel du 05 au 07/02/2025 à oyo(02 Nuitées)"/>
    <s v="Travel Subsistence"/>
    <s v="Investigations"/>
    <n v="30000"/>
    <n v="50.319275804982617"/>
    <n v="579.25099999999998"/>
    <s v="P29"/>
    <s v="P29-F-R3"/>
    <s v="PALF"/>
    <x v="1"/>
    <s v="Congo"/>
    <m/>
    <m/>
    <m/>
  </r>
  <r>
    <x v="30"/>
    <s v="IT87 - CONGO Frais d'hôtel Akoua du 05 au 07/02/2025 à Etoumbi (02 nuitées)"/>
    <s v="Travel Subsistence"/>
    <s v="Investigations"/>
    <n v="30000"/>
    <n v="50.319275804982617"/>
    <n v="579.25099999999998"/>
    <s v="IT87"/>
    <s v="IT87-F-R1"/>
    <s v="PALF"/>
    <x v="1"/>
    <s v="Congo"/>
    <m/>
    <m/>
    <m/>
  </r>
  <r>
    <x v="30"/>
    <s v="Achat billet Etoumbi - Makoua/ IT87"/>
    <s v="Transport"/>
    <s v="Investigations"/>
    <n v="5000"/>
    <n v="8.3865459674971028"/>
    <n v="579.25099999999998"/>
    <s v="IT87"/>
    <s v="IT87-F-R2"/>
    <s v="PALF"/>
    <x v="1"/>
    <s v="Congo"/>
    <m/>
    <m/>
    <m/>
  </r>
  <r>
    <x v="30"/>
    <s v="Achat billet Makoua - Otende/ IT87"/>
    <s v="Transport"/>
    <s v="Investigations"/>
    <n v="4500"/>
    <n v="7.5478913707473927"/>
    <n v="579.25099999999998"/>
    <s v="IT87"/>
    <s v="IT87-F-R3"/>
    <s v="PALF"/>
    <x v="1"/>
    <s v="Congo"/>
    <m/>
    <m/>
    <m/>
  </r>
  <r>
    <x v="30"/>
    <s v="Achat billet retour Owando-Brazzaville/Romain"/>
    <s v="Transport"/>
    <s v="Legal"/>
    <n v="7000"/>
    <n v="11.741164354495943"/>
    <n v="579.25099999999998"/>
    <s v="Romain"/>
    <s v="RM-F-R2"/>
    <s v="PALF"/>
    <x v="1"/>
    <s v="Congo"/>
    <m/>
    <m/>
    <m/>
  </r>
  <r>
    <x v="30"/>
    <s v="ROMAIN - CONGO Frais d'hotel du 05 au 07/02/2025 à Owando(2 nuitées)"/>
    <s v="Travel Subsistence"/>
    <s v="Legal"/>
    <n v="30000"/>
    <n v="50.319275804982617"/>
    <n v="579.25099999999998"/>
    <s v="Romain"/>
    <s v="RM-F-R3"/>
    <s v="PALF"/>
    <x v="1"/>
    <s v="Congo"/>
    <m/>
    <m/>
    <m/>
  </r>
  <r>
    <x v="30"/>
    <s v="Achat billet Owando- Brazzaville /Roderlin"/>
    <s v="Transport"/>
    <s v="Legal"/>
    <n v="7000"/>
    <n v="11.741164354495943"/>
    <n v="579.25099999999998"/>
    <s v="Roderlin"/>
    <s v="RO-F-R2"/>
    <s v="PALF"/>
    <x v="1"/>
    <s v="Congo"/>
    <m/>
    <m/>
    <m/>
  </r>
  <r>
    <x v="30"/>
    <s v="RODERLIN-CONGO frais d'hôtel du 05 au 07/02/2025 à Owando (02 nuitées)"/>
    <s v="Travel Subsistence"/>
    <s v="Legal"/>
    <n v="30000"/>
    <n v="50.319275804982617"/>
    <n v="579.25099999999998"/>
    <s v="Roderlin"/>
    <s v="RO-F-R3"/>
    <s v="PALF"/>
    <x v="1"/>
    <s v="Congo"/>
    <m/>
    <m/>
    <m/>
  </r>
  <r>
    <x v="30"/>
    <s v="Frais de transfert d'argent à T73"/>
    <s v="Transfer Fees"/>
    <s v="Office"/>
    <n v="4830.0000000000009"/>
    <n v="8.1014034046022019"/>
    <n v="579.25099999999998"/>
    <s v="Abraham"/>
    <s v="CA-F-R11"/>
    <s v="PALF"/>
    <x v="1"/>
    <s v="Congo"/>
    <m/>
    <m/>
    <m/>
  </r>
  <r>
    <x v="30"/>
    <s v="Frais de transfert d'argent à P29 et IT87"/>
    <s v="Transfer Fees"/>
    <s v="Office"/>
    <n v="13615"/>
    <n v="22.180704562790044"/>
    <n v="579.25099999999998"/>
    <s v="Roderlin"/>
    <s v="CA-F-R32"/>
    <s v="PALF"/>
    <x v="1"/>
    <s v="Congo"/>
    <m/>
    <m/>
    <m/>
  </r>
  <r>
    <x v="31"/>
    <s v="Achat billet :Brazzaville -loudima /G12"/>
    <s v="Transport"/>
    <s v="Investigations"/>
    <n v="8000"/>
    <n v="13.418473547995363"/>
    <n v="579.25099999999998"/>
    <s v="G12"/>
    <s v="G12-F-R1"/>
    <s v="PALF"/>
    <x v="1"/>
    <s v="Congo"/>
    <m/>
    <m/>
    <m/>
  </r>
  <r>
    <x v="31"/>
    <s v="G12 - CONGO  Ration du 08 au 15 /02/2025(07 Nuitées)"/>
    <s v="Travel Subsistence"/>
    <s v="Investigations"/>
    <n v="70000"/>
    <n v="117.41164354495943"/>
    <n v="579.25099999999998"/>
    <s v="G12"/>
    <s v="G12-F-D1"/>
    <s v="PALF"/>
    <x v="1"/>
    <s v="Congo"/>
    <m/>
    <m/>
    <m/>
  </r>
  <r>
    <x v="31"/>
    <s v="Achat billet: Loudima - sibiti/G12"/>
    <s v="Transport"/>
    <s v="Investigations"/>
    <n v="4000"/>
    <n v="6.7092367739976817"/>
    <n v="579.25099999999998"/>
    <s v="G12"/>
    <s v="G12-F-R2"/>
    <s v="PALF"/>
    <x v="1"/>
    <s v="Congo"/>
    <m/>
    <m/>
    <m/>
  </r>
  <r>
    <x v="32"/>
    <s v="P29 -CONGO Frais d'hotel du 07 au 09/02/2025 à tchikapika(02 Nuitées)"/>
    <s v="Travel Subsistence"/>
    <s v="Investigations"/>
    <n v="30000"/>
    <n v="50.319275804982617"/>
    <n v="579.25099999999998"/>
    <s v="P29"/>
    <s v="P29-F-R4"/>
    <s v="PALF"/>
    <x v="1"/>
    <s v="Congo"/>
    <m/>
    <m/>
    <m/>
  </r>
  <r>
    <x v="32"/>
    <s v="Achat billet tchikapika-ombele/P29"/>
    <s v="Transport"/>
    <s v="Investigations"/>
    <n v="5000"/>
    <n v="8.3865459674971028"/>
    <n v="579.25099999999998"/>
    <s v="P29"/>
    <s v="P29-F-R5"/>
    <s v="PALF"/>
    <x v="1"/>
    <s v="Congo"/>
    <m/>
    <m/>
    <m/>
  </r>
  <r>
    <x v="32"/>
    <s v="Cumul frais de trust building du mois de Février 2025/P29"/>
    <s v="Trust Building"/>
    <s v="Investigations"/>
    <n v="39500"/>
    <n v="66.253713143227117"/>
    <n v="579.25099999999998"/>
    <s v="P29"/>
    <s v="P29-F-D2"/>
    <s v="PALF"/>
    <x v="1"/>
    <s v="Congo"/>
    <m/>
    <m/>
    <m/>
  </r>
  <r>
    <x v="32"/>
    <s v="IT87 - CONGOFrais d'hôtel le Pépin du 07 au 09/02/2025 à Otende (02 nuitées)"/>
    <s v="Travel Subsistence"/>
    <s v="Investigations"/>
    <n v="30000"/>
    <n v="50.319275804982617"/>
    <n v="579.25099999999998"/>
    <s v="IT87"/>
    <s v="IT87-F-R4"/>
    <s v="PALF"/>
    <x v="1"/>
    <s v="Congo"/>
    <m/>
    <m/>
    <m/>
  </r>
  <r>
    <x v="32"/>
    <s v="Achat billet Otende - Oyo/ IT87"/>
    <s v="Transport"/>
    <s v="Investigations"/>
    <n v="3000"/>
    <n v="5.0319275804982615"/>
    <n v="579.25099999999998"/>
    <s v="IT87"/>
    <s v="IT87-F-R5"/>
    <s v="PALF"/>
    <x v="1"/>
    <s v="Congo"/>
    <m/>
    <m/>
    <m/>
  </r>
  <r>
    <x v="33"/>
    <s v="P29 - CONGO Frais d'hotel du 09 au 10/02/2025 à ombele (01 Nuitée)"/>
    <s v="Travel Subsistence"/>
    <s v="Investigations"/>
    <n v="15000"/>
    <n v="25.159637902491308"/>
    <n v="579.25099999999998"/>
    <s v="P29"/>
    <s v="P29-F-R6"/>
    <s v="PALF"/>
    <x v="1"/>
    <s v="Congo"/>
    <m/>
    <m/>
    <m/>
  </r>
  <r>
    <x v="33"/>
    <s v="Achat billet ombele-owando/P29"/>
    <s v="Transport"/>
    <s v="Investigations"/>
    <n v="5000"/>
    <n v="8.3865459674971028"/>
    <n v="579.25099999999998"/>
    <s v="P29"/>
    <s v="P29-F-R7"/>
    <s v="PALF"/>
    <x v="1"/>
    <s v="Congo"/>
    <m/>
    <m/>
    <m/>
  </r>
  <r>
    <x v="33"/>
    <s v="T73 - CONGO Frais d'hotel du 06 au 10/02/2025 (04nuitées ) à Makoua"/>
    <s v="Travel Subsistence"/>
    <s v="Investigations"/>
    <n v="60000"/>
    <n v="100.63855160996523"/>
    <n v="579.25099999999998"/>
    <s v="T73"/>
    <s v="T73-F-R2"/>
    <s v="PALF"/>
    <x v="1"/>
    <s v="Congo"/>
    <m/>
    <m/>
    <m/>
  </r>
  <r>
    <x v="33"/>
    <s v="Achat billet : makoua - Owando/T73"/>
    <s v="Transport"/>
    <s v="Investigations"/>
    <n v="3000"/>
    <n v="5.0319275804982615"/>
    <n v="579.25099999999998"/>
    <s v="T73"/>
    <s v="T73-F-R4"/>
    <s v="PALF"/>
    <x v="1"/>
    <s v="Congo"/>
    <m/>
    <m/>
    <m/>
  </r>
  <r>
    <x v="33"/>
    <s v="Frais de transfert d'argent à G12"/>
    <s v="Transfer Fees"/>
    <s v="Office"/>
    <n v="4110"/>
    <n v="6.8937407852826187"/>
    <n v="579.25099999999998"/>
    <s v="Roderlin"/>
    <s v="CA-F-R12"/>
    <s v="PALF"/>
    <x v="1"/>
    <s v="Congo"/>
    <m/>
    <m/>
    <m/>
  </r>
  <r>
    <x v="34"/>
    <s v="Bonus du mois de Janvier 2025/Merveille"/>
    <s v="Personnel"/>
    <s v="Office"/>
    <n v="94430"/>
    <n v="158.38830714215027"/>
    <n v="579.25099999999998"/>
    <s v="Merveille"/>
    <s v="CA-F-D2"/>
    <s v="PALF"/>
    <x v="1"/>
    <s v="Congo"/>
    <m/>
    <m/>
    <m/>
  </r>
  <r>
    <x v="34"/>
    <s v="Bonus du mois de Janvier 2025/Crepin"/>
    <s v="Personnel"/>
    <s v="Legal"/>
    <n v="30000"/>
    <n v="50.319275804982617"/>
    <n v="579.25099999999998"/>
    <s v="Merveille"/>
    <s v="CA-F-D3"/>
    <s v="PALF"/>
    <x v="1"/>
    <s v="Congo"/>
    <m/>
    <m/>
    <m/>
  </r>
  <r>
    <x v="34"/>
    <s v="Bonus du mois de Janvier 2025/Romain"/>
    <s v="Personnel"/>
    <s v="Legal"/>
    <n v="30000"/>
    <n v="50.319275804982617"/>
    <n v="579.25099999999998"/>
    <s v="Merveille"/>
    <s v="CA-F-D4"/>
    <s v="PALF"/>
    <x v="1"/>
    <s v="Congo"/>
    <m/>
    <m/>
    <m/>
  </r>
  <r>
    <x v="34"/>
    <s v="Bonus du mois de Janvier 2025/Abraham"/>
    <s v="Personnel"/>
    <s v="Legal"/>
    <n v="30000"/>
    <n v="50.319275804982617"/>
    <n v="579.25099999999998"/>
    <s v="Merveille"/>
    <s v="CA-F-D5"/>
    <s v="PALF"/>
    <x v="1"/>
    <s v="Congo"/>
    <m/>
    <m/>
    <m/>
  </r>
  <r>
    <x v="34"/>
    <s v="Bonus du mois de Janvier 2025/Roderlin"/>
    <s v="Personnel"/>
    <s v="Legal"/>
    <n v="30000"/>
    <n v="50.319275804982617"/>
    <n v="579.25099999999998"/>
    <s v="Merveille"/>
    <s v="CA-F-D6"/>
    <s v="PALF"/>
    <x v="1"/>
    <s v="Congo"/>
    <m/>
    <m/>
    <m/>
  </r>
  <r>
    <x v="34"/>
    <s v="Bonus du mois de Janvier 2025/Evariste"/>
    <s v="Personnel"/>
    <s v="Media"/>
    <n v="30000"/>
    <n v="50.319275804982617"/>
    <n v="579.25099999999998"/>
    <s v="Merveille"/>
    <s v="CA-F-D7"/>
    <s v="PALF"/>
    <x v="1"/>
    <s v="Congo"/>
    <m/>
    <m/>
    <m/>
  </r>
  <r>
    <x v="34"/>
    <s v="Bonus opération du 15/01/2025 à Owando/Crepin"/>
    <s v="Bonus"/>
    <s v="Operations"/>
    <n v="35000"/>
    <n v="58.705821772479716"/>
    <n v="579.25099999999998"/>
    <s v="Merveille"/>
    <s v="CA-F-D8"/>
    <s v="PALF"/>
    <x v="1"/>
    <s v="Congo"/>
    <m/>
    <m/>
    <m/>
  </r>
  <r>
    <x v="34"/>
    <s v="Bonus opération du 15/01/2025 à Owando/Romain"/>
    <s v="Bonus"/>
    <s v="Operations"/>
    <n v="30000"/>
    <n v="50.319275804982617"/>
    <n v="579.25099999999998"/>
    <s v="Merveille"/>
    <s v="CA-F-D9"/>
    <s v="PALF"/>
    <x v="1"/>
    <s v="Congo"/>
    <m/>
    <m/>
    <m/>
  </r>
  <r>
    <x v="34"/>
    <s v="Bonus opération du 15/01/2025 à Owando/Abraham"/>
    <s v="Bonus"/>
    <s v="Operations"/>
    <n v="30000"/>
    <n v="50.319275804982617"/>
    <n v="579.25099999999998"/>
    <s v="Merveille"/>
    <s v="CA-F-D10"/>
    <s v="PALF"/>
    <x v="1"/>
    <s v="Congo"/>
    <m/>
    <m/>
    <m/>
  </r>
  <r>
    <x v="34"/>
    <s v="Bonus opération du 15/01/2025 à Owando/Evariste"/>
    <s v="Bonus"/>
    <s v="Operations"/>
    <n v="30000"/>
    <n v="50.319275804982617"/>
    <n v="579.25099999999998"/>
    <s v="Merveille"/>
    <s v="CA-F-D11"/>
    <s v="PALF"/>
    <x v="1"/>
    <s v="Congo"/>
    <m/>
    <m/>
    <m/>
  </r>
  <r>
    <x v="34"/>
    <s v="G12 Congo frais d'hotel du 08 au 11/02/2025   à sibiti (3 nuitées)"/>
    <s v="Travel Subsistence"/>
    <s v="Investigations"/>
    <n v="45000"/>
    <n v="75.478913707473922"/>
    <n v="579.25099999999998"/>
    <s v="G12"/>
    <s v="G12-F-R3"/>
    <s v="PALF"/>
    <x v="1"/>
    <s v="Congo"/>
    <m/>
    <m/>
    <m/>
  </r>
  <r>
    <x v="34"/>
    <s v="Achat billet sibiti - loudima /G12"/>
    <s v="Transport"/>
    <s v="Investigations"/>
    <n v="4000"/>
    <n v="6.7092367739976817"/>
    <n v="579.25099999999998"/>
    <s v="G12"/>
    <s v="G12-F-R4"/>
    <s v="PALF"/>
    <x v="1"/>
    <s v="Congo"/>
    <m/>
    <m/>
    <m/>
  </r>
  <r>
    <x v="34"/>
    <s v="Achat billet loudima -nkayi / G12"/>
    <s v="Transport"/>
    <s v="Investigations"/>
    <n v="3000"/>
    <n v="4.8874119492008914"/>
    <n v="613.82180000000005"/>
    <s v="G12"/>
    <s v="G12-F-R5"/>
    <s v="PALF"/>
    <x v="2"/>
    <s v="Congo"/>
    <m/>
    <m/>
    <m/>
  </r>
  <r>
    <x v="34"/>
    <s v="Achat billet Brazzaville-Owando(Trans bony)/Abraham"/>
    <s v="Transport"/>
    <s v="Legal"/>
    <n v="7000"/>
    <n v="11.403961214802081"/>
    <n v="613.82180000000005"/>
    <s v="Abraham"/>
    <s v="AB-F-R1"/>
    <s v="PALF"/>
    <x v="2"/>
    <s v="Congo"/>
    <m/>
    <m/>
    <m/>
  </r>
  <r>
    <x v="34"/>
    <s v="Frais de mission maitre Marie Helène NANITELAMION du 12 au 14 Février 2025 à Owando suivi audience"/>
    <s v="Lawyer Fees"/>
    <s v="Legal"/>
    <n v="70000"/>
    <n v="117.41164354495943"/>
    <n v="579.25099999999998"/>
    <s v="Abraham"/>
    <s v="CA-F-R13"/>
    <s v="PALF"/>
    <x v="1"/>
    <s v="Congo"/>
    <m/>
    <m/>
    <m/>
  </r>
  <r>
    <x v="34"/>
    <s v="Solde honoraire contrat n°81 Owando cas Monick/ Maître BANZOUZI Alain/3654800"/>
    <s v="Lawyer Fees"/>
    <s v="Legal"/>
    <n v="200000"/>
    <n v="335.46183869988408"/>
    <n v="579.25099999999998"/>
    <s v="BCI"/>
    <s v="BQ-F-R3"/>
    <s v="PALF"/>
    <x v="1"/>
    <s v="Congo"/>
    <m/>
    <m/>
    <m/>
  </r>
  <r>
    <x v="34"/>
    <s v="Frais de transfert d'argent à P29"/>
    <s v="Transfer Fees"/>
    <s v="Office"/>
    <n v="6720"/>
    <n v="11.271517780316106"/>
    <n v="596.19299999999998"/>
    <s v="Roderlin"/>
    <s v="CA-F-R14"/>
    <s v="PALF"/>
    <x v="0"/>
    <s v="Congo"/>
    <m/>
    <m/>
    <m/>
  </r>
  <r>
    <x v="35"/>
    <s v="IT87 - CONGO Frais d'hôtel Saint Benoît du 09 au 12/02/2025 à Oyo (03 nuitées)"/>
    <s v="Travel Subsistence"/>
    <s v="Investigations"/>
    <n v="45000"/>
    <n v="75.478913707473922"/>
    <n v="596.19299999999998"/>
    <s v="IT87"/>
    <s v="IT87-F-R6"/>
    <s v="PALF"/>
    <x v="0"/>
    <s v="Congo"/>
    <m/>
    <m/>
    <m/>
  </r>
  <r>
    <x v="35"/>
    <s v="Achat billet Oyo - Brazzaville/ IT87"/>
    <s v="Transport"/>
    <s v="Investigations"/>
    <n v="7000"/>
    <n v="11.741164354495943"/>
    <n v="596.19299999999998"/>
    <s v="IT87"/>
    <s v="IT87-F-R6"/>
    <s v="PALF"/>
    <x v="0"/>
    <s v="Congo"/>
    <m/>
    <m/>
    <m/>
  </r>
  <r>
    <x v="35"/>
    <s v="ABRAHAM - CONGO food allowance du 12/02 au 01/03/2025 à Owando (02 Nuitées)"/>
    <s v="Travel Subsistence"/>
    <s v="Legal"/>
    <n v="170000"/>
    <n v="285.14256289490152"/>
    <n v="596.19299999999998"/>
    <s v="Abraham"/>
    <s v="AB-F-D1"/>
    <s v="PALF"/>
    <x v="0"/>
    <s v="Congo"/>
    <m/>
    <m/>
    <m/>
  </r>
  <r>
    <x v="35"/>
    <s v="Achat billet Brazzaville- Loudima/Roderlin"/>
    <s v="Transport"/>
    <s v="Legal"/>
    <n v="8000"/>
    <n v="13.418473547995363"/>
    <n v="596.19299999999998"/>
    <s v="Roderlin"/>
    <s v="RO-F-R4"/>
    <s v="PALF"/>
    <x v="0"/>
    <s v="Congo"/>
    <m/>
    <m/>
    <m/>
  </r>
  <r>
    <x v="35"/>
    <s v="Frais de transfert d'argent à T73"/>
    <s v="Transfer Fees"/>
    <s v="Office"/>
    <n v="1980"/>
    <n v="3.3210722031288529"/>
    <n v="596.19299999999998"/>
    <s v="Roderlin"/>
    <s v="CA-F-R15"/>
    <s v="PALF"/>
    <x v="0"/>
    <s v="Congo"/>
    <m/>
    <m/>
    <m/>
  </r>
  <r>
    <x v="35"/>
    <s v="Frais de mission maitre Alain BANZOUZI du 13 au 15 Février 2025 à Sibiti/suivi audience"/>
    <s v="Lawyer Fees"/>
    <s v="Legal"/>
    <n v="80000"/>
    <n v="134.18473547995364"/>
    <n v="596.19299999999998"/>
    <s v="Roderlin"/>
    <s v="CA-F-R16"/>
    <s v="PALF"/>
    <x v="0"/>
    <s v="Congo"/>
    <m/>
    <m/>
    <m/>
  </r>
  <r>
    <x v="36"/>
    <s v="Paiment assurance DOVI/Assistance Evacuation"/>
    <s v="Personnel"/>
    <s v="Management"/>
    <n v="129464"/>
    <n v="217.15115742720897"/>
    <n v="596.19299999999998"/>
    <s v="Merveille"/>
    <s v="CA-F-R17"/>
    <s v="PALF"/>
    <x v="0"/>
    <s v="Congo"/>
    <m/>
    <m/>
    <m/>
  </r>
  <r>
    <x v="36"/>
    <s v="Paiment assurance DOVI/Individuelle Accidents Corporels"/>
    <s v="Personnel"/>
    <s v="Management"/>
    <n v="80500"/>
    <n v="135.02339007670335"/>
    <n v="596.19299999999998"/>
    <s v="Merveille"/>
    <s v="CA-F-R18"/>
    <s v="PALF"/>
    <x v="0"/>
    <s v="Congo"/>
    <m/>
    <m/>
    <m/>
  </r>
  <r>
    <x v="36"/>
    <s v="G12-CONGO  frais d'hotel du 11 au 13 /02 / 2025 à nkayi (2nuitées)"/>
    <s v="Travel Subsistence"/>
    <s v="Investigations"/>
    <n v="30000"/>
    <n v="50.319275804982617"/>
    <n v="596.19299999999998"/>
    <s v="G12"/>
    <s v="G12-F-R6"/>
    <s v="PALF"/>
    <x v="0"/>
    <s v="Congo"/>
    <m/>
    <m/>
    <m/>
  </r>
  <r>
    <x v="36"/>
    <s v="Achat billet nkayi - madingou/G12"/>
    <s v="Transport"/>
    <s v="Investigations"/>
    <n v="3000"/>
    <n v="5.0319275804982615"/>
    <n v="596.19299999999998"/>
    <s v="G12"/>
    <s v="G12-F-R7"/>
    <s v="PALF"/>
    <x v="0"/>
    <s v="Congo"/>
    <m/>
    <m/>
    <m/>
  </r>
  <r>
    <x v="36"/>
    <s v="RODERLIN-CONGO Ration du 13 au 15/02/2025 à Sibiti (02 nuitées)"/>
    <s v="Travel Subsistence"/>
    <s v="Legal"/>
    <n v="20000"/>
    <n v="32.582746328005946"/>
    <n v="613.82180000000005"/>
    <s v="Roderlin"/>
    <s v="RO-F-D2"/>
    <s v="PALF"/>
    <x v="2"/>
    <s v="Congo"/>
    <m/>
    <m/>
    <m/>
  </r>
  <r>
    <x v="36"/>
    <s v="Bonus media portant sur la journée mondiale du Pangolin"/>
    <s v="Bonus to media officer"/>
    <s v="Media"/>
    <n v="154000"/>
    <n v="250.88714672564575"/>
    <n v="613.82180000000005"/>
    <s v="Evariste"/>
    <s v="CA-F-D12"/>
    <s v="PALF"/>
    <x v="2"/>
    <s v="Congo"/>
    <m/>
    <m/>
    <m/>
  </r>
  <r>
    <x v="36"/>
    <s v="Reglement frais d'assurance multi risque/Bureau PALF"/>
    <s v="Services"/>
    <s v="Office"/>
    <n v="227686"/>
    <n v="381.89982103110907"/>
    <n v="596.19299999999998"/>
    <s v="BCI"/>
    <s v="BQ-F-R4"/>
    <s v="PALF"/>
    <x v="0"/>
    <s v="Congo"/>
    <m/>
    <m/>
    <m/>
  </r>
  <r>
    <x v="36"/>
    <s v="Achat billet Loudima - Sibiti/Roderlin"/>
    <s v="Transport"/>
    <s v="Legal"/>
    <n v="4000"/>
    <n v="6.7092367739976817"/>
    <n v="579.25099999999998"/>
    <s v="Roderlin"/>
    <s v="RO-F-R6"/>
    <s v="PALF"/>
    <x v="1"/>
    <s v="Congo"/>
    <m/>
    <m/>
    <m/>
  </r>
  <r>
    <x v="37"/>
    <s v="Fonds envoyé à un informateur en RDC pour des informations"/>
    <s v="Trust Building"/>
    <s v="Investigations"/>
    <n v="30000"/>
    <n v="50.319275804982617"/>
    <n v="596.19299999999998"/>
    <s v="DOVI"/>
    <s v="DH-F-R1"/>
    <s v="PALF"/>
    <x v="0"/>
    <s v="Congo"/>
    <m/>
    <m/>
    <m/>
  </r>
  <r>
    <x v="37"/>
    <s v="Frais de transfert d'argent par western union à l'informateur"/>
    <s v="Transfer Fees"/>
    <s v="Office"/>
    <n v="1952"/>
    <n v="3.2741075457108688"/>
    <n v="596.19299999999998"/>
    <s v="DOVI"/>
    <s v="DH-F-R2"/>
    <s v="PALF"/>
    <x v="0"/>
    <s v="Congo"/>
    <m/>
    <m/>
    <m/>
  </r>
  <r>
    <x v="37"/>
    <s v="Achat billet Brazzaville-Owando/DOVI"/>
    <s v="Transport"/>
    <s v="Management"/>
    <n v="7000"/>
    <n v="11.403961214802081"/>
    <n v="613.82180000000005"/>
    <s v="DOVI"/>
    <s v="DH-F-R3"/>
    <s v="PALF"/>
    <x v="2"/>
    <s v="Congo"/>
    <m/>
    <m/>
    <m/>
  </r>
  <r>
    <x v="37"/>
    <s v="Billet: Brazzaville-Owando/Crepin"/>
    <s v="Transport"/>
    <s v="Legal"/>
    <n v="7000"/>
    <n v="11.403961214802081"/>
    <n v="613.82180000000005"/>
    <s v="Crépin"/>
    <s v="CR-F-R1"/>
    <s v="PALF"/>
    <x v="2"/>
    <s v="Congo"/>
    <m/>
    <m/>
    <m/>
  </r>
  <r>
    <x v="37"/>
    <s v="Achat credit  teléphonique MTN/PALF/Deuxième partie du mois de Février 2025/Management"/>
    <s v="Telephone"/>
    <s v="Management"/>
    <n v="30000"/>
    <n v="48.874119492008916"/>
    <n v="613.82180000000005"/>
    <s v="Merveille"/>
    <s v="CA-F-R20"/>
    <s v="PALF"/>
    <x v="2"/>
    <s v="Congo"/>
    <m/>
    <m/>
    <m/>
  </r>
  <r>
    <x v="37"/>
    <s v="Achat credit  teléphonique MTN/PALF/Deuxième partie du mois de Février 2025/Legal"/>
    <s v="Telephone"/>
    <s v="Legal"/>
    <n v="30000"/>
    <n v="48.874119492008916"/>
    <n v="613.82180000000005"/>
    <s v="Merveille"/>
    <s v="CA-F-R21"/>
    <s v="PALF"/>
    <x v="2"/>
    <s v="Congo"/>
    <m/>
    <m/>
    <m/>
  </r>
  <r>
    <x v="37"/>
    <s v="Achat credit  teléphonique MTN/PALF/Deuxième partie du mois de Février 2025/Investigation"/>
    <s v="Telephone"/>
    <s v="Investigations"/>
    <n v="55000"/>
    <n v="94.950186542589222"/>
    <n v="579.25099999999998"/>
    <s v="Merveille"/>
    <s v="CA-F-R22"/>
    <s v="PALF"/>
    <x v="1"/>
    <s v="Congo"/>
    <m/>
    <m/>
    <m/>
  </r>
  <r>
    <x v="37"/>
    <s v="Achat credit  teléphonique MTN/PALF/Deuxième partie du mois de Février 2025/Media"/>
    <s v="Telephone"/>
    <s v="Media"/>
    <n v="10000"/>
    <n v="16.291373164002973"/>
    <n v="613.82180000000005"/>
    <s v="Merveille"/>
    <s v="CA-F-R23"/>
    <s v="PALF"/>
    <x v="2"/>
    <s v="Congo"/>
    <m/>
    <m/>
    <m/>
  </r>
  <r>
    <x v="37"/>
    <s v="Achat credit  teléphonique Airtel/PALF/Deuxième partie du mois de Février 2025/Legal"/>
    <s v="Telephone"/>
    <s v="Legal"/>
    <n v="10000"/>
    <n v="16.291373164002973"/>
    <n v="613.82180000000005"/>
    <s v="Merveille"/>
    <s v="CA-F-R24"/>
    <s v="PALF"/>
    <x v="2"/>
    <s v="Congo"/>
    <m/>
    <m/>
    <m/>
  </r>
  <r>
    <x v="37"/>
    <s v="Achat credit  teléphonique Airtel/PALF/Deuxième partie du mois de Février 2025/Investigation"/>
    <s v="Telephone"/>
    <s v="Investigations"/>
    <n v="5000"/>
    <n v="8.1456865820014865"/>
    <n v="613.82180000000005"/>
    <s v="Merveille"/>
    <s v="CA-F-R25"/>
    <s v="PALF"/>
    <x v="2"/>
    <s v="Congo"/>
    <m/>
    <m/>
    <m/>
  </r>
  <r>
    <x v="37"/>
    <s v="Frais de transfert d'argent à T73,P29 et Abraham"/>
    <s v="Transfer Fees"/>
    <s v="Office"/>
    <n v="11310"/>
    <n v="18.425543048487359"/>
    <n v="613.82180000000005"/>
    <s v="Parfaite"/>
    <s v="CA-F-R19"/>
    <s v="PALF"/>
    <x v="2"/>
    <s v="Congo"/>
    <m/>
    <m/>
    <m/>
  </r>
  <r>
    <x v="37"/>
    <s v="Cumul frais de trust building du mois de Février 2025/G12"/>
    <s v="Trust Building"/>
    <s v="Investigations"/>
    <n v="4000"/>
    <n v="6.5165492656011885"/>
    <n v="613.82180000000005"/>
    <s v="G12"/>
    <s v="G12-F-D2"/>
    <s v="PALF"/>
    <x v="2"/>
    <s v="Congo"/>
    <m/>
    <m/>
    <m/>
  </r>
  <r>
    <x v="37"/>
    <s v="Achat billet Madingou - brazzaville/G12"/>
    <s v="Transport"/>
    <s v="Investigations"/>
    <n v="7000"/>
    <n v="11.403961214802081"/>
    <n v="613.82180000000005"/>
    <s v="G12"/>
    <s v="G12-F-R8"/>
    <s v="PALF"/>
    <x v="2"/>
    <s v="Congo"/>
    <m/>
    <m/>
    <m/>
  </r>
  <r>
    <x v="37"/>
    <s v="Achat Billet Brazzaville-Owando/Romain"/>
    <s v="Transport"/>
    <s v="Legal"/>
    <n v="7000"/>
    <n v="11.403961214802081"/>
    <n v="613.82180000000005"/>
    <s v="Romain"/>
    <s v="RM-F-R4"/>
    <s v="PALF"/>
    <x v="2"/>
    <s v="Congo"/>
    <m/>
    <m/>
    <m/>
  </r>
  <r>
    <x v="37"/>
    <s v="Achat billet, Brazzaville-Owando/Evariste"/>
    <s v="Transport"/>
    <s v="Media"/>
    <n v="7000"/>
    <n v="11.403961214802081"/>
    <n v="613.82180000000005"/>
    <s v="Evariste"/>
    <s v="EV-F-R1"/>
    <s v="PALF"/>
    <x v="2"/>
    <s v="Congo"/>
    <m/>
    <m/>
    <m/>
  </r>
  <r>
    <x v="37"/>
    <s v="Cumul frais de jail visits du mois de Février 2025/Roderlin"/>
    <s v="Jail visit"/>
    <s v="Operations"/>
    <n v="20000"/>
    <n v="32.582746328005946"/>
    <n v="613.82180000000005"/>
    <s v="Roderlin"/>
    <s v="RO-F-D3"/>
    <s v="PALF"/>
    <x v="2"/>
    <s v="Congo"/>
    <m/>
    <m/>
    <m/>
  </r>
  <r>
    <x v="37"/>
    <s v="Achat billet Brazzaville - Madingou/ IT87"/>
    <s v="Transport"/>
    <s v="Investigations"/>
    <n v="7000"/>
    <n v="11.403961214802081"/>
    <n v="613.82180000000005"/>
    <s v="IT87"/>
    <s v="IT87-F-R7"/>
    <s v="PALF"/>
    <x v="2"/>
    <s v="Congo"/>
    <m/>
    <m/>
    <m/>
  </r>
  <r>
    <x v="38"/>
    <s v="DOVI -CONGO Ration du 15 Février 2025 au 25 Février 2025 soit 10 nuitées"/>
    <s v="Travel Subsistence"/>
    <s v="Management"/>
    <n v="100000"/>
    <n v="162.91373164002971"/>
    <n v="613.82180000000005"/>
    <s v="DOVI"/>
    <s v="DH-F-D1"/>
    <s v="PALF"/>
    <x v="2"/>
    <s v="Congo"/>
    <m/>
    <m/>
    <m/>
  </r>
  <r>
    <x v="38"/>
    <s v="CREPIN - CONGO Ration du 15/02/ au 05/03/2025 à Owando (18 nuitées)"/>
    <s v="Travel Subsistence"/>
    <s v="Legal"/>
    <n v="180000"/>
    <n v="293.24471695205347"/>
    <n v="613.82180000000005"/>
    <s v="Crépin"/>
    <s v="CR-F-D1"/>
    <s v="PALF"/>
    <x v="2"/>
    <s v="Congo"/>
    <m/>
    <m/>
    <m/>
  </r>
  <r>
    <x v="38"/>
    <s v="IT87 - CONGO Ration du 15 au 22/02/2025 à Madingou, Mouyondzi et Loutété"/>
    <s v="Travel Subsistence"/>
    <s v="Investigations"/>
    <n v="70000"/>
    <n v="114.03961214802079"/>
    <n v="613.82180000000005"/>
    <s v="IT87"/>
    <s v="IT87-F-D2"/>
    <s v="PALF"/>
    <x v="2"/>
    <s v="Congo"/>
    <m/>
    <m/>
    <m/>
  </r>
  <r>
    <x v="38"/>
    <s v="G12 CONGO frais d'hotel du 13 au 15 /02/2025(02 Nuitées)"/>
    <s v="Travel Subsistence"/>
    <s v="Investigations"/>
    <n v="30000"/>
    <n v="48.874119492008916"/>
    <n v="613.82180000000005"/>
    <s v="G12"/>
    <s v="G12-F-R9"/>
    <s v="PALF"/>
    <x v="2"/>
    <s v="Congo"/>
    <m/>
    <m/>
    <m/>
  </r>
  <r>
    <x v="38"/>
    <s v="ROMAIN - CONGO Ration du 15/02/ au 04/03/2025 à Owando(14 Nuitées)"/>
    <s v="Travel Subsistence"/>
    <s v="Legal"/>
    <n v="170000"/>
    <n v="276.95334378805052"/>
    <n v="613.82180000000005"/>
    <s v="Romain"/>
    <s v="RM-F-D2"/>
    <s v="PALF"/>
    <x v="2"/>
    <s v="Congo"/>
    <m/>
    <m/>
    <m/>
  </r>
  <r>
    <x v="38"/>
    <s v="ABRAHAM - CONGO frais d'Hôtel (Hôtel Case Mbali) du 12 au 15/02/2025 Owando (03Nuitées)"/>
    <s v="Travel Subsistence"/>
    <s v="Legal"/>
    <n v="45000"/>
    <n v="73.311179238013366"/>
    <n v="613.82180000000005"/>
    <s v="Abraham"/>
    <s v="AB-F-R2"/>
    <s v="PALF"/>
    <x v="2"/>
    <s v="Congo"/>
    <m/>
    <m/>
    <m/>
  </r>
  <r>
    <x v="38"/>
    <s v="RODERLIN-CONGO frais d'hôtel du 13 au 15/02/2025 à Sibiti (02 nuitées)"/>
    <s v="Travel Subsistence"/>
    <s v="Legal"/>
    <n v="30000"/>
    <n v="48.874119492008916"/>
    <n v="613.82180000000005"/>
    <s v="Roderlin"/>
    <s v="RO-F-R5"/>
    <s v="PALF"/>
    <x v="2"/>
    <s v="Congo"/>
    <m/>
    <m/>
    <m/>
  </r>
  <r>
    <x v="38"/>
    <s v="Taxi: Sibiti-Loudima /Roderlin"/>
    <s v="Transport"/>
    <s v="Legal"/>
    <n v="4000"/>
    <n v="6.5165492656011885"/>
    <n v="613.82180000000005"/>
    <s v="Roderlin"/>
    <s v="RO-F-R7"/>
    <s v="PALF"/>
    <x v="2"/>
    <s v="Congo"/>
    <m/>
    <m/>
    <m/>
  </r>
  <r>
    <x v="38"/>
    <s v="EVARISTE - CONGO Ration du 15 au 28 février 2025, mission d'Owando (13 nuitées)"/>
    <s v="Travel Subsistence"/>
    <s v="Media"/>
    <n v="130000"/>
    <n v="211.78785113203864"/>
    <n v="613.82180000000005"/>
    <s v="Evariste"/>
    <s v="EV-F-D1"/>
    <s v="PALF"/>
    <x v="2"/>
    <s v="Congo"/>
    <m/>
    <m/>
    <m/>
  </r>
  <r>
    <x v="38"/>
    <s v="Achat billet Loudima-Brazzaville /Roderlin"/>
    <s v="Transport"/>
    <s v="Legal"/>
    <n v="7000"/>
    <n v="11.403961214802081"/>
    <n v="613.82180000000005"/>
    <s v="Roderlin"/>
    <s v="RO-F-R8"/>
    <s v="PALF"/>
    <x v="2"/>
    <s v="Congo"/>
    <m/>
    <m/>
    <m/>
  </r>
  <r>
    <x v="39"/>
    <s v="Achat credit téléphonique pour P29/Appel trust à l'international"/>
    <s v="Telephone"/>
    <s v="Investigations"/>
    <n v="15000"/>
    <n v="24.437059746004458"/>
    <n v="613.82180000000005"/>
    <s v="Merveille"/>
    <s v="CA-F-R26"/>
    <s v="PALF"/>
    <x v="2"/>
    <s v="Congo"/>
    <m/>
    <m/>
    <m/>
  </r>
  <r>
    <x v="40"/>
    <s v="Frais de transfert d'argent à Crepin"/>
    <s v="Transfer Fees"/>
    <s v="Office"/>
    <n v="9000"/>
    <n v="14.662235847602675"/>
    <n v="613.82180000000005"/>
    <s v="Parfaite"/>
    <s v="CA-F-R27"/>
    <s v="PALF"/>
    <x v="2"/>
    <s v="Congo"/>
    <m/>
    <m/>
    <m/>
  </r>
  <r>
    <x v="40"/>
    <s v="IT87 - CONGO Frais d'hôtel Dzongo Bénoît du 15 au 18/02/2025 à Madingou (03 nuitées)"/>
    <s v="Travel Subsistence"/>
    <s v="Investigations"/>
    <n v="45000"/>
    <n v="73.311179238013366"/>
    <n v="613.82180000000005"/>
    <s v="IT87"/>
    <s v="IT87-F-R8"/>
    <s v="PALF"/>
    <x v="2"/>
    <s v="Congo"/>
    <m/>
    <m/>
    <m/>
  </r>
  <r>
    <x v="40"/>
    <s v="Achat billet Madingou - Mouyondzi/ IT87"/>
    <s v="Transport"/>
    <s v="Investigations"/>
    <n v="4000"/>
    <n v="6.5165492656011885"/>
    <n v="613.82180000000005"/>
    <s v="IT87"/>
    <s v="IT87-F-R9"/>
    <s v="PALF"/>
    <x v="2"/>
    <s v="Congo"/>
    <m/>
    <m/>
    <m/>
  </r>
  <r>
    <x v="40"/>
    <s v="Frais de mission maitre BANZOUZI à Owando du 19 au 21/02/205 suivi audience cas MONICK"/>
    <s v="Lawyer Fees"/>
    <s v="Legal"/>
    <n v="70000"/>
    <n v="114.03961214802079"/>
    <n v="613.82180000000005"/>
    <s v="Roderlin"/>
    <s v="CA-F-R28"/>
    <s v="PALF"/>
    <x v="2"/>
    <s v="Congo"/>
    <m/>
    <m/>
    <m/>
  </r>
  <r>
    <x v="41"/>
    <s v="Fonds envoyé à un informateur  en RDC pour des informations"/>
    <s v="Trust Building"/>
    <s v="Investigations"/>
    <n v="30000"/>
    <n v="48.874119492008916"/>
    <n v="613.82180000000005"/>
    <s v="Merveille"/>
    <s v="CA-F-R29"/>
    <s v="PALF"/>
    <x v="2"/>
    <s v="Congo"/>
    <m/>
    <m/>
    <m/>
  </r>
  <r>
    <x v="41"/>
    <s v="Frais de transfert bonus à informateur"/>
    <s v="Transfer Fees"/>
    <s v="Office"/>
    <n v="1952"/>
    <n v="3.3698684387478939"/>
    <n v="579.25099999999998"/>
    <s v="Merveille"/>
    <s v="CA-F-R30"/>
    <s v="PALF"/>
    <x v="1"/>
    <s v="Congo"/>
    <m/>
    <m/>
    <m/>
  </r>
  <r>
    <x v="41"/>
    <s v="Frais de transfert d'argent à Abraham"/>
    <s v="Transfer Fees"/>
    <s v="Office"/>
    <n v="14250"/>
    <n v="23.215206758704234"/>
    <n v="613.82180000000005"/>
    <s v="Parfaite"/>
    <s v="CA-F-R31"/>
    <s v="PALF"/>
    <x v="2"/>
    <s v="Congo"/>
    <m/>
    <m/>
    <m/>
  </r>
  <r>
    <x v="42"/>
    <s v="IT87 - CONGO Frais d'hôtel DZA MATSAKA du 18 au 20/02/2025 à Mouyondzi (02 nuitées)"/>
    <s v="Travel Subsistence"/>
    <s v="Investigations"/>
    <n v="30000"/>
    <n v="48.874119492008916"/>
    <n v="613.82180000000005"/>
    <s v="IT87"/>
    <s v="IT87-F-R10"/>
    <s v="PALF"/>
    <x v="2"/>
    <s v="Congo"/>
    <m/>
    <m/>
    <m/>
  </r>
  <r>
    <x v="42"/>
    <s v="Achat billet Mouyondzi - Loutété/ IT87"/>
    <s v="Transport"/>
    <s v="Investigations"/>
    <n v="4000"/>
    <n v="6.5165492656011885"/>
    <n v="613.82180000000005"/>
    <s v="IT87"/>
    <s v="IT87-F-R11"/>
    <s v="PALF"/>
    <x v="2"/>
    <s v="Congo"/>
    <m/>
    <m/>
    <m/>
  </r>
  <r>
    <x v="42"/>
    <s v="ABRAHAM - CONGO frais d'Hôtel  du 15au 20/02/2025 Owando (05Nuitées)"/>
    <s v="Travel Subsistence"/>
    <s v="Legal"/>
    <n v="75000"/>
    <n v="122.18529873002228"/>
    <n v="613.82180000000005"/>
    <s v="Abraham"/>
    <s v="AB-F-R5"/>
    <s v="PALF"/>
    <x v="2"/>
    <s v="Congo"/>
    <m/>
    <m/>
    <m/>
  </r>
  <r>
    <x v="43"/>
    <s v="Frais de transfert d'argent à T73,P29 et Abraham"/>
    <s v="Transfer Fees"/>
    <s v="Office"/>
    <n v="14700"/>
    <n v="23.94831855108437"/>
    <n v="613.82180000000005"/>
    <s v="Roderlin"/>
    <s v="CA-F-R43"/>
    <s v="PALF"/>
    <x v="2"/>
    <s v="Congo"/>
    <m/>
    <m/>
    <m/>
  </r>
  <r>
    <x v="44"/>
    <s v="CREPIN - CONGO Hébergement à l'hôtel Essebo d'Owando, 07 Nuitées du 15 au 22/02/2025"/>
    <s v="Travel Subsistence"/>
    <s v="Legal"/>
    <n v="105000"/>
    <n v="171.05941822203121"/>
    <n v="613.82180000000005"/>
    <s v="Crépin"/>
    <s v="CR-F-R2"/>
    <s v="PALF"/>
    <x v="2"/>
    <s v="Congo"/>
    <m/>
    <m/>
    <m/>
  </r>
  <r>
    <x v="44"/>
    <s v="T73 - CONGO Frais d'hotel du 10 au 22/02/2025 (12 nuitées ) à Owando"/>
    <s v="Travel Subsistence"/>
    <s v="Investigations"/>
    <n v="180000"/>
    <n v="293.24471695205347"/>
    <n v="613.82180000000005"/>
    <s v="T73"/>
    <s v="T73-F-R5"/>
    <s v="PALF"/>
    <x v="2"/>
    <s v="Congo"/>
    <m/>
    <m/>
    <m/>
  </r>
  <r>
    <x v="44"/>
    <s v="IT87 - CONGO Frais d'hôtel Clair Matin du 20 au 22/02/2025 à Loutété (02 nuitées)"/>
    <s v="Travel Subsistence"/>
    <s v="Investigations"/>
    <n v="30000"/>
    <n v="48.874119492008916"/>
    <n v="613.82180000000005"/>
    <s v="IT87"/>
    <s v="IT87-F-R12"/>
    <s v="PALF"/>
    <x v="2"/>
    <s v="Congo"/>
    <m/>
    <m/>
    <m/>
  </r>
  <r>
    <x v="44"/>
    <s v="Achat billet Loutété - Brazzaville/ IT87"/>
    <s v="Transport"/>
    <s v="Investigations"/>
    <n v="7000"/>
    <n v="11.403961214802081"/>
    <n v="613.82180000000005"/>
    <s v="IT87"/>
    <s v="IT87-F-R13"/>
    <s v="PALF"/>
    <x v="2"/>
    <s v="Congo"/>
    <m/>
    <m/>
    <m/>
  </r>
  <r>
    <x v="45"/>
    <s v="Cumul frais de trust building du mois de Février 2025/T73"/>
    <s v="Trust Building"/>
    <s v="Investigations"/>
    <n v="68000"/>
    <n v="110.7813375152202"/>
    <n v="613.82180000000005"/>
    <s v="T73"/>
    <s v="T73-F-D2"/>
    <s v="PALF"/>
    <x v="2"/>
    <s v="Congo"/>
    <m/>
    <m/>
    <m/>
  </r>
  <r>
    <x v="46"/>
    <s v="Plats et raffraichissements"/>
    <s v="Travel Subsistence"/>
    <s v="Operations"/>
    <n v="10500"/>
    <n v="17.105941822203121"/>
    <n v="613.82180000000005"/>
    <s v="Crépin"/>
    <s v="CR-F-R3"/>
    <s v="PALF"/>
    <x v="2"/>
    <s v="Congo"/>
    <m/>
    <m/>
    <m/>
  </r>
  <r>
    <x v="46"/>
    <s v="01 bidon d'eau de 10 litres pour les OPJ sous instruction du Coordinateur"/>
    <s v="Office Materials"/>
    <s v="Operations"/>
    <n v="1500"/>
    <n v="2.4437059746004457"/>
    <n v="613.82180000000005"/>
    <s v="Crépin"/>
    <s v="CR-F-D2"/>
    <s v="PALF"/>
    <x v="2"/>
    <s v="Congo"/>
    <m/>
    <m/>
    <m/>
  </r>
  <r>
    <x v="46"/>
    <s v="Achat credit téléphonique pour le coordinateur"/>
    <s v="Telephone"/>
    <s v="Management"/>
    <n v="5000"/>
    <n v="8.1456865820014865"/>
    <n v="613.82180000000005"/>
    <s v="Merveille"/>
    <s v="CA-F-R34"/>
    <s v="PALF"/>
    <x v="2"/>
    <s v="Congo"/>
    <m/>
    <m/>
    <m/>
  </r>
  <r>
    <x v="46"/>
    <s v="P29 - CONGO Frais hotel du 10 au 24/02/2025 à owando/(14 Nuitées)"/>
    <s v="Travel Subsistence"/>
    <s v="Investigations"/>
    <n v="210000"/>
    <n v="342.11883644406242"/>
    <n v="613.82180000000005"/>
    <s v="P29"/>
    <s v="P29-F-R8"/>
    <s v="PALF"/>
    <x v="2"/>
    <s v="Congo"/>
    <m/>
    <m/>
    <m/>
  </r>
  <r>
    <x v="46"/>
    <s v="Location véhicule extraction owando-oyo/P29"/>
    <s v="Transport"/>
    <s v="Operations"/>
    <n v="50000"/>
    <n v="81.456865820014855"/>
    <n v="613.82180000000005"/>
    <s v="P29"/>
    <s v="P29-F-R9"/>
    <s v="PALF"/>
    <x v="2"/>
    <s v="Congo"/>
    <m/>
    <m/>
    <m/>
  </r>
  <r>
    <x v="46"/>
    <s v="Locaation vehicule 1 pour extraction  du stade à la vouma/P29"/>
    <s v="Transport"/>
    <s v="Operations"/>
    <n v="8000"/>
    <n v="13.033098531202377"/>
    <n v="613.82180000000005"/>
    <s v="P29"/>
    <s v="P29-F-R10"/>
    <s v="PALF"/>
    <x v="2"/>
    <s v="Congo"/>
    <m/>
    <m/>
    <m/>
  </r>
  <r>
    <x v="46"/>
    <s v="Locaation vehicule 2  pour extraction de la vouma station AOGC/P29"/>
    <s v="Transport"/>
    <s v="Operations"/>
    <n v="8000"/>
    <n v="13.033098531202377"/>
    <n v="613.82180000000005"/>
    <s v="P29"/>
    <s v="P29-F-R11"/>
    <s v="PALF"/>
    <x v="2"/>
    <s v="Congo"/>
    <m/>
    <m/>
    <m/>
  </r>
  <r>
    <x v="46"/>
    <s v="Rafraichissement en attente opération "/>
    <s v="Travel Subsistence"/>
    <s v="Operations"/>
    <n v="18000"/>
    <n v="29.32447169520535"/>
    <n v="613.82180000000005"/>
    <s v="Romain"/>
    <s v="RM-F-R5"/>
    <s v="PALF"/>
    <x v="2"/>
    <s v="Congo"/>
    <m/>
    <m/>
    <m/>
  </r>
  <r>
    <x v="46"/>
    <s v="Carburant BJ Opération"/>
    <s v="Transport"/>
    <s v="Operations"/>
    <n v="25000"/>
    <n v="40.728432910007427"/>
    <n v="613.82180000000005"/>
    <s v="Romain"/>
    <s v="RM-F-R6"/>
    <s v="PALF"/>
    <x v="2"/>
    <s v="Congo"/>
    <m/>
    <m/>
    <m/>
  </r>
  <r>
    <x v="46"/>
    <s v="Rafraîchissement attente OP"/>
    <s v="Travel Subsistence"/>
    <s v="Legal"/>
    <n v="5100"/>
    <n v="8.3086003136415147"/>
    <n v="613.82180000000005"/>
    <s v="Abraham"/>
    <s v="AB-F-R3"/>
    <s v="PALF"/>
    <x v="2"/>
    <s v="Congo"/>
    <m/>
    <m/>
    <m/>
  </r>
  <r>
    <x v="46"/>
    <s v="Frais de transfert charden farell à Abraham (pour le compte de DOVI et Crépin)"/>
    <s v="Transfer Fees"/>
    <s v="Office"/>
    <n v="8100"/>
    <n v="13.196012262842407"/>
    <n v="613.82180000000005"/>
    <s v="Roderlin"/>
    <s v="CA-F-R33"/>
    <s v="PALF"/>
    <x v="2"/>
    <s v="Congo"/>
    <m/>
    <m/>
    <m/>
  </r>
  <r>
    <x v="46"/>
    <s v="Rafraichissement de mon équipe lors de l'opération"/>
    <s v="Travel Subsistence"/>
    <s v="Operations"/>
    <n v="9800"/>
    <n v="15.965545700722911"/>
    <n v="613.82180000000005"/>
    <s v="Evariste"/>
    <s v="EV-F-D2"/>
    <s v="PALF"/>
    <x v="2"/>
    <s v="Congo"/>
    <m/>
    <m/>
    <m/>
  </r>
  <r>
    <x v="47"/>
    <s v="Achat billet Owando -Brazzaville/DOVI"/>
    <s v="Transport"/>
    <s v="Management"/>
    <n v="7000"/>
    <n v="11.403961214802081"/>
    <n v="613.82180000000005"/>
    <s v="DOVI"/>
    <s v="DH-F-R4"/>
    <s v="PALF"/>
    <x v="2"/>
    <s v="Congo"/>
    <m/>
    <m/>
    <m/>
  </r>
  <r>
    <x v="47"/>
    <s v="DOVI-CONGO Frais d'hôtel du 15 Février 2025 au 25 Février 2025 soit 10 nuitées à Owando(Hôtel Savouret)"/>
    <s v="Travel Subsistence"/>
    <s v="Management"/>
    <n v="150000"/>
    <n v="244.37059746004456"/>
    <n v="613.82180000000005"/>
    <s v="DOVI"/>
    <s v="DH-F-R5"/>
    <s v="PALF"/>
    <x v="2"/>
    <s v="Congo"/>
    <m/>
    <m/>
    <m/>
  </r>
  <r>
    <x v="47"/>
    <s v="Bonus pour 18 Gendarmes ayant participé à l'opération du 24/02/2025  à Owando"/>
    <s v="Bonus"/>
    <s v="Operations"/>
    <n v="180000"/>
    <n v="293.24471695205347"/>
    <n v="613.82180000000005"/>
    <s v="Crépin"/>
    <s v="CR-F-R4"/>
    <s v="PALF"/>
    <x v="2"/>
    <s v="Congo"/>
    <m/>
    <m/>
    <m/>
  </r>
  <r>
    <x v="47"/>
    <s v="Bonus pour 02 EF ayant participé à l'opération du 24/02/2025  à Owando"/>
    <s v="Bonus"/>
    <s v="Operations"/>
    <n v="20000"/>
    <n v="32.582746328005946"/>
    <n v="613.82180000000005"/>
    <s v="Crépin"/>
    <s v="CR-F-R5"/>
    <s v="PALF"/>
    <x v="2"/>
    <s v="Congo"/>
    <m/>
    <m/>
    <m/>
  </r>
  <r>
    <x v="47"/>
    <s v="P29 - CONGO Frais de Location d'appartement pour op à owando du 22 au 25/02/2025  (occupé par crepin)/03 Nuitées"/>
    <s v="Travel Subsistence"/>
    <s v="Operations"/>
    <n v="105000"/>
    <n v="181.26853794494306"/>
    <n v="579.25099999999998"/>
    <s v="P29"/>
    <s v="P29-F-R12"/>
    <s v="PALF"/>
    <x v="1"/>
    <s v="Congo"/>
    <m/>
    <m/>
    <m/>
  </r>
  <r>
    <x v="47"/>
    <s v="P29 - CONGO Frais de location d'appartement pour op à Owando du 22 au 25/02/2025  (occupé par T73)/03 Nuitées"/>
    <s v="Travel Subsistence"/>
    <s v="Operations"/>
    <n v="105000"/>
    <n v="181.26853794494306"/>
    <n v="579.25099999999998"/>
    <s v="P29"/>
    <s v="P29-F-R13"/>
    <s v="PALF"/>
    <x v="1"/>
    <s v="Congo"/>
    <m/>
    <m/>
    <m/>
  </r>
  <r>
    <x v="47"/>
    <s v="Achat billet Brazzaville - Loutété/ IT87"/>
    <s v="Transport"/>
    <s v="Investigations"/>
    <n v="7000"/>
    <n v="11.403961214802081"/>
    <n v="613.82180000000005"/>
    <s v="IT87"/>
    <s v="IT87-F-R14"/>
    <s v="PALF"/>
    <x v="2"/>
    <s v="Congo"/>
    <m/>
    <m/>
    <m/>
  </r>
  <r>
    <x v="47"/>
    <s v="ROMAIN - CONGO - Frais d'hôtel du 15 au 25/02/2025 à Owando(10 Nuitées)"/>
    <s v="Travel Subsistence"/>
    <s v="Legal"/>
    <n v="150000"/>
    <n v="244.37059746004456"/>
    <n v="613.82180000000005"/>
    <s v="Romain"/>
    <s v="RM-F-R8"/>
    <s v="PALF"/>
    <x v="2"/>
    <s v="Congo"/>
    <m/>
    <m/>
    <m/>
  </r>
  <r>
    <x v="47"/>
    <s v="EVARISTE - CONGO Frais de l'hôtel du 15 au 25 février 2025 à Owando (10 nuitées)"/>
    <s v="Travel Subsistence"/>
    <s v="Media"/>
    <n v="150000"/>
    <n v="244.37059746004456"/>
    <n v="613.82180000000005"/>
    <s v="Evariste"/>
    <s v="EV-F-R2"/>
    <s v="PALF"/>
    <x v="2"/>
    <s v="Congo"/>
    <m/>
    <m/>
    <m/>
  </r>
  <r>
    <x v="48"/>
    <s v="Frais de mission à Owando de maitre Alain du 27/02 au 04/03/2025"/>
    <s v="Lawyer Fees"/>
    <s v="Legal"/>
    <n v="148000"/>
    <n v="241.11232282724399"/>
    <n v="613.82180000000005"/>
    <s v="Merveille"/>
    <s v="CA-F-R35"/>
    <s v="PALF"/>
    <x v="2"/>
    <s v="Congo"/>
    <m/>
    <m/>
    <m/>
  </r>
  <r>
    <x v="48"/>
    <s v="Frais de transfert d'argent à Abraham"/>
    <s v="Transfer Fees"/>
    <s v="Office"/>
    <n v="10980"/>
    <n v="17.887927734075262"/>
    <n v="613.82180000000005"/>
    <s v="Parfaite"/>
    <s v="CA-F-R44"/>
    <s v="PALF"/>
    <x v="2"/>
    <s v="Congo"/>
    <m/>
    <m/>
    <m/>
  </r>
  <r>
    <x v="48"/>
    <s v="IT87 - CONGO Ration  du 26 au 28/02/2025 à Loutété"/>
    <s v="Travel Subsistence"/>
    <s v="Investigations"/>
    <n v="20000"/>
    <n v="32.582746328005946"/>
    <n v="613.82180000000005"/>
    <s v="IT87"/>
    <s v="IT87-F-D3"/>
    <s v="PALF"/>
    <x v="2"/>
    <s v="Congo"/>
    <m/>
    <m/>
    <m/>
  </r>
  <r>
    <x v="48"/>
    <s v="Cumul frais de transport local du mois Février 2025/G12"/>
    <s v="Transport"/>
    <s v="Investigations"/>
    <n v="40100"/>
    <n v="65.32840638765191"/>
    <n v="613.82180000000005"/>
    <s v="G12"/>
    <s v="G12-F-D3"/>
    <s v="PALF"/>
    <x v="2"/>
    <s v="Congo"/>
    <m/>
    <m/>
    <m/>
  </r>
  <r>
    <x v="48"/>
    <s v="Achat médicaments du prévenu Dodo"/>
    <s v="Jail visit"/>
    <s v="Operations"/>
    <n v="4000"/>
    <n v="6.9054681121883075"/>
    <n v="579.25099999999998"/>
    <s v="Abraham"/>
    <s v="AB-F-R4"/>
    <s v="PALF"/>
    <x v="1"/>
    <s v="Congo"/>
    <m/>
    <m/>
    <m/>
  </r>
  <r>
    <x v="49"/>
    <s v="Reglement prestation de nettoyage jardin PALF du mois de Février 2025"/>
    <s v="Services"/>
    <s v="Office"/>
    <n v="20000"/>
    <n v="34.527340560941539"/>
    <n v="579.25099999999998"/>
    <s v="Merveille"/>
    <s v="CA-F-R36"/>
    <s v="PALF"/>
    <x v="1"/>
    <s v="Congo"/>
    <m/>
    <m/>
    <m/>
  </r>
  <r>
    <x v="49"/>
    <s v="Cumul frais de Trust building du mois de Février 2025/IT87"/>
    <s v="Trust Building"/>
    <s v="Investigations"/>
    <n v="29000"/>
    <n v="50.06464381336523"/>
    <n v="579.25099999999998"/>
    <s v="IT87"/>
    <s v="IT87-F-D4"/>
    <s v="PALF"/>
    <x v="1"/>
    <s v="Congo"/>
    <m/>
    <m/>
    <m/>
  </r>
  <r>
    <x v="49"/>
    <s v="Cumul frais de transport local du mois de Février 2025/Roderlin"/>
    <s v="Transport"/>
    <s v="Legal"/>
    <n v="26900"/>
    <n v="46.439273054466369"/>
    <n v="579.25099999999998"/>
    <s v="Roderlin"/>
    <s v="RO-F-D4"/>
    <s v="PALF"/>
    <x v="1"/>
    <s v="Congo"/>
    <m/>
    <m/>
    <m/>
  </r>
  <r>
    <x v="49"/>
    <s v="Frais de transfert d'argent à IT87"/>
    <s v="Transfer Fees"/>
    <s v="Office"/>
    <n v="560"/>
    <n v="0.93929314835967548"/>
    <n v="596.19299999999998"/>
    <s v="Roderlin"/>
    <s v="CA-F-R37"/>
    <s v="PALF"/>
    <x v="0"/>
    <s v="Congo"/>
    <m/>
    <m/>
    <m/>
  </r>
  <r>
    <x v="49"/>
    <s v="Cumul frais de transport local du mois de Février 2025/Parfaite"/>
    <s v="Transport"/>
    <s v="Office"/>
    <n v="7000"/>
    <n v="11.741164354495943"/>
    <n v="579.25099999999998"/>
    <s v="Parfaite"/>
    <s v="P-F-D1"/>
    <s v="PALF"/>
    <x v="1"/>
    <s v="Congo"/>
    <m/>
    <m/>
    <m/>
  </r>
  <r>
    <x v="50"/>
    <s v="Cumul frais de transport local du mois de Février 2025/DOVI"/>
    <s v="Transport"/>
    <s v="Management"/>
    <n v="39500"/>
    <n v="68.191497607859532"/>
    <n v="579.25099999999998"/>
    <s v="DOVI"/>
    <s v="DH-F-D2"/>
    <s v="PALF"/>
    <x v="1"/>
    <s v="Congo"/>
    <m/>
    <m/>
    <m/>
  </r>
  <r>
    <x v="50"/>
    <s v="Cumul frais de transport local du mois de Février 2025/Crepin IBOUILI IBOUILI"/>
    <s v="Transport"/>
    <s v="Legal"/>
    <n v="14000"/>
    <n v="24.169138392659075"/>
    <n v="579.25099999999998"/>
    <s v="Crépin"/>
    <s v="CR-F-D3"/>
    <s v="PALF"/>
    <x v="1"/>
    <s v="Congo"/>
    <m/>
    <m/>
    <m/>
  </r>
  <r>
    <x v="50"/>
    <s v="Cumul frais de transport local du mois de Février 2025/Merveille"/>
    <s v="Transport"/>
    <s v="Office"/>
    <n v="35500"/>
    <n v="61.286029495671229"/>
    <n v="579.25099999999998"/>
    <s v="Merveille"/>
    <s v="ME-F-D1"/>
    <s v="PALF"/>
    <x v="1"/>
    <s v="Congo"/>
    <m/>
    <m/>
    <m/>
  </r>
  <r>
    <x v="50"/>
    <s v="Ramassage ordure du mois Février 2025/Bureau PALF"/>
    <s v="Services"/>
    <s v="Office"/>
    <n v="6000"/>
    <n v="10.35820216828246"/>
    <n v="579.25099999999998"/>
    <s v="Merveille"/>
    <s v="CA-F-R38"/>
    <s v="PALF"/>
    <x v="1"/>
    <s v="Congo"/>
    <m/>
    <m/>
    <m/>
  </r>
  <r>
    <x v="50"/>
    <s v="Reglement facture internet periode du 01/03 au 31/03/2025 bureau PALF"/>
    <s v="Internet"/>
    <s v="Office"/>
    <n v="45050"/>
    <n v="77.772834613520814"/>
    <n v="579.25099999999998"/>
    <s v="Merveille"/>
    <s v="CA-F-R39"/>
    <s v="PALF"/>
    <x v="1"/>
    <s v="Congo"/>
    <m/>
    <m/>
    <m/>
  </r>
  <r>
    <x v="50"/>
    <s v="Achat fourniture de bureau/Classeurs,stylo,intercalaire,rame papier,surligneur,chemise cartonnée"/>
    <s v="Office Materials"/>
    <s v="Office"/>
    <n v="182000"/>
    <n v="314.19879910456797"/>
    <n v="579.25099999999998"/>
    <s v="Merveille"/>
    <s v="CA-F-R41"/>
    <s v="PALF"/>
    <x v="1"/>
    <s v="Congo"/>
    <m/>
    <m/>
    <m/>
  </r>
  <r>
    <x v="50"/>
    <s v="Frais de carte de travail Parfaite"/>
    <s v="Personnel"/>
    <s v="Office"/>
    <n v="10500"/>
    <n v="18.126853794494306"/>
    <n v="579.25099999999998"/>
    <s v="Merveille"/>
    <s v="CA-F-R42"/>
    <s v="PALF"/>
    <x v="1"/>
    <s v="Congo"/>
    <m/>
    <m/>
    <m/>
  </r>
  <r>
    <x v="50"/>
    <s v="Frais de transfert d'argent à Romain"/>
    <s v="Transfer Fees"/>
    <s v="Office"/>
    <n v="7020"/>
    <n v="12.119096536890479"/>
    <n v="579.25099999999998"/>
    <s v="Parfaite"/>
    <s v="CA-F-R45"/>
    <s v="PALF"/>
    <x v="1"/>
    <s v="Congo"/>
    <m/>
    <m/>
    <m/>
  </r>
  <r>
    <x v="50"/>
    <s v="Règlement prestation technicienne de surface (mois de Février 2025)"/>
    <s v="Services"/>
    <s v="Office"/>
    <n v="75625"/>
    <n v="130.55650649606019"/>
    <n v="579.25099999999998"/>
    <s v="Parfaite"/>
    <s v="CA-F-R40"/>
    <s v="PALF"/>
    <x v="1"/>
    <s v="Congo"/>
    <m/>
    <m/>
    <m/>
  </r>
  <r>
    <x v="50"/>
    <s v="Achat billet billet oyo-brazzaville/P29"/>
    <s v="Transport"/>
    <s v="Investigations"/>
    <n v="6000"/>
    <n v="10.35820216828246"/>
    <n v="579.25099999999998"/>
    <s v="P29"/>
    <s v="P29-F-R14"/>
    <s v="PALF"/>
    <x v="1"/>
    <s v="Congo"/>
    <m/>
    <m/>
    <m/>
  </r>
  <r>
    <x v="50"/>
    <s v="P29 - CONGO Frais d'hotel du 24 au 28/02/2025  à Oyo(04 Nuitées)"/>
    <s v="Travel Subsistence"/>
    <s v="Investigations"/>
    <n v="60000"/>
    <n v="103.5820216828246"/>
    <n v="579.25099999999998"/>
    <s v="P29"/>
    <s v="P29-F-R15"/>
    <s v="PALF"/>
    <x v="1"/>
    <s v="Congo"/>
    <m/>
    <m/>
    <m/>
  </r>
  <r>
    <x v="50"/>
    <s v="Cumul frais de transport local du mois de Février 2025/P29"/>
    <s v="Transport"/>
    <s v="Investigations"/>
    <n v="66800"/>
    <n v="115.32131747354472"/>
    <n v="579.25099999999998"/>
    <s v="P29"/>
    <s v="P29-F-D3"/>
    <s v="PALF"/>
    <x v="1"/>
    <s v="Congo"/>
    <m/>
    <m/>
    <m/>
  </r>
  <r>
    <x v="50"/>
    <s v="T73 - CONGO Frais d'hotel du 24 au 28/02/2025 (04 nuitées ) à Oyo"/>
    <s v="Travel Subsistence"/>
    <s v="Investigations"/>
    <n v="60000"/>
    <n v="103.5820216828246"/>
    <n v="579.25099999999998"/>
    <s v="T73"/>
    <s v="T73-F-R6"/>
    <s v="PALF"/>
    <x v="1"/>
    <s v="Congo"/>
    <m/>
    <m/>
    <m/>
  </r>
  <r>
    <x v="50"/>
    <s v="Achat billet : Oyo - Brazzaville /T73"/>
    <s v="Transport"/>
    <s v="Investigations"/>
    <n v="6000"/>
    <n v="10.35820216828246"/>
    <n v="579.25099999999998"/>
    <s v="T73"/>
    <s v="T73-F-R7"/>
    <s v="PALF"/>
    <x v="1"/>
    <s v="Congo"/>
    <m/>
    <m/>
    <m/>
  </r>
  <r>
    <x v="50"/>
    <s v="Cumul frais de transport local du mois de Février 2025/T73"/>
    <s v="Transport"/>
    <s v="Investigations"/>
    <n v="53700"/>
    <n v="92.705909406128029"/>
    <n v="579.25099999999998"/>
    <s v="T73"/>
    <s v="T73-F-D3"/>
    <s v="PALF"/>
    <x v="1"/>
    <s v="Congo"/>
    <m/>
    <m/>
    <m/>
  </r>
  <r>
    <x v="50"/>
    <s v="IT87 - CONGO Frais d'hôtel Clair Matin du 26 au 28/02/2025 à Loutété (02 nuitées)"/>
    <s v="Travel Subsistence"/>
    <s v="Investigations"/>
    <n v="30000"/>
    <n v="51.791010841412302"/>
    <n v="579.25099999999998"/>
    <s v="IT87"/>
    <s v="IT87-F-R15"/>
    <s v="PALF"/>
    <x v="1"/>
    <s v="Congo"/>
    <m/>
    <m/>
    <m/>
  </r>
  <r>
    <x v="50"/>
    <s v="Achat billet Loutété - Brazzaville/ IT87"/>
    <s v="Transport"/>
    <s v="Investigations"/>
    <n v="7000"/>
    <n v="12.084569196329538"/>
    <n v="579.25099999999998"/>
    <s v="IT87"/>
    <s v="IT87-F-R16"/>
    <s v="PALF"/>
    <x v="1"/>
    <s v="Congo"/>
    <m/>
    <m/>
    <m/>
  </r>
  <r>
    <x v="50"/>
    <s v="Cumul frais de Transport local du mois de Février 2025/IT87"/>
    <s v="Transport"/>
    <s v="Investigations"/>
    <n v="66500"/>
    <n v="114.80340736513061"/>
    <n v="579.25099999999998"/>
    <s v="IT87"/>
    <s v="IT87-F-D5"/>
    <s v="PALF"/>
    <x v="1"/>
    <s v="Congo"/>
    <m/>
    <m/>
    <m/>
  </r>
  <r>
    <x v="50"/>
    <s v="Impréssion de la procédure de la Gendarmerie"/>
    <s v="Office Materials"/>
    <s v="Legal"/>
    <n v="24675"/>
    <n v="42.598106417061622"/>
    <n v="579.25099999999998"/>
    <s v="Romain"/>
    <s v="RM-F-R7"/>
    <s v="PALF"/>
    <x v="1"/>
    <s v="Congo"/>
    <m/>
    <m/>
    <m/>
  </r>
  <r>
    <x v="50"/>
    <s v="Cumul frais de transport local du mois de Février 2025/Romain"/>
    <s v="Transport"/>
    <s v="Legal"/>
    <n v="35500"/>
    <n v="61.286029495671229"/>
    <n v="579.25099999999998"/>
    <s v="Romain"/>
    <s v="RM-F-D3"/>
    <s v="PALF"/>
    <x v="1"/>
    <s v="Congo"/>
    <m/>
    <m/>
    <m/>
  </r>
  <r>
    <x v="50"/>
    <s v="Cumul frais de jail visits du mois de Février 2025/Abraham"/>
    <s v="Jail visit"/>
    <s v="Operations"/>
    <n v="18000"/>
    <n v="31.074606504847381"/>
    <n v="579.25099999999998"/>
    <s v="Abraham"/>
    <s v="AB-F-D2"/>
    <s v="PALF"/>
    <x v="1"/>
    <s v="Congo"/>
    <m/>
    <m/>
    <m/>
  </r>
  <r>
    <x v="50"/>
    <s v="Cumul frais de transport local du mois de Février 2025/Abraham"/>
    <s v="Transport"/>
    <s v="Legal"/>
    <n v="45000"/>
    <n v="77.68651626211846"/>
    <n v="579.25099999999998"/>
    <s v="Abraham"/>
    <s v="AB-F-D3"/>
    <s v="PALF"/>
    <x v="1"/>
    <s v="Congo"/>
    <m/>
    <m/>
    <m/>
  </r>
  <r>
    <x v="50"/>
    <s v="EVARISTE - CONGO Frais de l'hôtel du 25 au 28 février 2025 (3 nuitées) "/>
    <s v="Travel Subsistence"/>
    <s v="Media"/>
    <n v="45000"/>
    <n v="77.68651626211846"/>
    <n v="579.25099999999998"/>
    <s v="Evariste"/>
    <s v="EV-F-R3"/>
    <s v="PALF"/>
    <x v="1"/>
    <s v="Congo"/>
    <m/>
    <m/>
    <m/>
  </r>
  <r>
    <x v="50"/>
    <s v="Achat billet Owando-Brazzaville/Evariste"/>
    <s v="Transport"/>
    <s v="Media"/>
    <n v="7000"/>
    <n v="12.084569196329538"/>
    <n v="579.25099999999998"/>
    <s v="Evariste"/>
    <s v="EV-F-R4"/>
    <s v="PALF"/>
    <x v="1"/>
    <s v="Congo"/>
    <m/>
    <m/>
    <m/>
  </r>
  <r>
    <x v="50"/>
    <s v="Cumul frais de transport local du mois de Février 2025/Evariste"/>
    <s v="Transport"/>
    <s v="Media"/>
    <n v="33500"/>
    <n v="57.833295439577071"/>
    <n v="579.25099999999998"/>
    <s v="Evariste"/>
    <s v="EV-F-D3"/>
    <s v="PALF"/>
    <x v="1"/>
    <s v="Congo"/>
    <m/>
    <m/>
    <m/>
  </r>
  <r>
    <x v="50"/>
    <s v="Bonus media portant sur l'interpellation de deux présumé trafiquants le 24/02/2025 à Owando"/>
    <s v="Bonus to media officer"/>
    <s v="Media"/>
    <n v="200000"/>
    <n v="345.27340560941536"/>
    <n v="579.25099999999998"/>
    <s v="Evariste"/>
    <s v="CA-F-D13"/>
    <s v="PALF"/>
    <x v="1"/>
    <s v="Congo"/>
    <m/>
    <m/>
    <m/>
  </r>
  <r>
    <x v="51"/>
    <s v="CREPIN - CONGO Hébergement à l'hôtel Case Mbali d'Owando, 05 Nuitées du 24/02/ au 01/03/2025 "/>
    <s v="Travel Subsistence"/>
    <s v="Legal"/>
    <n v="75000"/>
    <n v="129.47754945610797"/>
    <n v="579.25099999999998"/>
    <s v="Crépin"/>
    <s v="CR-M-R1"/>
    <s v="PALF"/>
    <x v="1"/>
    <s v="Congo"/>
    <m/>
    <m/>
    <m/>
  </r>
  <r>
    <x v="51"/>
    <s v="Achat billet Owando-Brazzaville(Trans bony)/Abraham"/>
    <s v="Transport"/>
    <s v="Legal"/>
    <n v="7000"/>
    <n v="12.084571282570078"/>
    <n v="579.25099999999998"/>
    <s v="Abraham"/>
    <s v="AB-M-R1"/>
    <s v="PALF"/>
    <x v="1"/>
    <s v="Congo"/>
    <m/>
    <m/>
    <m/>
  </r>
  <r>
    <x v="51"/>
    <s v="ABRAHAM - CONGO frais d'Hôtel (Hôtel Case Mbali) du 20/02/2025 au 01/03/2025 Owando (09Nuitées)"/>
    <s v="Travel Subsistence"/>
    <s v="Legal"/>
    <n v="135000"/>
    <n v="233.05958902099437"/>
    <n v="579.25099999999998"/>
    <s v="Abraham"/>
    <s v="AB-M-R2"/>
    <s v="PALF"/>
    <x v="1"/>
    <s v="Congo"/>
    <m/>
    <m/>
    <m/>
  </r>
  <r>
    <x v="52"/>
    <s v="Achat credit  teléphonique MTN/PALF/Première partie du mois de Mars2025/Management"/>
    <s v="Telephone"/>
    <s v="Management"/>
    <n v="47000"/>
    <n v="81.139264325827668"/>
    <n v="579.25099999999998"/>
    <s v="Merveille"/>
    <s v="CA-M-R1"/>
    <s v="PALF"/>
    <x v="1"/>
    <s v="Congo"/>
    <m/>
    <m/>
    <m/>
  </r>
  <r>
    <x v="52"/>
    <s v="Achat credit  teléphonique MTN/PALF/Première partie du mois de Mars 2025/Legal"/>
    <s v="Telephone"/>
    <s v="Legal"/>
    <n v="74000"/>
    <n v="127.75118213002654"/>
    <n v="579.25099999999998"/>
    <s v="Merveille"/>
    <s v="CA-M-R2"/>
    <s v="PALF"/>
    <x v="1"/>
    <s v="Congo"/>
    <m/>
    <m/>
    <m/>
  </r>
  <r>
    <x v="52"/>
    <s v="Achat credit  teléphonique MTN/PALF/Première partie du mois de Mars 2025/Investigation"/>
    <s v="Telephone"/>
    <s v="Investigations"/>
    <n v="88000"/>
    <n v="151.9203246951667"/>
    <n v="579.25099999999998"/>
    <s v="Merveille"/>
    <s v="CA-M-R3"/>
    <s v="PALF"/>
    <x v="1"/>
    <s v="Congo"/>
    <m/>
    <m/>
    <m/>
  </r>
  <r>
    <x v="52"/>
    <s v="Achat credit  teléphonique MTN/PALF/Première partie du mois de Mars 2025/Media"/>
    <s v="Telephone"/>
    <s v="Media"/>
    <n v="10000"/>
    <n v="17.263673260814397"/>
    <n v="579.25099999999998"/>
    <s v="Merveille"/>
    <s v="CA-M-R4"/>
    <s v="PALF"/>
    <x v="1"/>
    <s v="Congo"/>
    <m/>
    <m/>
    <m/>
  </r>
  <r>
    <x v="52"/>
    <s v="Achat credit  teléphonique Airtel/PALF/Première partie du mois de Mars 2025/Legal"/>
    <s v="Telephone"/>
    <s v="Legal"/>
    <n v="10000"/>
    <n v="17.263673260814397"/>
    <n v="579.25099999999998"/>
    <s v="Merveille"/>
    <s v="CA-M-R5"/>
    <s v="PALF"/>
    <x v="1"/>
    <s v="Congo"/>
    <m/>
    <m/>
    <m/>
  </r>
  <r>
    <x v="52"/>
    <s v="Achat credit  teléphonique Airtel/PALF/Première partie du mois de Mars 2025/Investigation"/>
    <s v="Telephone"/>
    <s v="Investigations"/>
    <n v="16000"/>
    <n v="27.621877217303034"/>
    <n v="579.25099999999998"/>
    <s v="Merveille"/>
    <s v="CA-M-R6"/>
    <s v="PALF"/>
    <x v="1"/>
    <s v="Congo"/>
    <m/>
    <m/>
    <m/>
  </r>
  <r>
    <x v="52"/>
    <s v="Achat credit  teléphonique Airtel/PALF/Première partie du mois de Mars 2025/Media"/>
    <s v="Telephone"/>
    <s v="Media"/>
    <n v="11000"/>
    <n v="18.990040586895837"/>
    <n v="579.25099999999998"/>
    <s v="Merveille"/>
    <s v="CA-M-R7"/>
    <s v="PALF"/>
    <x v="1"/>
    <s v="Congo"/>
    <m/>
    <m/>
    <m/>
  </r>
  <r>
    <x v="52"/>
    <s v="Achat 01 telephone Tecno POP 7/ 64GB et 4ROM pour Abraham"/>
    <s v="Equipment"/>
    <s v="Legal"/>
    <n v="65000"/>
    <n v="112.21387619529358"/>
    <n v="579.25099999999998"/>
    <s v="Merveille"/>
    <s v="CA-M-R8"/>
    <s v="PALF"/>
    <x v="1"/>
    <s v="Congo"/>
    <m/>
    <m/>
    <m/>
  </r>
  <r>
    <x v="52"/>
    <s v="Bonus operation du 24/02/2025 à Owando/Evariste"/>
    <s v="Bonus"/>
    <s v="Operations"/>
    <n v="45000"/>
    <n v="77.686529673664793"/>
    <n v="579.25099999999998"/>
    <s v="Merveille"/>
    <s v="CA-M-D1"/>
    <s v="PALF"/>
    <x v="1"/>
    <s v="Congo"/>
    <m/>
    <m/>
    <m/>
  </r>
  <r>
    <x v="52"/>
    <s v="Bonus du mois de Janvier 2025/Evariste"/>
    <s v="Personnel"/>
    <s v="Media"/>
    <n v="30000"/>
    <n v="51.791019782443193"/>
    <n v="579.25099999999998"/>
    <s v="Merveille"/>
    <s v="CA-M-D2"/>
    <s v="PALF"/>
    <x v="1"/>
    <s v="Congo"/>
    <m/>
    <m/>
    <m/>
  </r>
  <r>
    <x v="52"/>
    <s v="Bonus du mois de Janvier 2025/Merveille"/>
    <s v="Personnel"/>
    <s v="Office"/>
    <n v="94430"/>
    <n v="163.02086660187035"/>
    <n v="579.25099999999998"/>
    <s v="Merveille"/>
    <s v="CA-M-D3"/>
    <s v="PALF"/>
    <x v="1"/>
    <s v="Congo"/>
    <m/>
    <m/>
    <m/>
  </r>
  <r>
    <x v="52"/>
    <s v="Bonus operation du 24/02/2025 à Owando/Merveille"/>
    <s v="Bonus"/>
    <s v="Operations"/>
    <n v="20000"/>
    <n v="34.527346521628793"/>
    <n v="579.25099999999998"/>
    <s v="Merveille"/>
    <s v="CA-M-D4"/>
    <s v="PALF"/>
    <x v="1"/>
    <s v="Congo"/>
    <m/>
    <m/>
    <m/>
  </r>
  <r>
    <x v="52"/>
    <s v="Bonus operation du 24/02/2025 à Owando/Abraham"/>
    <s v="Bonus"/>
    <s v="Operations"/>
    <n v="45000"/>
    <n v="77.686529673664793"/>
    <n v="579.25099999999998"/>
    <s v="Merveille"/>
    <s v="CA-M-D6"/>
    <s v="PALF"/>
    <x v="1"/>
    <s v="Congo"/>
    <m/>
    <m/>
    <m/>
  </r>
  <r>
    <x v="52"/>
    <s v="Bonus du mois de Janvier 2025/Abraham"/>
    <s v="Personnel"/>
    <s v="Legal"/>
    <n v="30000"/>
    <n v="51.791019782443193"/>
    <n v="579.25099999999998"/>
    <s v="Merveille"/>
    <s v="CA-M-D7"/>
    <s v="PALF"/>
    <x v="1"/>
    <s v="Congo"/>
    <m/>
    <m/>
    <m/>
  </r>
  <r>
    <x v="52"/>
    <s v="Bonus du mois de Janvier 2025/Roderlin"/>
    <s v="Personnel"/>
    <s v="Legal"/>
    <n v="30000"/>
    <n v="51.791019782443193"/>
    <n v="579.25099999999998"/>
    <s v="Merveille"/>
    <s v="CA-M-D8"/>
    <s v="PALF"/>
    <x v="1"/>
    <s v="Congo"/>
    <m/>
    <m/>
    <m/>
  </r>
  <r>
    <x v="52"/>
    <s v="Achat 10 ampoules pour le bureau "/>
    <s v="Office Materials"/>
    <s v="Office"/>
    <n v="25000"/>
    <n v="43.159183152035993"/>
    <n v="579.25099999999998"/>
    <s v="Parfaite"/>
    <s v="CA-M-R9"/>
    <s v="PALF"/>
    <x v="1"/>
    <s v="Congo"/>
    <m/>
    <m/>
    <m/>
  </r>
  <r>
    <x v="52"/>
    <s v="Bonus du mois de Janvier 2025/Parfaite"/>
    <s v="Personnel"/>
    <s v="Office"/>
    <n v="15000"/>
    <n v="25.895509891221597"/>
    <n v="579.25099999999998"/>
    <s v="Parfaite"/>
    <s v="CA-M-D5"/>
    <s v="PALF"/>
    <x v="1"/>
    <s v="Congo"/>
    <m/>
    <m/>
    <m/>
  </r>
  <r>
    <x v="52"/>
    <s v="Achat carburant 100 Litres de gazoil groupe electrogène Bureau"/>
    <s v="Office Materials"/>
    <s v="Office"/>
    <n v="62500"/>
    <n v="107.89795788008998"/>
    <n v="579.25099999999998"/>
    <s v="Abraham"/>
    <s v="CA-M-R10"/>
    <s v="PALF"/>
    <x v="1"/>
    <s v="Congo"/>
    <m/>
    <m/>
    <m/>
  </r>
  <r>
    <x v="52"/>
    <s v="Reglement loyer du mois de Février 2025/3654804"/>
    <s v="Rent &amp; Utilities"/>
    <s v="Office"/>
    <n v="500000"/>
    <n v="863.18366304071981"/>
    <n v="579.25099999999998"/>
    <s v="BCI"/>
    <s v="BQ-M-R1"/>
    <s v="PALF"/>
    <x v="1"/>
    <s v="Congo"/>
    <m/>
    <m/>
    <m/>
  </r>
  <r>
    <x v="52"/>
    <s v="Paiement salaire du mois de Février 2025/FOUMBA Roderlin/3654808"/>
    <s v="Personnel"/>
    <s v="Legal"/>
    <n v="200000"/>
    <n v="345.27346521628795"/>
    <n v="579.25099999999998"/>
    <s v="BCI"/>
    <s v="BQ-M-R2"/>
    <s v="PALF"/>
    <x v="1"/>
    <s v="Congo"/>
    <m/>
    <m/>
    <m/>
  </r>
  <r>
    <x v="52"/>
    <s v="Paiement salaire du mois de Février 2025/BOUNGOU MAKOSSO Abraham"/>
    <s v="Personnel"/>
    <s v="Legal"/>
    <n v="200000"/>
    <n v="345.27346521628795"/>
    <n v="579.25099999999998"/>
    <s v="BCI"/>
    <s v="BQ-M-R3"/>
    <s v="PALF"/>
    <x v="1"/>
    <s v="Congo"/>
    <m/>
    <m/>
    <m/>
  </r>
  <r>
    <x v="52"/>
    <s v="Paiement salaire du mois de Février 2025/LOUNDOU JeanRomain/3654807"/>
    <s v="Personnel"/>
    <s v="Legal"/>
    <n v="200000"/>
    <n v="345.27346521628795"/>
    <n v="579.25099999999998"/>
    <s v="BCI"/>
    <s v="BQ-M-R4"/>
    <s v="PALF"/>
    <x v="1"/>
    <s v="Congo"/>
    <m/>
    <m/>
    <m/>
  </r>
  <r>
    <x v="52"/>
    <s v="Paiement salaire du mois de Février 2025/Crepin IBOUILI-IBOUILI"/>
    <s v="Personnel"/>
    <s v="Legal"/>
    <n v="551482"/>
    <n v="952.06050572204458"/>
    <n v="579.25099999999998"/>
    <s v="BCI"/>
    <s v="BQ-M-R5"/>
    <s v="PALF"/>
    <x v="1"/>
    <s v="Congo"/>
    <m/>
    <m/>
    <m/>
  </r>
  <r>
    <x v="52"/>
    <s v="Paiement salaire du mois de Février 2025/Merveille MAHANGA"/>
    <s v="Personnel"/>
    <s v="Office"/>
    <n v="384789"/>
    <n v="664.2871570355511"/>
    <n v="579.25099999999998"/>
    <s v="BCI"/>
    <s v="BQ-M-R6"/>
    <s v="PALF"/>
    <x v="1"/>
    <s v="Congo"/>
    <m/>
    <m/>
    <m/>
  </r>
  <r>
    <x v="52"/>
    <s v="Paiement salaire du mois de Février 2025/Evariste LELOUSSI"/>
    <s v="Personnel"/>
    <s v="Media"/>
    <n v="238140"/>
    <n v="411.11711503303405"/>
    <n v="579.25099999999998"/>
    <s v="BCI"/>
    <s v="BQ-M-R7"/>
    <s v="PALF"/>
    <x v="1"/>
    <s v="Congo"/>
    <m/>
    <m/>
    <m/>
  </r>
  <r>
    <x v="52"/>
    <s v="Reglement honoraire du mois de Février 2025/T73/3654813"/>
    <s v="Personnel"/>
    <s v="Investigations"/>
    <n v="405000"/>
    <n v="699.17876706298307"/>
    <n v="579.25099999999998"/>
    <s v="BCI"/>
    <s v="BQ-M-R8"/>
    <s v="PALF"/>
    <x v="1"/>
    <s v="Congo"/>
    <m/>
    <m/>
    <m/>
  </r>
  <r>
    <x v="52"/>
    <s v="Reglement honoraire du mois de Février 2025/P29/3654814"/>
    <s v="Personnel"/>
    <s v="Investigations"/>
    <n v="460000"/>
    <n v="794.12896999746226"/>
    <n v="579.25099999999998"/>
    <s v="BCI"/>
    <s v="BQ-M-R9"/>
    <s v="PALF"/>
    <x v="1"/>
    <s v="Congo"/>
    <m/>
    <m/>
    <m/>
  </r>
  <r>
    <x v="52"/>
    <s v="Reglement honoraire du mois de Février 2025/IT87/3654815"/>
    <s v="Personnel"/>
    <s v="Investigations"/>
    <n v="255000"/>
    <n v="440.22366815076714"/>
    <n v="579.25099999999998"/>
    <s v="BCI"/>
    <s v="BQ-M-R10"/>
    <s v="PALF"/>
    <x v="1"/>
    <s v="Congo"/>
    <m/>
    <m/>
    <m/>
  </r>
  <r>
    <x v="52"/>
    <s v="Reglement honoraire du mois de Février 2025/G12/3654816"/>
    <s v="Personnel"/>
    <s v="Investigations"/>
    <n v="255000"/>
    <n v="440.22366815076714"/>
    <n v="579.25099999999998"/>
    <s v="BCI"/>
    <s v="BQ-M-R11"/>
    <s v="PALF"/>
    <x v="1"/>
    <s v="Congo"/>
    <m/>
    <m/>
    <m/>
  </r>
  <r>
    <x v="52"/>
    <s v="Reglement Facture Gardiennage Mois de Février 2025/3654817"/>
    <s v="Services"/>
    <s v="Office"/>
    <n v="260000"/>
    <n v="448.85550478117432"/>
    <n v="579.25099999999998"/>
    <s v="BCI"/>
    <s v="BQ-M-R12"/>
    <s v="PALF"/>
    <x v="1"/>
    <s v="Congo"/>
    <m/>
    <m/>
    <m/>
  </r>
  <r>
    <x v="52"/>
    <s v="Frais de virement salaire février 2025"/>
    <s v="Bank fees"/>
    <s v="Office"/>
    <n v="10665"/>
    <n v="18.411707532658554"/>
    <n v="579.25099999999998"/>
    <s v="BCI"/>
    <s v="BQ-M-R13"/>
    <s v="PALF"/>
    <x v="1"/>
    <s v="Congo"/>
    <m/>
    <m/>
    <m/>
  </r>
  <r>
    <x v="52"/>
    <s v="Acompte honoraire contrat N°64_Dolisie cas NZETSI BIMOKO et Consorts/Maitre Marie Hélène NANITELAMIO MALONGA"/>
    <s v="Lawyer Fees"/>
    <s v="Legal"/>
    <n v="300000"/>
    <n v="517.91019782443186"/>
    <n v="579.25099999999998"/>
    <s v="BCI"/>
    <s v="BQ-M-R14"/>
    <s v="PALF"/>
    <x v="1"/>
    <s v="Congo"/>
    <m/>
    <m/>
    <m/>
  </r>
  <r>
    <x v="53"/>
    <s v="Bonus à un informateur en RDC "/>
    <s v="Trust Building"/>
    <s v="Investigations"/>
    <n v="30000"/>
    <n v="51.791019782443193"/>
    <n v="579.25099999999998"/>
    <s v="DOVI"/>
    <s v="CA-M-R12"/>
    <s v="PALF"/>
    <x v="1"/>
    <s v="Congo"/>
    <m/>
    <m/>
    <m/>
  </r>
  <r>
    <x v="53"/>
    <s v="Cumul frais de transport local du mois de Mars 2025/Merveille"/>
    <s v="Transport"/>
    <s v="Office"/>
    <n v="9900"/>
    <n v="17.091036528206253"/>
    <n v="579.25099999999998"/>
    <s v="Merveille"/>
    <s v="M-M-D1"/>
    <s v="PALF"/>
    <x v="1"/>
    <s v="Congo"/>
    <m/>
    <m/>
    <m/>
  </r>
  <r>
    <x v="53"/>
    <s v="Paiement salaire des jours travaillés en février 2025/Parfaite"/>
    <s v="Personnel"/>
    <s v="Office"/>
    <n v="131428"/>
    <n v="226.89300493223146"/>
    <n v="579.25099999999998"/>
    <s v="Merveille"/>
    <s v="CA-M-R11"/>
    <s v="PALF"/>
    <x v="1"/>
    <s v="Congo"/>
    <m/>
    <m/>
    <m/>
  </r>
  <r>
    <x v="53"/>
    <s v="Frais de transport mission maitre Marie Helène à Owando du 05 au 07/03/2025 suivi audience cas EBI"/>
    <s v="Transport"/>
    <s v="Legal"/>
    <n v="20000"/>
    <n v="34.527346521628793"/>
    <n v="579.25099999999998"/>
    <s v="Merveille"/>
    <s v="CA-M-R16"/>
    <s v="PALF"/>
    <x v="1"/>
    <s v="Congo"/>
    <m/>
    <m/>
    <m/>
  </r>
  <r>
    <x v="53"/>
    <s v="Ration et frais d'hotel mission maitre Marie Helène à Owando du 05 au 07/03/2025 suivi audience cas EBI"/>
    <s v="Travel Subsistence"/>
    <s v="Legal"/>
    <n v="50000"/>
    <n v="86.318366304071986"/>
    <n v="579.25099999999998"/>
    <s v="Merveille"/>
    <s v="CA-M-R17"/>
    <s v="PALF"/>
    <x v="1"/>
    <s v="Congo"/>
    <m/>
    <m/>
    <m/>
  </r>
  <r>
    <x v="53"/>
    <s v="Bonus du mois de Janvier 2025/Crepin"/>
    <s v="Personnel"/>
    <s v="Legal"/>
    <n v="30000"/>
    <n v="51.791019782443193"/>
    <n v="579.25099999999998"/>
    <s v="Merveille"/>
    <s v="CA-M-D10"/>
    <s v="PALF"/>
    <x v="1"/>
    <s v="Congo"/>
    <m/>
    <m/>
    <m/>
  </r>
  <r>
    <x v="53"/>
    <s v="Bonus operation du 24/02/2025 à Owando/Crepin"/>
    <s v="Bonus"/>
    <s v="Operations"/>
    <n v="50000"/>
    <n v="86.318366304071986"/>
    <n v="579.25099999999998"/>
    <s v="Merveille"/>
    <s v="CA-M-D11"/>
    <s v="PALF"/>
    <x v="1"/>
    <s v="Congo"/>
    <m/>
    <m/>
    <m/>
  </r>
  <r>
    <x v="53"/>
    <s v="Frais de transfert d'argent à Romain et Crepin"/>
    <s v="Transfer Fees"/>
    <s v="Office"/>
    <n v="8700"/>
    <n v="15.019395736908526"/>
    <n v="579.25099999999998"/>
    <s v="Parfaite"/>
    <s v="CA-M-R14"/>
    <s v="PALF"/>
    <x v="1"/>
    <s v="Congo"/>
    <m/>
    <m/>
    <m/>
  </r>
  <r>
    <x v="53"/>
    <s v="Complement frais de mission maitre Banzouzi du 04 au 08/03/3035 à Owando"/>
    <s v="Travel Subsistence"/>
    <s v="Legal"/>
    <n v="100000"/>
    <n v="172.63673260814397"/>
    <n v="579.25099999999998"/>
    <s v="Parfaite"/>
    <s v="CA-M-R15"/>
    <s v="PALF"/>
    <x v="1"/>
    <s v="Congo"/>
    <m/>
    <m/>
    <m/>
  </r>
  <r>
    <x v="53"/>
    <s v="payement frais d'inscription et mensuel pour la formation en anglais"/>
    <s v="Personnel"/>
    <s v="Team Building"/>
    <n v="65000"/>
    <n v="112.21387619529358"/>
    <n v="579.25099999999998"/>
    <s v="T73"/>
    <s v="T73-M-R1"/>
    <s v="PALF"/>
    <x v="1"/>
    <s v="Congo"/>
    <m/>
    <m/>
    <m/>
  </r>
  <r>
    <x v="53"/>
    <s v="ROMAIN-CONGO Ration du 04 au 08/03/2025 à Owando (04 Nuitées) "/>
    <s v="Travel Subsistence"/>
    <s v="Legal"/>
    <n v="40000"/>
    <n v="69.054693043257586"/>
    <n v="579.25099999999998"/>
    <s v="Romain"/>
    <s v="RM-M-D1"/>
    <s v="PALF"/>
    <x v="1"/>
    <s v="Congo"/>
    <m/>
    <m/>
    <m/>
  </r>
  <r>
    <x v="53"/>
    <s v="Frais de transfert d'argent en RDC"/>
    <s v="Transfer Fees"/>
    <s v="Office"/>
    <n v="1952"/>
    <n v="3.3698690205109703"/>
    <n v="579.25099999999998"/>
    <s v="Roderlin"/>
    <s v="CA-M-R13"/>
    <s v="PALF"/>
    <x v="1"/>
    <s v="Congo"/>
    <m/>
    <m/>
    <m/>
  </r>
  <r>
    <x v="53"/>
    <s v="Bonus media portant sur l'interpellation de 2 Présumés trafiquants le 24/02/205 à Owando"/>
    <s v="Bonus to media officer"/>
    <s v="Media"/>
    <n v="148000"/>
    <n v="255.50236426005307"/>
    <n v="579.25099999999998"/>
    <s v="Evariste"/>
    <s v="CA-M-D9"/>
    <s v="PALF"/>
    <x v="1"/>
    <s v="Congo"/>
    <m/>
    <m/>
    <m/>
  </r>
  <r>
    <x v="54"/>
    <s v="CREPIN - CONGO Ration du du 05 au 08/03/2025  03 Nuitées  à Owando(03 Nuitées)"/>
    <s v="Travel Subsistence"/>
    <s v="Legal"/>
    <n v="30000"/>
    <n v="51.791019782443193"/>
    <n v="579.25099999999998"/>
    <s v="Crépin"/>
    <s v="CR-M-D1"/>
    <s v="PALF"/>
    <x v="1"/>
    <s v="Congo"/>
    <m/>
    <m/>
    <m/>
  </r>
  <r>
    <x v="55"/>
    <s v="Règlement loyer du mois de Février 2025/DOVI Coordinateur PALF "/>
    <s v="Personnel"/>
    <s v="Management"/>
    <n v="174625"/>
    <n v="301.46689431697143"/>
    <n v="579.25099999999998"/>
    <s v="DOVI"/>
    <s v="DH-M-R2"/>
    <s v="PALF"/>
    <x v="1"/>
    <s v="Congo"/>
    <m/>
    <m/>
    <m/>
  </r>
  <r>
    <x v="55"/>
    <s v="Bonus à un informateur en RDC"/>
    <s v="Trust Building"/>
    <s v="Investigations"/>
    <n v="30000"/>
    <n v="51.791019782443193"/>
    <n v="579.25099999999998"/>
    <s v="DOVI"/>
    <s v="CA-M-R18"/>
    <s v="PALF"/>
    <x v="1"/>
    <s v="Congo"/>
    <m/>
    <m/>
    <m/>
  </r>
  <r>
    <x v="55"/>
    <s v="Achat billet brazzaville - dolisie/G12"/>
    <s v="Transport"/>
    <s v="Investigations"/>
    <n v="7000"/>
    <n v="12.084571282570078"/>
    <n v="579.25099999999998"/>
    <s v="G12"/>
    <s v="G12-M-R1"/>
    <s v="PALF"/>
    <x v="1"/>
    <s v="Congo"/>
    <m/>
    <m/>
    <m/>
  </r>
  <r>
    <x v="55"/>
    <s v="Frais de transfert Bonus à un informateur en RDC"/>
    <s v="Transfer Fees"/>
    <s v="Office"/>
    <n v="1952"/>
    <n v="3.3698690205109703"/>
    <n v="579.25099999999998"/>
    <s v="Roderlin"/>
    <s v="CA-M-R19"/>
    <s v="PALF"/>
    <x v="1"/>
    <s v="Congo"/>
    <m/>
    <m/>
    <m/>
  </r>
  <r>
    <x v="56"/>
    <s v="Reparation de court -circuit électrique du bureau"/>
    <s v="Services"/>
    <s v="Office"/>
    <n v="20000"/>
    <n v="34.527346521628793"/>
    <n v="579.25099999999998"/>
    <s v="DOVI"/>
    <s v="CA-M-R20"/>
    <s v="PALF"/>
    <x v="1"/>
    <s v="Congo"/>
    <m/>
    <m/>
    <m/>
  </r>
  <r>
    <x v="56"/>
    <s v="G12 - GONGO Ration du 07 au 24/03/2025 à Dolisie et Madingou "/>
    <s v="Travel Subsistence"/>
    <s v="Investigations"/>
    <n v="170000"/>
    <n v="293.48244543384476"/>
    <n v="579.25099999999998"/>
    <s v="G12"/>
    <s v="G12-M-D1"/>
    <s v="PALF"/>
    <x v="1"/>
    <s v="Congo"/>
    <m/>
    <m/>
    <m/>
  </r>
  <r>
    <x v="56"/>
    <s v="RAPATRIEME01100 RAO00010768/CHENE"/>
    <s v="Grant"/>
    <m/>
    <m/>
    <n v="0"/>
    <n v="579.64599999999996"/>
    <s v="BCI"/>
    <s v="BQ-M-G1"/>
    <s v="PALF"/>
    <x v="1"/>
    <s v="Congo"/>
    <n v="17389380"/>
    <n v="30000"/>
    <m/>
  </r>
  <r>
    <x v="56"/>
    <s v="RAPATRIEME01100 RAO00010768/OAT"/>
    <s v="Grant"/>
    <m/>
    <m/>
    <n v="0"/>
    <n v="579.64599999999996"/>
    <s v="BCI"/>
    <s v="BQ-M-G2"/>
    <s v="PALF"/>
    <x v="3"/>
    <s v="Congo"/>
    <n v="2898230"/>
    <n v="5000"/>
    <m/>
  </r>
  <r>
    <x v="57"/>
    <s v="CREPIN-IBOULI CONGO Hébergement à l'hôtel Case Mbali d'Owando, 07 Nuitées du  01 au 08/03/2025 "/>
    <s v="Travel Subsistence"/>
    <s v="Legal"/>
    <n v="105000"/>
    <n v="181.14504369908531"/>
    <n v="579.64599999999996"/>
    <s v="Crépin"/>
    <s v="CR-M-R2"/>
    <s v="PALF"/>
    <x v="1"/>
    <s v="Congo"/>
    <m/>
    <m/>
    <m/>
  </r>
  <r>
    <x v="57"/>
    <s v="Billet: Owando-Brazaville/Crepin"/>
    <s v="Transport"/>
    <s v="Legal"/>
    <n v="7000"/>
    <n v="12.076336246605688"/>
    <n v="579.64599999999996"/>
    <s v="Crépin"/>
    <s v="CR-M-R3"/>
    <s v="PALF"/>
    <x v="1"/>
    <s v="Congo"/>
    <m/>
    <m/>
    <m/>
  </r>
  <r>
    <x v="57"/>
    <s v="ROMAIN - CONGO Frais d'hotel du 25/02/au 08/03/2025 à Owando"/>
    <s v="Travel Subsistence"/>
    <s v="Legal"/>
    <n v="165000"/>
    <n v="284.6564972414198"/>
    <n v="579.64599999999996"/>
    <s v="Romain"/>
    <s v="RM-M-R1"/>
    <s v="PALF"/>
    <x v="1"/>
    <s v="Congo"/>
    <m/>
    <m/>
    <m/>
  </r>
  <r>
    <x v="58"/>
    <s v="Bonus du mois de Février 2025/Romain"/>
    <s v="Personnel"/>
    <s v="Legal"/>
    <n v="30000"/>
    <n v="51.755726771167232"/>
    <n v="579.64599999999996"/>
    <s v="Merveille"/>
    <s v="CA-M-D12"/>
    <s v="PALF"/>
    <x v="1"/>
    <s v="Congo"/>
    <m/>
    <m/>
    <m/>
  </r>
  <r>
    <x v="58"/>
    <s v="Bonus operation du 24/02/2025 à Owando/Romain"/>
    <s v="Bonus"/>
    <s v="Operations"/>
    <n v="45000"/>
    <n v="77.633590156750856"/>
    <n v="579.64599999999996"/>
    <s v="Merveille"/>
    <s v="CA-M-D13"/>
    <s v="PALF"/>
    <x v="1"/>
    <s v="Congo"/>
    <m/>
    <m/>
    <m/>
  </r>
  <r>
    <x v="58"/>
    <s v="Achat billet Brazzaville-Dolisie/P29"/>
    <s v="Transport"/>
    <s v="Investigations"/>
    <n v="10000"/>
    <n v="17.251908923722411"/>
    <n v="579.64599999999996"/>
    <s v="P29"/>
    <s v="P29-M-R1"/>
    <s v="PALF"/>
    <x v="1"/>
    <s v="Congo"/>
    <m/>
    <m/>
    <m/>
  </r>
  <r>
    <x v="58"/>
    <s v="Cumul trust building du mois de Mars 2025/G12 "/>
    <s v="Trust Building"/>
    <s v="Investigations"/>
    <n v="16000"/>
    <n v="27.603054277955859"/>
    <n v="579.64599999999996"/>
    <s v="G12"/>
    <s v="G12-M-D2"/>
    <s v="PALF"/>
    <x v="1"/>
    <s v="Congo"/>
    <m/>
    <m/>
    <m/>
  </r>
  <r>
    <x v="58"/>
    <s v="Frais de transfert d'argent à G12"/>
    <s v="Transfer Fees"/>
    <s v="Office"/>
    <n v="4170"/>
    <n v="7.1940460211922455"/>
    <n v="579.64599999999996"/>
    <s v="Roderlin"/>
    <s v="CA-M-R21"/>
    <s v="PALF"/>
    <x v="1"/>
    <s v="Congo"/>
    <m/>
    <m/>
    <m/>
  </r>
  <r>
    <x v="58"/>
    <s v="Paiement Honoraire Me LOCKO/Mois de Janvier 2025/3654793"/>
    <s v="Lawyer Fees"/>
    <s v="Legal"/>
    <n v="150000"/>
    <n v="258.77863385583618"/>
    <n v="579.64599999999996"/>
    <s v="BCI"/>
    <s v="BQ-M-R15"/>
    <s v="PALF"/>
    <x v="1"/>
    <s v="Congo"/>
    <m/>
    <m/>
    <m/>
  </r>
  <r>
    <x v="58"/>
    <s v="Paiement Honoraire Me LOCKO/Mois de Février 2025/3654820"/>
    <s v="Lawyer Fees"/>
    <s v="Legal"/>
    <n v="150000"/>
    <n v="258.77863385583618"/>
    <n v="579.64599999999996"/>
    <s v="BCI"/>
    <s v="BQ-M-R16"/>
    <s v="PALF"/>
    <x v="1"/>
    <s v="Congo"/>
    <m/>
    <m/>
    <m/>
  </r>
  <r>
    <x v="58"/>
    <s v="Paiement salaire du mois de Février 2025/Homéfa DOVI/3654812"/>
    <s v="Personnel"/>
    <s v="Management"/>
    <n v="1311000"/>
    <n v="2261.725259900008"/>
    <n v="579.64599999999996"/>
    <s v="BCI"/>
    <s v="BQ-M-R17"/>
    <s v="PALF"/>
    <x v="1"/>
    <s v="Congo"/>
    <m/>
    <m/>
    <m/>
  </r>
  <r>
    <x v="59"/>
    <s v="Achat de 14 pagnes africain pour la JIF(08Mars)/Bureau PALF"/>
    <s v="Personnel"/>
    <s v="Team Building"/>
    <n v="112000"/>
    <n v="193.22137994569101"/>
    <n v="579.64599999999996"/>
    <s v="Parfaite"/>
    <s v="CA-M-R23"/>
    <s v="PALF"/>
    <x v="1"/>
    <s v="Congo"/>
    <m/>
    <m/>
    <m/>
  </r>
  <r>
    <x v="59"/>
    <s v="P29- CONGO Ration mission du 11 au 24/03/2025 à Dolisie et Madingou (13 Nuitées)"/>
    <s v="Travel Subsistence"/>
    <s v="Investigations"/>
    <n v="130000"/>
    <n v="224.27481600839135"/>
    <n v="579.64599999999996"/>
    <s v="P29"/>
    <s v="P29-M-D1"/>
    <s v="PALF"/>
    <x v="3"/>
    <s v="Congo"/>
    <m/>
    <m/>
    <m/>
  </r>
  <r>
    <x v="59"/>
    <s v="T73 - CONGO Ration du 11 au 18/03/2025 (07nuitées) à Djambala,Lékana et NGO"/>
    <s v="Travel Subsistence"/>
    <s v="Investigations"/>
    <n v="70000"/>
    <n v="120.76336246605688"/>
    <n v="579.64599999999996"/>
    <s v="T73"/>
    <s v="T73-M-D1"/>
    <s v="PALF"/>
    <x v="3"/>
    <s v="Congo"/>
    <m/>
    <m/>
    <m/>
  </r>
  <r>
    <x v="59"/>
    <s v="achat billet : Brazzaville - Djambala/T73"/>
    <s v="Transport"/>
    <s v="Investigations"/>
    <n v="6000"/>
    <n v="10.351145354233447"/>
    <n v="579.64599999999996"/>
    <s v="T73"/>
    <s v="T73-M-R2"/>
    <s v="PALF"/>
    <x v="3"/>
    <s v="Congo"/>
    <m/>
    <m/>
    <m/>
  </r>
  <r>
    <x v="59"/>
    <s v="IT87 - CONGO Ration du 11 au 18/03/2025 à Pointe-Noire et Nkayi "/>
    <s v="Travel Subsistence"/>
    <s v="Investigations"/>
    <n v="70000"/>
    <n v="120.76336246605688"/>
    <n v="579.64599999999996"/>
    <s v="IT87"/>
    <s v="IT87-M-D1"/>
    <s v="PALF"/>
    <x v="3"/>
    <s v="Congo"/>
    <m/>
    <m/>
    <m/>
  </r>
  <r>
    <x v="59"/>
    <s v="Achat billet Brazzaville - Pointe-Noire/ IT87"/>
    <s v="Transport"/>
    <s v="Investigations"/>
    <n v="12000"/>
    <n v="20.702290708466894"/>
    <n v="579.64599999999996"/>
    <s v="IT87"/>
    <s v="IT87-M-R1"/>
    <s v="PALF"/>
    <x v="3"/>
    <s v="Congo"/>
    <m/>
    <m/>
    <m/>
  </r>
  <r>
    <x v="59"/>
    <s v="Règlement facture électricité piode Janvier-Février2025/bureau PALF"/>
    <s v="Rent &amp; Utilities"/>
    <s v="Office"/>
    <n v="72102"/>
    <n v="124.38971372182333"/>
    <n v="579.64599999999996"/>
    <s v="Roderlin"/>
    <s v="CA-M-R22"/>
    <s v="PALF"/>
    <x v="3"/>
    <s v="Congo"/>
    <m/>
    <m/>
    <m/>
  </r>
  <r>
    <x v="59"/>
    <s v="Virement fonds à CJ"/>
    <s v="Grant"/>
    <m/>
    <n v="2107400"/>
    <n v="3635.6672865852611"/>
    <n v="579.64599999999996"/>
    <s v="BCI"/>
    <s v="BQ-M-G3"/>
    <s v="PALF"/>
    <x v="4"/>
    <s v="Congo"/>
    <m/>
    <m/>
    <m/>
  </r>
  <r>
    <x v="59"/>
    <s v="Frais de virement de fonds à CJ"/>
    <s v="Bank fees"/>
    <s v="Office"/>
    <n v="24268"/>
    <n v="41.866932576089546"/>
    <n v="579.64599999999996"/>
    <s v="BCI"/>
    <s v="BQ-M-R18"/>
    <s v="PALF"/>
    <x v="3"/>
    <s v="Congo"/>
    <m/>
    <m/>
    <m/>
  </r>
  <r>
    <x v="59"/>
    <s v="Paiement congé et jours travaillés en Mars 2025/Merveille MAHANGA"/>
    <s v="Personnel"/>
    <s v="Office"/>
    <n v="398693"/>
    <n v="687.82153245256598"/>
    <n v="579.64599999999996"/>
    <s v="BCI"/>
    <s v="BQ-M-R19"/>
    <s v="PALF"/>
    <x v="1"/>
    <s v="Congo"/>
    <m/>
    <m/>
    <m/>
  </r>
  <r>
    <x v="59"/>
    <s v="Frais de virement salaire Mervielle Mars 2025"/>
    <s v="Bank fees"/>
    <s v="Office"/>
    <n v="18255"/>
    <n v="31.493359740255261"/>
    <n v="579.64599999999996"/>
    <s v="BCI"/>
    <s v="BQ-M-R20"/>
    <s v="PALF"/>
    <x v="3"/>
    <s v="Congo"/>
    <m/>
    <m/>
    <m/>
  </r>
  <r>
    <x v="60"/>
    <s v="Achat produit d'entretien lait,sucre,javel,papier toilette,sucre,café/Bureau PALF "/>
    <s v="Office Materials"/>
    <s v="Office"/>
    <n v="56550"/>
    <n v="97.559544963650239"/>
    <n v="579.64599999999996"/>
    <s v="Parfaite"/>
    <s v="CA-M-R25"/>
    <s v="PALF"/>
    <x v="3"/>
    <s v="Congo"/>
    <m/>
    <m/>
    <m/>
  </r>
  <r>
    <x v="60"/>
    <s v="Achat credit téléphonique MTN pour Donald Roméo periode du 12 au 31/03/2025"/>
    <s v="Telephone"/>
    <s v="Legal"/>
    <n v="15000"/>
    <n v="25.877863385583616"/>
    <n v="579.64599999999996"/>
    <s v="Parfaite"/>
    <s v="CA-M-R26"/>
    <s v="PALF"/>
    <x v="3"/>
    <s v="Congo"/>
    <m/>
    <m/>
    <m/>
  </r>
  <r>
    <x v="60"/>
    <s v="T73 - CONGO Frais d'hotel du 11 au 12/03/2025 (01 nuitée ) à Djambala"/>
    <s v="Travel Subsistence"/>
    <s v="Investigations"/>
    <n v="15000"/>
    <n v="25.877863385583616"/>
    <n v="579.64599999999996"/>
    <s v="T73"/>
    <s v="T73-M-R3"/>
    <s v="PALF"/>
    <x v="3"/>
    <s v="Congo"/>
    <m/>
    <m/>
    <m/>
  </r>
  <r>
    <x v="60"/>
    <s v="achat billet : Djambala - Lékana/T73"/>
    <s v="Transport"/>
    <s v="Investigations"/>
    <n v="4000"/>
    <n v="6.9007635694889649"/>
    <n v="579.64599999999996"/>
    <s v="T73"/>
    <s v="T73-M-R4"/>
    <s v="PALF"/>
    <x v="3"/>
    <s v="Congo"/>
    <m/>
    <m/>
    <m/>
  </r>
  <r>
    <x v="60"/>
    <s v="Achat eau mineral 16 Litres/Bureau"/>
    <s v="Office Materials"/>
    <s v="Office"/>
    <n v="25000"/>
    <n v="43.129772309306027"/>
    <n v="579.64599999999996"/>
    <s v="Roderlin"/>
    <s v="CA-M-R24"/>
    <s v="PALF"/>
    <x v="3"/>
    <s v="Congo"/>
    <m/>
    <m/>
    <m/>
  </r>
  <r>
    <x v="61"/>
    <s v="Frais de transfert d'argent à G12"/>
    <s v="Transfer Fees"/>
    <s v="Office"/>
    <n v="1740"/>
    <n v="3.0018321527276997"/>
    <n v="579.64599999999996"/>
    <s v="Roderlin"/>
    <s v="CA-M-R27"/>
    <s v="PALF"/>
    <x v="3"/>
    <s v="Congo"/>
    <m/>
    <m/>
    <m/>
  </r>
  <r>
    <x v="62"/>
    <s v="T73 - CONGO Frais d'hotel du 12 au 14/03/2025 (02 nuitées ) à Lékana"/>
    <s v="Travel Subsistence"/>
    <s v="Investigations"/>
    <n v="30000"/>
    <n v="51.755726771167232"/>
    <n v="579.64599999999996"/>
    <s v="T73"/>
    <s v="T73-M-R5"/>
    <s v="PALF"/>
    <x v="3"/>
    <s v="Congo"/>
    <m/>
    <m/>
    <m/>
  </r>
  <r>
    <x v="62"/>
    <s v="achat billet : Lekana - Djambala/T73"/>
    <s v="Transport"/>
    <s v="Investigations"/>
    <n v="4000"/>
    <n v="6.9007635694889649"/>
    <n v="579.64599999999996"/>
    <s v="T73"/>
    <s v="T73-M-R6"/>
    <s v="PALF"/>
    <x v="3"/>
    <s v="Congo"/>
    <m/>
    <m/>
    <m/>
  </r>
  <r>
    <x v="62"/>
    <s v="Solde honoraire contrat N°81_Owando cas MONICK François/Maitre Marie Alain BAZOUNZI"/>
    <s v="Lawyer Fees"/>
    <s v="Legal"/>
    <n v="300000"/>
    <n v="517.55726771167235"/>
    <n v="579.64599999999996"/>
    <s v="BCI"/>
    <s v="BQ-M-R21"/>
    <s v="PALF"/>
    <x v="1"/>
    <s v="Congo"/>
    <m/>
    <m/>
    <m/>
  </r>
  <r>
    <x v="62"/>
    <s v="Acompte honoraire contrat N°82_Owando cas NGASSAKI Dany et ELOMBO Levy/Maitre Marie Alain BAZOUNZI"/>
    <s v="Lawyer Fees"/>
    <s v="Legal"/>
    <n v="200000"/>
    <n v="345.03817847444822"/>
    <n v="579.64599999999996"/>
    <s v="BCI"/>
    <s v="BQ-M-R22"/>
    <s v="PALF"/>
    <x v="1"/>
    <s v="Congo"/>
    <m/>
    <m/>
    <m/>
  </r>
  <r>
    <x v="63"/>
    <s v="T73 - CONGO Frais d'hotel du 14 au 15/03/2025 (01 nuitée ) à Djambala"/>
    <s v="Travel Subsistence"/>
    <s v="Investigations"/>
    <n v="15000"/>
    <n v="25.877863385583616"/>
    <n v="579.64599999999996"/>
    <s v="T73"/>
    <s v="T73-M-R7"/>
    <s v="PALF"/>
    <x v="3"/>
    <s v="Congo"/>
    <m/>
    <m/>
    <m/>
  </r>
  <r>
    <x v="63"/>
    <s v="achat billet : Djambala - Ngo/T73"/>
    <s v="Transport"/>
    <s v="Investigations"/>
    <n v="4000"/>
    <n v="6.9007635694889649"/>
    <n v="579.64599999999996"/>
    <s v="T73"/>
    <s v="T73-M-R8"/>
    <s v="PALF"/>
    <x v="3"/>
    <s v="Congo"/>
    <m/>
    <m/>
    <m/>
  </r>
  <r>
    <x v="64"/>
    <s v="Billet: Brazzaville-Dolisie/Crépin"/>
    <s v="Transport"/>
    <s v="Legal"/>
    <n v="10000"/>
    <n v="17.251908923722411"/>
    <n v="579.64599999999996"/>
    <s v="Crépin"/>
    <s v="CR-M-R4"/>
    <s v="PALF"/>
    <x v="3"/>
    <s v="Congo"/>
    <m/>
    <m/>
    <m/>
  </r>
  <r>
    <x v="64"/>
    <s v="IT87- CONGO Frais d'hôtel du 11 au 16/03/2025 à Pointe-Noire (05 nuitées)"/>
    <s v="Travel Subsistence"/>
    <s v="Investigations"/>
    <n v="75000"/>
    <n v="129.38931692791809"/>
    <n v="579.64599999999996"/>
    <s v="IT87"/>
    <s v="IT87-M-R2"/>
    <s v="PALF"/>
    <x v="3"/>
    <s v="Congo"/>
    <m/>
    <m/>
    <m/>
  </r>
  <r>
    <x v="64"/>
    <s v="Achat billet Pointe-Noire - Nkayi/ IT87"/>
    <s v="Transport"/>
    <s v="Investigations"/>
    <n v="7000"/>
    <n v="12.076336246605688"/>
    <n v="579.64599999999996"/>
    <s v="IT87"/>
    <s v="IT87-M-R3"/>
    <s v="PALF"/>
    <x v="3"/>
    <s v="Congo"/>
    <m/>
    <m/>
    <m/>
  </r>
  <r>
    <x v="64"/>
    <s v="Achat Billet Brazzaville-Dolisie/Romain"/>
    <s v="Transport"/>
    <s v="Legal"/>
    <n v="10000"/>
    <n v="17.251908923722411"/>
    <n v="579.64599999999996"/>
    <s v="Romain"/>
    <s v="RM-M-R2"/>
    <s v="PALF"/>
    <x v="3"/>
    <s v="Congo"/>
    <m/>
    <m/>
    <m/>
  </r>
  <r>
    <x v="64"/>
    <s v="Billet Brazzaville-Dolisie/Abraham"/>
    <s v="Transport"/>
    <s v="Legal"/>
    <n v="10000"/>
    <n v="17.251908923722411"/>
    <n v="579.64599999999996"/>
    <s v="Abraham"/>
    <s v="AB-M-R3"/>
    <s v="PALF"/>
    <x v="3"/>
    <s v="Congo"/>
    <m/>
    <m/>
    <m/>
  </r>
  <r>
    <x v="64"/>
    <s v="Achat billet Brazzaville-Dolisie/Donald-Roméo"/>
    <s v="Transport"/>
    <s v="Legal"/>
    <n v="10000"/>
    <n v="17.251908923722411"/>
    <n v="579.64599999999996"/>
    <s v="Donald-Roméo"/>
    <s v="DR-M-R1"/>
    <s v="PALF"/>
    <x v="3"/>
    <s v="Congo"/>
    <m/>
    <m/>
    <m/>
  </r>
  <r>
    <x v="64"/>
    <s v="Achat billet Brazzaville-Dolisie/Evariste "/>
    <s v="Transport"/>
    <s v="Operations"/>
    <n v="10000"/>
    <n v="17.251908923722411"/>
    <n v="579.64599999999996"/>
    <s v="Evariste"/>
    <s v="EV-M-R1"/>
    <s v="PALF"/>
    <x v="3"/>
    <s v="Congo"/>
    <m/>
    <m/>
    <m/>
  </r>
  <r>
    <x v="65"/>
    <s v="CREPIN - CONGO Ration  du 17/03/ au 05/04/2025 à Dolisie(19 Nuitées)"/>
    <s v="Travel Subsistence"/>
    <s v="Operations"/>
    <n v="190000"/>
    <n v="327.78626955072582"/>
    <n v="579.64599999999996"/>
    <s v="Crépin"/>
    <s v="CR-M-D2"/>
    <s v="PALF"/>
    <x v="1"/>
    <s v="Congo"/>
    <m/>
    <m/>
    <m/>
  </r>
  <r>
    <x v="65"/>
    <s v="Frais de transfert d'argent à P29 et G12"/>
    <s v="Transfer Fees"/>
    <s v="Office"/>
    <n v="12690"/>
    <n v="21.892672424203738"/>
    <n v="579.64599999999996"/>
    <s v="Parfaite"/>
    <s v="CA-M-R28"/>
    <s v="PALF"/>
    <x v="3"/>
    <s v="Congo"/>
    <m/>
    <m/>
    <m/>
  </r>
  <r>
    <x v="65"/>
    <s v="Achat credit  teléphonique MTN/PALF/Deuxième partie du mois de Mars2025/Management"/>
    <s v="Telephone"/>
    <s v="Management"/>
    <n v="20000"/>
    <n v="34.503817847444822"/>
    <n v="579.64599999999996"/>
    <s v="Parfaite"/>
    <s v="CA-M-R29"/>
    <s v="PALF"/>
    <x v="3"/>
    <s v="Congo"/>
    <m/>
    <m/>
    <m/>
  </r>
  <r>
    <x v="65"/>
    <s v="Achat credit  teléphonique MTN/PALF/Deuxième partie du mois de Mars 2025/Legal"/>
    <s v="Telephone"/>
    <s v="Legal"/>
    <n v="30000"/>
    <n v="51.755726771167232"/>
    <n v="579.64599999999996"/>
    <s v="Parfaite"/>
    <s v="CA-M-R30"/>
    <s v="PALF"/>
    <x v="3"/>
    <s v="Congo"/>
    <m/>
    <m/>
    <m/>
  </r>
  <r>
    <x v="65"/>
    <s v="Achat credit  teléphonique MTN/PALF/Deuxième partie du mois de Mars 2025/Investigation"/>
    <s v="Telephone"/>
    <s v="Investigations"/>
    <n v="55000"/>
    <n v="94.885499080473267"/>
    <n v="579.64599999999996"/>
    <s v="Parfaite"/>
    <s v="CA-M-R31"/>
    <s v="PALF"/>
    <x v="3"/>
    <s v="Congo"/>
    <m/>
    <m/>
    <m/>
  </r>
  <r>
    <x v="65"/>
    <s v="Achat credit  teléphonique MTN/PALF/deuxième partie du mois de Mars 2025/Media"/>
    <s v="Telephone"/>
    <s v="Media"/>
    <n v="10000"/>
    <n v="17.251908923722411"/>
    <n v="579.64599999999996"/>
    <s v="Parfaite"/>
    <s v="CA-M-R32"/>
    <s v="PALF"/>
    <x v="3"/>
    <s v="Congo"/>
    <m/>
    <m/>
    <m/>
  </r>
  <r>
    <x v="65"/>
    <s v="Achat credit  teléphonique Airtel/PALF/Deuxième partie du mois de Mars 2025/Legal"/>
    <s v="Telephone"/>
    <s v="Legal"/>
    <n v="10000"/>
    <n v="17.251908923722411"/>
    <n v="579.64599999999996"/>
    <s v="Parfaite"/>
    <s v="CA-M-R33"/>
    <s v="PALF"/>
    <x v="3"/>
    <s v="Congo"/>
    <m/>
    <m/>
    <m/>
  </r>
  <r>
    <x v="65"/>
    <s v="Achat credit  teléphonique Airtel/PALF/Deuxième partie du mois de Mars 2025/Investigation"/>
    <s v="Telephone"/>
    <s v="Investigations"/>
    <n v="5000"/>
    <n v="8.6259544618612054"/>
    <n v="579.64599999999996"/>
    <s v="Parfaite"/>
    <s v="CA-M-R34"/>
    <s v="PALF"/>
    <x v="3"/>
    <s v="Congo"/>
    <m/>
    <m/>
    <m/>
  </r>
  <r>
    <x v="65"/>
    <s v="ROMAIN-CONGO: Ration du 17 au 29 mars 2025 à Dolisie et Sibiti/ 12 Nuitées"/>
    <s v="Travel Subsistence"/>
    <s v="Legal"/>
    <n v="120000"/>
    <n v="207.02290708466893"/>
    <n v="579.64599999999996"/>
    <s v="Romain"/>
    <s v="RM-M-D2"/>
    <s v="PALF"/>
    <x v="3"/>
    <s v="Congo"/>
    <m/>
    <m/>
    <m/>
  </r>
  <r>
    <x v="65"/>
    <s v="ABRAHAM - CONGO Ration du 17/03/2025 au 26/03/2025 à Dolisie (09 Nuitées) "/>
    <s v="Travel Subsistence"/>
    <s v="Operations"/>
    <n v="90000"/>
    <n v="155.26718031350171"/>
    <n v="579.64599999999996"/>
    <s v="Abraham"/>
    <s v="AB-M-D1"/>
    <s v="PALF"/>
    <x v="3"/>
    <s v="Congo"/>
    <m/>
    <m/>
    <m/>
  </r>
  <r>
    <x v="65"/>
    <s v="Ration  du  17/03/ au 05/04/2025 à Dolisie"/>
    <s v="Travel Subsistence"/>
    <s v="Legal"/>
    <n v="190000"/>
    <n v="327.78626955072582"/>
    <n v="579.64599999999996"/>
    <s v="Donald-Roméo"/>
    <s v="DR-M-D1"/>
    <s v="PALF"/>
    <x v="1"/>
    <s v="Congo"/>
    <m/>
    <m/>
    <m/>
  </r>
  <r>
    <x v="65"/>
    <s v="EVARISTE - CONGO Ration du 17 au 26 mars 2025  à Dolisie/09 Nuitées"/>
    <s v="Travel Subsistence"/>
    <s v="Operations"/>
    <n v="90000"/>
    <n v="155.26718031350171"/>
    <n v="579.64599999999996"/>
    <s v="Evariste"/>
    <s v="EV-M-D1"/>
    <s v="PALF"/>
    <x v="3"/>
    <s v="Congo"/>
    <m/>
    <m/>
    <m/>
  </r>
  <r>
    <x v="66"/>
    <s v="T73 - CONGO Frais d'hotel du 15 au 18/03/2025 (03 nuitées ) à Ngo"/>
    <s v="Travel Subsistence"/>
    <s v="Investigations"/>
    <n v="45000"/>
    <n v="77.633590156750856"/>
    <n v="579.64599999999996"/>
    <s v="T73"/>
    <s v="T73-M-R9"/>
    <s v="PALF"/>
    <x v="3"/>
    <s v="Congo"/>
    <m/>
    <m/>
    <m/>
  </r>
  <r>
    <x v="66"/>
    <s v="achat billet : Ngo - Brazzaville/T73"/>
    <s v="Transport"/>
    <s v="Investigations"/>
    <n v="6000"/>
    <n v="10.351145354233447"/>
    <n v="579.64599999999996"/>
    <s v="T73"/>
    <s v="T73-M-R10"/>
    <s v="PALF"/>
    <x v="3"/>
    <s v="Congo"/>
    <m/>
    <m/>
    <m/>
  </r>
  <r>
    <x v="66"/>
    <s v="IT87- CONGO Frais d'hôtel  du 16 au 18/03/2025 à Nkayi ( 02 nuitées)"/>
    <s v="Travel Subsistence"/>
    <s v="Investigations"/>
    <n v="30000"/>
    <n v="51.755726771167232"/>
    <n v="579.64599999999996"/>
    <s v="IT87"/>
    <s v="IT87-M-R4"/>
    <s v="PALF"/>
    <x v="1"/>
    <s v="Congo"/>
    <m/>
    <m/>
    <m/>
  </r>
  <r>
    <x v="66"/>
    <s v="Achat billet Nkayi -Brazzaville/ IT87"/>
    <s v="Transport"/>
    <s v="Investigations"/>
    <n v="7000"/>
    <n v="12.076336246605688"/>
    <n v="579.64599999999996"/>
    <s v="IT87"/>
    <s v="IT87-M-R5"/>
    <s v="PALF"/>
    <x v="1"/>
    <s v="Congo"/>
    <m/>
    <m/>
    <m/>
  </r>
  <r>
    <x v="66"/>
    <s v="Achat billet Brazzaville-Owando/Roderlin"/>
    <s v="Transport"/>
    <s v="Legal"/>
    <n v="7000"/>
    <n v="12.076336246605688"/>
    <n v="579.64599999999996"/>
    <s v="Roderlin"/>
    <s v="RO-M-R1"/>
    <s v="PALF"/>
    <x v="1"/>
    <s v="Congo"/>
    <m/>
    <m/>
    <m/>
  </r>
  <r>
    <x v="66"/>
    <s v="Frais de transport mission maitre Marie Helène à Owando du 19 au 22/03/2025 suivi audience cas EBI "/>
    <s v="Transport"/>
    <s v="Legal"/>
    <n v="21000"/>
    <n v="36.229008739817061"/>
    <n v="579.64599999999996"/>
    <s v="Roderlin"/>
    <s v="CA-M-R35"/>
    <s v="PALF"/>
    <x v="1"/>
    <s v="Congo"/>
    <m/>
    <m/>
    <m/>
  </r>
  <r>
    <x v="66"/>
    <s v="Ration et Frais d'hôtel  mission maitre Marie Helène à Owando du 19 au 22/03/2025 suivi audience cas EBI "/>
    <s v="Travel Subsistence"/>
    <s v="Legal"/>
    <n v="75000"/>
    <n v="129.38931692791809"/>
    <n v="579.64599999999996"/>
    <s v="Roderlin"/>
    <s v="CA-M-R36"/>
    <s v="PALF"/>
    <x v="1"/>
    <s v="Congo"/>
    <m/>
    <m/>
    <m/>
  </r>
  <r>
    <x v="66"/>
    <s v="Frais de transport mission à Owando de maitre Alain du 19au 21/03/2025 suivi audience à Owando"/>
    <s v="Transport"/>
    <s v="Legal"/>
    <n v="21000"/>
    <n v="36.229008739817061"/>
    <n v="579.64599999999996"/>
    <s v="Roderlin"/>
    <s v="CA-M-R37"/>
    <s v="PALF"/>
    <x v="1"/>
    <s v="Congo"/>
    <m/>
    <m/>
    <m/>
  </r>
  <r>
    <x v="66"/>
    <s v="Ration et Frais d'hôtel mission à Owando de maitre Alain du 19 au 21/03/2025 suivi audience à Owando "/>
    <s v="Travel Subsistence"/>
    <s v="Legal"/>
    <n v="50000"/>
    <n v="86.259544618612054"/>
    <n v="579.64599999999996"/>
    <s v="Roderlin"/>
    <s v="CA-M-R38"/>
    <s v="PALF"/>
    <x v="1"/>
    <s v="Congo"/>
    <m/>
    <m/>
    <m/>
  </r>
  <r>
    <x v="67"/>
    <s v="CREPIN - CONGO  Frais d'hôtel à Dolisie du 17 au 19/03/2025, 02 Nuitées"/>
    <s v="Travel Subsistence"/>
    <s v="Operations"/>
    <n v="30000"/>
    <n v="51.755726771167232"/>
    <n v="579.64599999999996"/>
    <s v="Crépin"/>
    <s v="CR-M-R5"/>
    <s v="PALF"/>
    <x v="1"/>
    <s v="Congo"/>
    <m/>
    <m/>
    <m/>
  </r>
  <r>
    <x v="67"/>
    <s v="Frais de transfert d'argent à Crepin, Evariste, Abraham, Romain et Donald-Romeo"/>
    <s v="Transfer Fees"/>
    <s v="Office"/>
    <n v="19830"/>
    <n v="34.210535395741545"/>
    <n v="579.64599999999996"/>
    <s v="Parfaite"/>
    <s v="CA-M-R39"/>
    <s v="PALF"/>
    <x v="1"/>
    <s v="Congo"/>
    <m/>
    <m/>
    <m/>
  </r>
  <r>
    <x v="67"/>
    <s v="Achat 05 Cartouche d'encre  HP Laser noire et couleur 216A"/>
    <s v="Office Materials"/>
    <s v="Office"/>
    <n v="300000"/>
    <n v="517.55726771167235"/>
    <n v="579.64599999999996"/>
    <s v="Parfaite"/>
    <s v="CA-M-R40"/>
    <s v="PALF"/>
    <x v="1"/>
    <s v="Congo"/>
    <m/>
    <m/>
    <m/>
  </r>
  <r>
    <x v="67"/>
    <s v="P29 -CONGO Frais d'hotel du 11 au 19/03/2025 à Dolisie (08 Nuitées)"/>
    <s v="Travel Subsistence"/>
    <s v="Investigations"/>
    <n v="120000"/>
    <n v="207.02290708466893"/>
    <n v="579.64599999999996"/>
    <s v="P29"/>
    <s v="P29-M-R2"/>
    <s v="PALF"/>
    <x v="1"/>
    <s v="Congo"/>
    <m/>
    <m/>
    <m/>
  </r>
  <r>
    <x v="67"/>
    <s v="Achat sim/T73"/>
    <s v="Investigation materials"/>
    <s v="Investigations"/>
    <n v="10000"/>
    <n v="17.251908923722411"/>
    <n v="579.64599999999996"/>
    <s v="T73"/>
    <s v="T73-M-R11"/>
    <s v="PALF"/>
    <x v="1"/>
    <s v="Congo"/>
    <m/>
    <m/>
    <m/>
  </r>
  <r>
    <x v="67"/>
    <s v="RODERLIN-CONGO Ration du 19 au 22/03/2025 à Owando (03 nuitées)"/>
    <s v="Travel Subsistence"/>
    <s v="Legal"/>
    <n v="30000"/>
    <n v="51.755726771167232"/>
    <n v="579.64599999999996"/>
    <s v="Roderlin"/>
    <s v="RO-M-D1"/>
    <s v="PALF"/>
    <x v="1"/>
    <s v="Congo"/>
    <m/>
    <m/>
    <m/>
  </r>
  <r>
    <x v="68"/>
    <s v="Fonds envoyés à un informateur"/>
    <s v="Trust Building"/>
    <s v="Investigations"/>
    <n v="31000"/>
    <n v="53.480917663539472"/>
    <n v="579.64599999999996"/>
    <s v="DOVI"/>
    <s v="DH-M-R3"/>
    <s v="PALF"/>
    <x v="1"/>
    <s v="Congo"/>
    <m/>
    <m/>
    <m/>
  </r>
  <r>
    <x v="68"/>
    <s v="Frais de transfert d'argent par western union à l'informateur"/>
    <s v="Transfer Fees"/>
    <s v="Office"/>
    <n v="2017"/>
    <n v="3.4797100299148105"/>
    <n v="579.64599999999996"/>
    <s v="DOVI"/>
    <s v="DH-M-R4"/>
    <s v="PALF"/>
    <x v="1"/>
    <s v="Congo"/>
    <m/>
    <m/>
    <m/>
  </r>
  <r>
    <x v="68"/>
    <s v="Achat billet Brazzaville - Mouyondzi/ IT87"/>
    <s v="Transport"/>
    <s v="Investigations"/>
    <n v="6000"/>
    <n v="10.351145354233447"/>
    <n v="579.64599999999996"/>
    <s v="IT87"/>
    <s v="IT87-M-R6"/>
    <s v="PALF"/>
    <x v="1"/>
    <s v="Congo"/>
    <m/>
    <m/>
    <m/>
  </r>
  <r>
    <x v="68"/>
    <s v="Frais de transfert d'argent à P29 et G12"/>
    <s v="Transfer Fees"/>
    <s v="Office"/>
    <n v="6320"/>
    <n v="10.903206439792564"/>
    <n v="579.64599999999996"/>
    <s v="G12"/>
    <s v="CA-M-R41"/>
    <s v="PALF"/>
    <x v="1"/>
    <s v="Congo"/>
    <m/>
    <m/>
    <m/>
  </r>
  <r>
    <x v="69"/>
    <s v="Frais de transfert d'argent à Crepin, Evariste, Abraham, Romain et Donald-Romeo"/>
    <s v="Transfer Fees"/>
    <s v="Office"/>
    <n v="14640"/>
    <n v="25.256794664329611"/>
    <n v="579.64599999999996"/>
    <s v="Parfaite"/>
    <s v="CA-M-R42"/>
    <s v="PALF"/>
    <x v="1"/>
    <s v="Congo"/>
    <m/>
    <m/>
    <m/>
  </r>
  <r>
    <x v="69"/>
    <s v="T73 - CONGO Rattion  du 21 au 28/03/2025 à Pointe-Noire,Moukondo,Banda  (07nuitées)"/>
    <s v="Travel Subsistence"/>
    <s v="Investigations"/>
    <n v="70000"/>
    <n v="120.76336246605688"/>
    <n v="579.64599999999996"/>
    <s v="T73"/>
    <s v="T73-M-D2"/>
    <s v="PALF"/>
    <x v="1"/>
    <s v="Congo"/>
    <m/>
    <m/>
    <m/>
  </r>
  <r>
    <x v="69"/>
    <s v="achat billet  Bazzaville - Pointe noire/T73"/>
    <s v="Transport"/>
    <s v="Investigations"/>
    <n v="9000"/>
    <n v="15.526718031350169"/>
    <n v="579.64599999999996"/>
    <s v="T73"/>
    <s v="T73-M-R12"/>
    <s v="PALF"/>
    <x v="1"/>
    <s v="Congo"/>
    <m/>
    <m/>
    <m/>
  </r>
  <r>
    <x v="69"/>
    <s v="IT87 - CONGO Ration  du 21 au 28/03/2025 à Mouyonzi et Bouansa "/>
    <s v="Travel Subsistence"/>
    <s v="Investigations"/>
    <n v="70000"/>
    <n v="120.76336246605688"/>
    <n v="579.64599999999996"/>
    <s v="IT87"/>
    <s v="IT87-M-D2"/>
    <s v="PALF"/>
    <x v="1"/>
    <s v="Congo"/>
    <m/>
    <m/>
    <m/>
  </r>
  <r>
    <x v="69"/>
    <s v="Achat billet Owando- Brazzaville /Roderlin"/>
    <s v="Transport"/>
    <s v="Legal"/>
    <n v="7000"/>
    <n v="12.076336246605688"/>
    <n v="579.64599999999996"/>
    <s v="Roderlin"/>
    <s v="RO-M-R2"/>
    <s v="PALF"/>
    <x v="1"/>
    <s v="Congo"/>
    <m/>
    <m/>
    <m/>
  </r>
  <r>
    <x v="70"/>
    <s v="Raffraichissement et plats pendant l'attente de l'opération"/>
    <s v="Travel Subsistence"/>
    <s v="Operations"/>
    <n v="11800"/>
    <n v="20.357252529992444"/>
    <n v="579.64599999999996"/>
    <s v="Crépin"/>
    <s v="CR-M-R6"/>
    <s v="PALF"/>
    <x v="1"/>
    <s v="Congo"/>
    <m/>
    <m/>
    <m/>
  </r>
  <r>
    <x v="70"/>
    <s v="Cumul frait de trust building du mois de Mars 2025/P29"/>
    <s v="Trust Building"/>
    <s v="Investigations"/>
    <n v="90100"/>
    <n v="155.43969940273894"/>
    <n v="579.64599999999996"/>
    <s v="P29"/>
    <s v="P29-M-D2"/>
    <s v="PALF"/>
    <x v="1"/>
    <s v="Congo"/>
    <m/>
    <m/>
    <m/>
  </r>
  <r>
    <x v="70"/>
    <s v="Location vehicule 1 pour extraction  de BS à l'aeroport/P29"/>
    <s v="Transport"/>
    <s v="Investigations"/>
    <n v="15000"/>
    <n v="25.877863385583616"/>
    <n v="579.64599999999996"/>
    <s v="P29"/>
    <s v="P29-M-R3"/>
    <s v="PALF"/>
    <x v="1"/>
    <s v="Congo"/>
    <m/>
    <m/>
    <m/>
  </r>
  <r>
    <x v="70"/>
    <s v="Location vehicule 2 pour extraction  de  l'aeroport à tsila/P29"/>
    <s v="Transport"/>
    <s v="Investigations"/>
    <n v="15000"/>
    <n v="25.877863385583616"/>
    <n v="579.64599999999996"/>
    <s v="P29"/>
    <s v="P29-M-R4"/>
    <s v="PALF"/>
    <x v="1"/>
    <s v="Congo"/>
    <m/>
    <m/>
    <m/>
  </r>
  <r>
    <x v="70"/>
    <s v="Location véhicule pour extraction Dolisie-Madingou/P29"/>
    <s v="Transport"/>
    <s v="Investigations"/>
    <n v="50000"/>
    <n v="86.259544618612054"/>
    <n v="579.64599999999996"/>
    <s v="P29"/>
    <s v="P29-M-R5"/>
    <s v="PALF"/>
    <x v="1"/>
    <s v="Congo"/>
    <m/>
    <m/>
    <m/>
  </r>
  <r>
    <x v="70"/>
    <s v="Achat billet madingou-brazzaville/P29"/>
    <s v="Transport"/>
    <s v="Investigations"/>
    <n v="7000"/>
    <n v="12.076336246605688"/>
    <n v="579.64599999999996"/>
    <s v="P29"/>
    <s v="P29-M-R6"/>
    <s v="PALF"/>
    <x v="1"/>
    <s v="Congo"/>
    <m/>
    <m/>
    <m/>
  </r>
  <r>
    <x v="70"/>
    <s v="G12 - CONGO Frais d'hotel du 07 au 22/03/2025 à Dolisie (15 Nuitées) "/>
    <s v="Travel Subsistence"/>
    <s v="Investigations"/>
    <n v="225000"/>
    <n v="388.16795078375424"/>
    <n v="579.64599999999996"/>
    <s v="G12"/>
    <s v="G12-M-R2"/>
    <s v="PALF"/>
    <x v="1"/>
    <s v="Congo"/>
    <m/>
    <m/>
    <m/>
  </r>
  <r>
    <x v="70"/>
    <s v="Achat billet Madingou - brazzaville/G12"/>
    <s v="Transport"/>
    <s v="Investigations"/>
    <n v="7000"/>
    <n v="12.076336246605688"/>
    <n v="579.64599999999996"/>
    <s v="G12"/>
    <s v="G12-M-R3"/>
    <s v="PALF"/>
    <x v="1"/>
    <s v="Congo"/>
    <m/>
    <m/>
    <m/>
  </r>
  <r>
    <x v="70"/>
    <s v="Rafraichissement en attente opération "/>
    <s v="Travel Subsistence"/>
    <s v="Operations"/>
    <n v="9600"/>
    <n v="16.561832566773514"/>
    <n v="579.64599999999996"/>
    <s v="Romain"/>
    <s v="RM-M-R3"/>
    <s v="PALF"/>
    <x v="1"/>
    <s v="Congo"/>
    <m/>
    <m/>
    <m/>
  </r>
  <r>
    <x v="70"/>
    <s v="Rafraîchissement attente OP"/>
    <s v="Travel Subsistence"/>
    <s v="Operations"/>
    <n v="8900"/>
    <n v="15.354198942112946"/>
    <n v="579.64599999999996"/>
    <s v="Abraham"/>
    <s v="AB-M-R4"/>
    <s v="PALF"/>
    <x v="1"/>
    <s v="Congo"/>
    <m/>
    <m/>
    <m/>
  </r>
  <r>
    <x v="70"/>
    <s v="RODERLIN-CONGO frais d'hôtel du 19 au 22/03/2025 à Owando (03 nuitées)"/>
    <s v="Travel Subsistence"/>
    <s v="Legal"/>
    <n v="45000"/>
    <n v="77.633590156750856"/>
    <n v="579.64599999999996"/>
    <s v="Roderlin"/>
    <s v="RO-M-R3"/>
    <s v="PALF"/>
    <x v="3"/>
    <s v="Congo"/>
    <m/>
    <m/>
    <m/>
  </r>
  <r>
    <x v="70"/>
    <s v="Achat carburant BJ OP"/>
    <s v="Transport"/>
    <s v="Operations"/>
    <n v="25000"/>
    <n v="43.129772309306027"/>
    <n v="579.64599999999996"/>
    <s v="Donald-Roméo"/>
    <s v="DR-M-R2"/>
    <s v="PALF"/>
    <x v="3"/>
    <s v="Congo"/>
    <m/>
    <m/>
    <m/>
  </r>
  <r>
    <x v="70"/>
    <s v="Raffraichissement OP  à Owando/10  gendarmes et moi"/>
    <s v="Travel Subsistence"/>
    <s v="Legal"/>
    <n v="19200"/>
    <n v="33.123665133547028"/>
    <n v="579.64599999999996"/>
    <s v="Donald-Roméo"/>
    <s v="DR-M-R3"/>
    <s v="PALF"/>
    <x v="3"/>
    <s v="Congo"/>
    <m/>
    <m/>
    <m/>
  </r>
  <r>
    <x v="70"/>
    <s v="Rafraichissement de mon équipe lors de l'opération"/>
    <s v="Travel Subsistence"/>
    <s v="Operations"/>
    <n v="9600"/>
    <n v="16.561832566773514"/>
    <n v="579.64599999999996"/>
    <s v="Evariste"/>
    <s v="EV-M-R2"/>
    <s v="PALF"/>
    <x v="3"/>
    <s v="Congo"/>
    <m/>
    <m/>
    <m/>
  </r>
  <r>
    <x v="71"/>
    <s v="P29 -CONGO Frais d'hotel du 19 au 23/03/2025 à Dolisie lieu op(P29) (04 Nuitées)"/>
    <s v="Travel Subsistence"/>
    <s v="Operations"/>
    <n v="140000"/>
    <n v="241.52672493211375"/>
    <n v="579.64599999999996"/>
    <s v="P29"/>
    <s v="P29-M-R7"/>
    <s v="PALF"/>
    <x v="3"/>
    <s v="Congo"/>
    <m/>
    <m/>
    <m/>
  </r>
  <r>
    <x v="71"/>
    <s v="P29 -CONGO Frais d'hotel du 19 au 23/03/2025 à Dolisie lieu op(Crépin) (04 Nuitées)"/>
    <s v="Travel Subsistence"/>
    <s v="Operations"/>
    <n v="140000"/>
    <n v="241.52672493211375"/>
    <n v="579.64599999999996"/>
    <s v="P29"/>
    <s v="P29-M-R8"/>
    <s v="PALF"/>
    <x v="3"/>
    <s v="Congo"/>
    <m/>
    <m/>
    <m/>
  </r>
  <r>
    <x v="72"/>
    <s v="Bonus de 18 gendarmes pour l'opération du 22/03/2025 à Dolisie"/>
    <s v="Bonus"/>
    <s v="Operations"/>
    <n v="180000"/>
    <n v="310.53436062700342"/>
    <n v="579.64599999999996"/>
    <s v="Crépin"/>
    <s v="CR-M-R7"/>
    <s v="PALF"/>
    <x v="1"/>
    <s v="Congo"/>
    <m/>
    <m/>
    <m/>
  </r>
  <r>
    <x v="72"/>
    <s v="Bonus de 02 EF pour l'opération du 22/03/2025 à Dolisie"/>
    <s v="Bonus"/>
    <s v="Operations"/>
    <n v="20000"/>
    <n v="34.503817847444822"/>
    <n v="579.64599999999996"/>
    <s v="Crépin"/>
    <s v="CR-M-R8"/>
    <s v="PALF"/>
    <x v="3"/>
    <s v="Congo"/>
    <m/>
    <m/>
    <m/>
  </r>
  <r>
    <x v="72"/>
    <s v="Frais de transfert d'argent  à crepin et IT87"/>
    <s v="Transfer Fees"/>
    <s v="Office"/>
    <n v="7780"/>
    <n v="13.421985142656036"/>
    <n v="579.64599999999996"/>
    <s v="Parfaite"/>
    <s v="CA-M-R44"/>
    <s v="PALF"/>
    <x v="1"/>
    <s v="Congo"/>
    <m/>
    <m/>
    <m/>
  </r>
  <r>
    <x v="72"/>
    <s v="Frais de transfert d'argent à  T73 par  momo"/>
    <s v="Transfer Fees"/>
    <s v="Office"/>
    <n v="6300"/>
    <n v="10.868702621945118"/>
    <n v="579.64599999999996"/>
    <s v="Parfaite"/>
    <s v="CA-M-R45"/>
    <s v="PALF"/>
    <x v="1"/>
    <s v="Congo"/>
    <m/>
    <m/>
    <m/>
  </r>
  <r>
    <x v="72"/>
    <s v="Frais de transport mission à Dolisie de maitre BANZOUZI Alain du 25/03/ au 05/04/2025 suivi audience"/>
    <s v="Transport"/>
    <s v="Legal"/>
    <n v="42000"/>
    <n v="72.458017479634123"/>
    <n v="579.64599999999996"/>
    <s v="Parfaite"/>
    <s v="CA-M-R46"/>
    <s v="PALF"/>
    <x v="3"/>
    <s v="Congo"/>
    <m/>
    <m/>
    <m/>
  </r>
  <r>
    <x v="72"/>
    <s v="P29 -CONGO Frais d'hotel du 22 au 24/03/2025 à Madingou (02 Nuitées)"/>
    <s v="Travel Subsistence"/>
    <s v="Investigations"/>
    <n v="30000"/>
    <n v="51.755726771167232"/>
    <n v="579.64599999999996"/>
    <s v="P29"/>
    <s v="P29-M-R9"/>
    <s v="PALF"/>
    <x v="3"/>
    <s v="Congo"/>
    <m/>
    <m/>
    <m/>
  </r>
  <r>
    <x v="72"/>
    <s v="Cumul frait de transport du mois de Mars 2025/P29"/>
    <s v="Transport"/>
    <s v="Investigations"/>
    <n v="68000"/>
    <n v="117.3129806813124"/>
    <n v="579.64599999999996"/>
    <s v="P29"/>
    <s v="P29-M-D3"/>
    <s v="PALF"/>
    <x v="3"/>
    <s v="Congo"/>
    <m/>
    <m/>
    <m/>
  </r>
  <r>
    <x v="72"/>
    <s v="achat billet Pointe Noire - Moukondo/T73"/>
    <s v="Transport"/>
    <s v="Investigations"/>
    <n v="5000"/>
    <n v="8.6259544618612054"/>
    <n v="579.64599999999996"/>
    <s v="T73"/>
    <s v="T73-M-R13"/>
    <s v="PALF"/>
    <x v="3"/>
    <s v="Congo"/>
    <m/>
    <m/>
    <m/>
  </r>
  <r>
    <x v="72"/>
    <s v="T73 - CONGO Frais d'hotel du 21 au 24/03/2025 (03 nuitées ) à Pointe noire"/>
    <s v="Travel Subsistence"/>
    <s v="Investigations"/>
    <n v="45000"/>
    <n v="77.633590156750856"/>
    <n v="579.64599999999996"/>
    <s v="T73"/>
    <s v="T73-M-R14"/>
    <s v="PALF"/>
    <x v="3"/>
    <s v="Congo"/>
    <m/>
    <m/>
    <m/>
  </r>
  <r>
    <x v="72"/>
    <s v="G12 - CONGO Frais d'hotel du 22 au 24/03/2025 à Madingou (02 Nuitées)"/>
    <s v="Travel Subsistence"/>
    <s v="Investigations"/>
    <n v="30000"/>
    <n v="51.755726771167232"/>
    <n v="579.64599999999996"/>
    <s v="G12"/>
    <s v="G12-M-R4"/>
    <s v="PALF"/>
    <x v="3"/>
    <s v="Congo"/>
    <m/>
    <m/>
    <m/>
  </r>
  <r>
    <x v="72"/>
    <s v="Achat produit d'entretien  et Main d'œuvre du groupe électrogène/Bureau PALF"/>
    <s v="Office Materials"/>
    <s v="Office"/>
    <n v="101000"/>
    <n v="174.24428012959635"/>
    <n v="579.64599999999996"/>
    <s v="Roderlin"/>
    <s v="CA-M-R43"/>
    <s v="PALF"/>
    <x v="3"/>
    <s v="Congo"/>
    <m/>
    <m/>
    <m/>
  </r>
  <r>
    <x v="72"/>
    <s v="Ration et frais d'hotel mission à Dolisie de maitre BANZOUZI Alain du 25/03/ au 05/04/2025 suivi audience "/>
    <s v="Travel Subsistence"/>
    <s v="Legal"/>
    <n v="275000"/>
    <n v="474.42749540236633"/>
    <n v="579.64599999999996"/>
    <s v="Roderlin"/>
    <s v="CA-M-R47"/>
    <s v="PALF"/>
    <x v="1"/>
    <s v="Congo"/>
    <m/>
    <m/>
    <m/>
  </r>
  <r>
    <x v="73"/>
    <s v="achat billet Moukondo - Banda/T73"/>
    <s v="Transport"/>
    <s v="Investigations"/>
    <n v="15000"/>
    <n v="25.877863385583616"/>
    <n v="579.64599999999996"/>
    <s v="T73"/>
    <s v="T73-M-R15"/>
    <s v="PALF"/>
    <x v="3"/>
    <s v="Congo"/>
    <m/>
    <m/>
    <m/>
  </r>
  <r>
    <x v="73"/>
    <s v="T73 - CONGO Frais d'hotel du 24 au 25/03/2025 (01nuitées) à Moukondo"/>
    <s v="Travel Subsistence"/>
    <s v="Investigations"/>
    <n v="15000"/>
    <n v="25.877863385583616"/>
    <n v="579.64599999999996"/>
    <s v="T73"/>
    <s v="T73-M-R16"/>
    <s v="PALF"/>
    <x v="3"/>
    <s v="Congo"/>
    <m/>
    <m/>
    <m/>
  </r>
  <r>
    <x v="73"/>
    <s v="achat carte sim "/>
    <s v="Investigation materials"/>
    <s v="Investigations"/>
    <n v="10000"/>
    <n v="17.251908923722411"/>
    <n v="579.64599999999996"/>
    <s v="G12"/>
    <s v="G12-M-R5"/>
    <s v="PALF"/>
    <x v="3"/>
    <s v="Congo"/>
    <m/>
    <m/>
    <m/>
  </r>
  <r>
    <x v="73"/>
    <s v="Frais de transfert d'argent à Crepin, Evariste, Abraham, Romain et Donald-Romeo"/>
    <s v="Transfer Fees"/>
    <s v="Office"/>
    <n v="11820"/>
    <n v="20.391756347839891"/>
    <n v="579.64599999999996"/>
    <s v="G12"/>
    <s v="CA-M-R48"/>
    <s v="PALF"/>
    <x v="3"/>
    <s v="Congo"/>
    <m/>
    <m/>
    <m/>
  </r>
  <r>
    <x v="74"/>
    <s v="Achat billet Dolisie-Brazzaville/Abraham"/>
    <s v="Transport"/>
    <s v="Legal"/>
    <n v="10000"/>
    <n v="17.251908923722411"/>
    <n v="579.64599999999996"/>
    <s v="Abraham"/>
    <s v="AB-M-R5"/>
    <s v="PALF"/>
    <x v="3"/>
    <s v="Congo"/>
    <m/>
    <m/>
    <m/>
  </r>
  <r>
    <x v="73"/>
    <s v="Cumul frais de Jails visits du mois de Mars 2025/Abraham"/>
    <s v="Jail visit"/>
    <s v="Legal"/>
    <n v="14000"/>
    <n v="24.152672493211377"/>
    <n v="579.64599999999996"/>
    <s v="Abraham"/>
    <s v="AB-M-D2"/>
    <s v="PALF"/>
    <x v="3"/>
    <s v="Congo"/>
    <m/>
    <m/>
    <m/>
  </r>
  <r>
    <x v="72"/>
    <s v="ABRAHAM - CONGO frais d'Hôtel (Hôtel La Gloire) du 17/03/2025 au 26/03/2025 Dolisie (09Nuitées)"/>
    <s v="Travel Subsistence"/>
    <s v="Legal"/>
    <n v="135000"/>
    <n v="232.90077047025255"/>
    <n v="579.64599999999996"/>
    <s v="Abraham"/>
    <s v="AB-M-R6"/>
    <s v="PALF"/>
    <x v="1"/>
    <s v="Congo"/>
    <m/>
    <m/>
    <m/>
  </r>
  <r>
    <x v="73"/>
    <s v="Achat carburant groupe electrogène Bureau"/>
    <s v="Office Materials"/>
    <s v="Office"/>
    <n v="25000"/>
    <n v="43.129772309306027"/>
    <n v="579.64599999999996"/>
    <s v="Roderlin"/>
    <s v="CA-M-R49"/>
    <s v="PALF"/>
    <x v="1"/>
    <s v="Congo"/>
    <m/>
    <m/>
    <m/>
  </r>
  <r>
    <x v="73"/>
    <s v="Paiement salaire du mois de Mars 2025/Homéfa DOVI/3654835"/>
    <s v="Personnel"/>
    <s v="Management"/>
    <n v="1311000"/>
    <n v="2261.725259900008"/>
    <n v="579.64599999999996"/>
    <s v="BCI"/>
    <s v="BQ-M-R23"/>
    <s v="PALF"/>
    <x v="1"/>
    <s v="Congo"/>
    <m/>
    <m/>
    <m/>
  </r>
  <r>
    <x v="73"/>
    <s v="Paiement salaire du mois de Mars 2025/BAVOUMINA NZOUSSI Dina Parfaite/365831"/>
    <s v="Personnel"/>
    <s v="Office"/>
    <n v="230000"/>
    <n v="396.79390524561546"/>
    <n v="579.64599999999996"/>
    <s v="BCI"/>
    <s v="BQ-M-R24"/>
    <s v="PALF"/>
    <x v="1"/>
    <s v="Congo"/>
    <m/>
    <m/>
    <m/>
  </r>
  <r>
    <x v="73"/>
    <s v="Paiement salaire du mois de Mars 2025/FOUMBA Roderlin/3654825"/>
    <s v="Personnel"/>
    <s v="Legal"/>
    <n v="200000"/>
    <n v="345.03817847444822"/>
    <n v="579.64599999999996"/>
    <s v="BCI"/>
    <s v="BQ-M-R25"/>
    <s v="PALF"/>
    <x v="1"/>
    <s v="Congo"/>
    <m/>
    <m/>
    <m/>
  </r>
  <r>
    <x v="73"/>
    <s v="Paiement salaire du mois de Mars 2025/BOUNGOU MAKOSSO Abraham/3654824"/>
    <s v="Personnel"/>
    <s v="Legal"/>
    <n v="200000"/>
    <n v="345.03817847444822"/>
    <n v="579.64599999999996"/>
    <s v="BCI"/>
    <s v="BQ-M-R26"/>
    <s v="PALF"/>
    <x v="1"/>
    <s v="Congo"/>
    <m/>
    <m/>
    <m/>
  </r>
  <r>
    <x v="73"/>
    <s v="Paiement salaire du mois de Mars 2025/LOUNDOU JeanRomain/3654832"/>
    <s v="Personnel"/>
    <s v="Legal"/>
    <n v="200000"/>
    <n v="345.03817847444822"/>
    <n v="579.64599999999996"/>
    <s v="BCI"/>
    <s v="BQ-M-R27"/>
    <s v="PALF"/>
    <x v="1"/>
    <s v="Congo"/>
    <m/>
    <m/>
    <m/>
  </r>
  <r>
    <x v="73"/>
    <s v="Paiement salaire du mois de Mars 2025/Crepin IBOUILI-IBOUILI"/>
    <s v="Personnel"/>
    <s v="Legal"/>
    <n v="551482"/>
    <n v="951.41172370722825"/>
    <n v="579.64599999999996"/>
    <s v="BCI"/>
    <s v="BQ-M-R28"/>
    <s v="PALF"/>
    <x v="1"/>
    <s v="Congo"/>
    <m/>
    <m/>
    <m/>
  </r>
  <r>
    <x v="73"/>
    <s v="Paiement salaire du mois de Mars 2025/Evariste LELOUSSI"/>
    <s v="Personnel"/>
    <s v="Media"/>
    <n v="238140"/>
    <n v="410.83695910952548"/>
    <n v="579.64599999999996"/>
    <s v="BCI"/>
    <s v="BQ-M-R29"/>
    <s v="PALF"/>
    <x v="1"/>
    <s v="Congo"/>
    <m/>
    <m/>
    <m/>
  </r>
  <r>
    <x v="73"/>
    <s v="Paiement salaire du mois de Mars 2025/PINDI BINGA Donald- Roméo"/>
    <s v="Personnel"/>
    <s v="Legal"/>
    <n v="193548"/>
    <n v="333.9072468368625"/>
    <n v="579.64599999999996"/>
    <s v="BCI"/>
    <s v="BQ-M-R30"/>
    <s v="PALF"/>
    <x v="1"/>
    <s v="Congo"/>
    <m/>
    <m/>
    <m/>
  </r>
  <r>
    <x v="74"/>
    <s v="Reglement prestation de nettoyage jardin PALF du mois de Février 2025"/>
    <s v="Services"/>
    <s v="Office"/>
    <n v="20000"/>
    <n v="34.503817847444822"/>
    <n v="579.64599999999996"/>
    <s v="Parfaite"/>
    <s v="CA-M-R50"/>
    <s v="PALF"/>
    <x v="1"/>
    <s v="Congo"/>
    <m/>
    <m/>
    <m/>
  </r>
  <r>
    <x v="74"/>
    <s v="IT87 - CONGO Frais d'hôtel  du 21 au 26/03/2025 à Mouyondzi (05 nuitées)"/>
    <s v="Travel Subsistence"/>
    <s v="Investigations"/>
    <n v="75000"/>
    <n v="129.38931692791809"/>
    <n v="579.64599999999996"/>
    <s v="IT87"/>
    <s v="IT87-M-R7"/>
    <s v="PALF"/>
    <x v="1"/>
    <s v="Congo"/>
    <m/>
    <m/>
    <m/>
  </r>
  <r>
    <x v="74"/>
    <s v="Achat billet Mouyondzi - Bouansa/ IT87"/>
    <s v="Transport"/>
    <s v="Investigations"/>
    <n v="3000"/>
    <n v="5.1755726771167234"/>
    <n v="579.64599999999996"/>
    <s v="IT87"/>
    <s v="IT87-M-R8"/>
    <s v="PALF"/>
    <x v="3"/>
    <s v="Congo"/>
    <m/>
    <m/>
    <m/>
  </r>
  <r>
    <x v="74"/>
    <s v="EVARISTE - CONGO Frais de l'hôtel du 17 au 26 mars 2025 à Dolisie (09 Nuitées)"/>
    <s v="Travel Subsistence"/>
    <s v="Operations"/>
    <n v="135000"/>
    <n v="232.90077047025255"/>
    <n v="579.64599999999996"/>
    <s v="Evariste"/>
    <s v="EV-M-R3"/>
    <s v="PALF"/>
    <x v="3"/>
    <s v="Congo"/>
    <m/>
    <m/>
    <m/>
  </r>
  <r>
    <x v="74"/>
    <s v="Achat Billet  Dolisie-Brazzaville/Evariste"/>
    <s v="Transport"/>
    <s v="Operations"/>
    <n v="10000"/>
    <n v="17.251908923722411"/>
    <n v="579.64599999999996"/>
    <s v="Evariste"/>
    <s v="EV-M-R4"/>
    <s v="PALF"/>
    <x v="3"/>
    <s v="Congo"/>
    <m/>
    <m/>
    <m/>
  </r>
  <r>
    <x v="74"/>
    <s v="Bonus media portant sur l'interpellation de 2 Présumés trafiquants le 22/03/205 à Dolisie"/>
    <s v="Bonus to media officer"/>
    <s v="Media"/>
    <n v="200000"/>
    <n v="345.03817847444822"/>
    <n v="579.64599999999996"/>
    <s v="Evariste"/>
    <s v="CA-M-D14"/>
    <s v="PALF"/>
    <x v="1"/>
    <s v="Congo"/>
    <m/>
    <m/>
    <m/>
  </r>
  <r>
    <x v="74"/>
    <s v="Frais de virement salaire du mois de Mars 2025"/>
    <s v="Bank fees"/>
    <s v="Office"/>
    <n v="52635"/>
    <n v="90.805422620012905"/>
    <n v="579.64599999999996"/>
    <s v="BCI"/>
    <s v="BQ-M-R32"/>
    <s v="PALF"/>
    <x v="3"/>
    <s v="Congo"/>
    <m/>
    <m/>
    <m/>
  </r>
  <r>
    <x v="75"/>
    <s v="T73 - CONGO Frais d'hotel du 25 au 27/03/20225 (02 nuitées) à Banda"/>
    <s v="Travel Subsistence"/>
    <s v="Investigations"/>
    <n v="30000"/>
    <n v="51.755726771167232"/>
    <n v="579.64599999999996"/>
    <s v="T73"/>
    <s v="T73-M-R17"/>
    <s v="PALF"/>
    <x v="3"/>
    <s v="Congo"/>
    <m/>
    <m/>
    <m/>
  </r>
  <r>
    <x v="75"/>
    <s v="achat billet/T73 : Banda - Loudima/T73"/>
    <s v="Transport"/>
    <s v="Investigations"/>
    <n v="15000"/>
    <n v="25.877863385583616"/>
    <n v="579.64599999999996"/>
    <s v="T73"/>
    <s v="T73-M-R18"/>
    <s v="PALF"/>
    <x v="3"/>
    <s v="Congo"/>
    <m/>
    <m/>
    <m/>
  </r>
  <r>
    <x v="75"/>
    <s v="Cumul frais de trust building du mois de Mars 2025/T73"/>
    <s v="Trust Building"/>
    <s v="Investigations"/>
    <n v="18000"/>
    <n v="31.053436062700339"/>
    <n v="579.64599999999996"/>
    <s v="T73"/>
    <s v="T73-M-D3"/>
    <s v="PALF"/>
    <x v="3"/>
    <s v="Congo"/>
    <m/>
    <m/>
    <m/>
  </r>
  <r>
    <x v="75"/>
    <s v="Achat du Billet Dolisie-Sibiti/Romain"/>
    <s v="Transport"/>
    <s v="Legal"/>
    <n v="8000"/>
    <n v="13.80152713897793"/>
    <n v="579.64599999999996"/>
    <s v="Romain"/>
    <s v="RM-M-R4"/>
    <s v="PALF"/>
    <x v="3"/>
    <s v="Congo"/>
    <m/>
    <m/>
    <m/>
  </r>
  <r>
    <x v="75"/>
    <s v="Frais d'impression de la procédure de la gendarmerie"/>
    <s v="Office Materials"/>
    <s v="Operations"/>
    <n v="28400"/>
    <n v="48.995421343371646"/>
    <n v="579.64599999999996"/>
    <s v="Donald-Roméo"/>
    <s v="DR-M-R4"/>
    <s v="PALF"/>
    <x v="3"/>
    <s v="Congo"/>
    <m/>
    <m/>
    <m/>
  </r>
  <r>
    <x v="76"/>
    <s v="ramassage Ordure du mois de Mars 2025/Bureau PALF"/>
    <s v="Services"/>
    <s v="Office"/>
    <n v="8000"/>
    <n v="13.80152713897793"/>
    <n v="579.64599999999996"/>
    <s v="Parfaite"/>
    <s v="CA-M-R51"/>
    <s v="PALF"/>
    <x v="3"/>
    <s v="Congo"/>
    <m/>
    <m/>
    <m/>
  </r>
  <r>
    <x v="76"/>
    <s v="Reglement prestation de nettoyage Bureau PALF du mois de Mars 2025"/>
    <s v="Services"/>
    <s v="Office"/>
    <n v="75625"/>
    <n v="130.46756123565072"/>
    <n v="579.64599999999996"/>
    <s v="Parfaite"/>
    <s v="CA-M-R53"/>
    <s v="PALF"/>
    <x v="3"/>
    <s v="Congo"/>
    <m/>
    <m/>
    <m/>
  </r>
  <r>
    <x v="76"/>
    <s v="T73 - CONGO Frais d'hotel du 24 au 25/03/2025 (01nuitées) à Loudima"/>
    <s v="Travel Subsistence"/>
    <s v="Investigations"/>
    <n v="15000"/>
    <n v="25.877863385583616"/>
    <n v="579.64599999999996"/>
    <s v="T73"/>
    <s v="T73-M-R19"/>
    <s v="PALF"/>
    <x v="3"/>
    <s v="Congo"/>
    <m/>
    <m/>
    <m/>
  </r>
  <r>
    <x v="76"/>
    <s v="achat billet Loudima - Brazzaville/T73"/>
    <s v="Transport"/>
    <s v="Investigations"/>
    <n v="7000"/>
    <n v="12.076336246605688"/>
    <n v="579.64599999999996"/>
    <s v="T73"/>
    <s v="T73-M-R20"/>
    <s v="PALF"/>
    <x v="1"/>
    <s v="Congo"/>
    <m/>
    <m/>
    <m/>
  </r>
  <r>
    <x v="76"/>
    <s v="IT87 - CONGO Frais d'hôtel du 26 au 28/03/2025 à Bouansa (02 nuitées)"/>
    <s v="Travel Subsistence"/>
    <s v="Investigations"/>
    <n v="30000"/>
    <n v="51.755726771167232"/>
    <n v="579.64599999999996"/>
    <s v="IT87"/>
    <s v="IT87-M-R9"/>
    <s v="PALF"/>
    <x v="1"/>
    <s v="Congo"/>
    <m/>
    <m/>
    <m/>
  </r>
  <r>
    <x v="76"/>
    <s v="Achat billet Bouansa - Brazzaville/ IT87"/>
    <s v="Transport"/>
    <s v="Investigations"/>
    <n v="7000"/>
    <n v="12.076336246605688"/>
    <n v="579.64599999999996"/>
    <s v="IT87"/>
    <s v="IT87-M-R10"/>
    <s v="PALF"/>
    <x v="1"/>
    <s v="Congo"/>
    <m/>
    <m/>
    <m/>
  </r>
  <r>
    <x v="76"/>
    <s v="Cumul frais de Jails visists du mois de Mars 2025/Romain"/>
    <s v="Jail visit"/>
    <s v="Legal"/>
    <n v="41500"/>
    <n v="71.595422033448003"/>
    <n v="579.64599999999996"/>
    <s v="Romain"/>
    <s v="RM-M-D3"/>
    <s v="PALF"/>
    <x v="1"/>
    <s v="Congo"/>
    <m/>
    <m/>
    <m/>
  </r>
  <r>
    <x v="76"/>
    <s v="Cumul frais de transport local du mois de Mars 2025/Abraham"/>
    <s v="Transport"/>
    <s v="Legal"/>
    <n v="35500"/>
    <n v="61.244276679214558"/>
    <n v="579.64599999999996"/>
    <s v="Abraham"/>
    <s v="AB-M-D3"/>
    <s v="PALF"/>
    <x v="1"/>
    <s v="Congo"/>
    <m/>
    <m/>
    <m/>
  </r>
  <r>
    <x v="76"/>
    <s v="Frais de transfert d'argent  à crepin et Donald-Roméo"/>
    <s v="Transfer Fees"/>
    <s v="Office"/>
    <n v="8825"/>
    <n v="15.224809625185028"/>
    <n v="579.64599999999996"/>
    <s v="Abraham"/>
    <s v="CA-M-R52"/>
    <s v="PALF"/>
    <x v="1"/>
    <s v="Congo"/>
    <m/>
    <m/>
    <m/>
  </r>
  <r>
    <x v="76"/>
    <s v="Cumul frais de Jails visits du mois de Mars 2025/Donald-Romeo"/>
    <s v="Jail visit"/>
    <s v="Legal"/>
    <n v="4000"/>
    <n v="6.9007635694889649"/>
    <n v="579.64599999999996"/>
    <s v="Donald-Roméo"/>
    <s v="DR-M-D2"/>
    <s v="PALF"/>
    <x v="1"/>
    <s v="Congo"/>
    <m/>
    <m/>
    <m/>
  </r>
  <r>
    <x v="76"/>
    <s v="Cumul frais de transport local du mois de Mars  2025 /Evariste "/>
    <s v="Transport"/>
    <s v="Media"/>
    <n v="43650"/>
    <n v="75.304582452048322"/>
    <n v="579.64599999999996"/>
    <s v="Evariste"/>
    <s v="EV-M-D2"/>
    <s v="PALF"/>
    <x v="1"/>
    <s v="Congo"/>
    <m/>
    <m/>
    <m/>
  </r>
  <r>
    <x v="76"/>
    <s v="Bonus media portant sur l'interpellation de 2 Présumés trafiquants le 22/03/205 à Dolisie"/>
    <s v="Bonus to media officer"/>
    <s v="Media"/>
    <n v="154000"/>
    <n v="265.67939742532513"/>
    <n v="579.64599999999996"/>
    <s v="Evariste"/>
    <s v="CA-M-D15"/>
    <s v="PALF"/>
    <x v="1"/>
    <s v="Congo"/>
    <m/>
    <m/>
    <m/>
  </r>
  <r>
    <x v="76"/>
    <s v="Reglement honoraire du mois de Mars 2025/P29/3654837"/>
    <s v="Personnel"/>
    <s v="Investigations"/>
    <n v="500000"/>
    <n v="862.59544618612051"/>
    <n v="579.64599999999996"/>
    <s v="BCI"/>
    <s v="BQ-M-R33"/>
    <s v="PALF"/>
    <x v="1"/>
    <s v="Congo"/>
    <m/>
    <m/>
    <m/>
  </r>
  <r>
    <x v="76"/>
    <s v="Reglement honoraire du mois de Mars 2025/G12/3654833"/>
    <s v="Personnel"/>
    <s v="Investigations"/>
    <n v="375000"/>
    <n v="646.94658463959047"/>
    <n v="579.64599999999996"/>
    <s v="BCI"/>
    <s v="BQ-M-R34"/>
    <s v="PALF"/>
    <x v="1"/>
    <s v="Congo"/>
    <m/>
    <m/>
    <m/>
  </r>
  <r>
    <x v="77"/>
    <s v="Bonus pour 12 Policiers ayant effectué le transferèment de Moussa Grâce de Mossendjo à Dolisie"/>
    <s v="Bonus"/>
    <s v="Operations"/>
    <n v="120000"/>
    <n v="207.02290708466893"/>
    <n v="579.64599999999996"/>
    <s v="Crépin"/>
    <s v="CR-M-R9"/>
    <s v="PALF"/>
    <x v="1"/>
    <s v="Congo"/>
    <m/>
    <m/>
    <m/>
  </r>
  <r>
    <x v="77"/>
    <s v="Ration pour 12 policiers moyennant 5000 par policier ayant effectué le transferèment de Mossendjo à Dolisie"/>
    <s v="Travel Subsistence"/>
    <s v="Operations"/>
    <n v="60000"/>
    <n v="103.51145354233446"/>
    <n v="579.64599999999996"/>
    <s v="Crépin"/>
    <s v="CR-M-R10"/>
    <s v="PALF"/>
    <x v="1"/>
    <s v="Congo"/>
    <m/>
    <m/>
    <m/>
  </r>
  <r>
    <x v="77"/>
    <s v="Carburant aller de la BJ Mossendjo-Dolisie pour le transferèment"/>
    <s v="Transport"/>
    <s v="Operations"/>
    <n v="46875"/>
    <n v="80.868323079948809"/>
    <n v="579.64599999999996"/>
    <s v="Crépin"/>
    <s v="CR-M-R11"/>
    <s v="PALF"/>
    <x v="1"/>
    <s v="Congo"/>
    <m/>
    <m/>
    <m/>
  </r>
  <r>
    <x v="77"/>
    <s v="Carburant retour de la BJ Dolisie-Mossendjo apès le transferèment"/>
    <s v="Transport"/>
    <s v="Operations"/>
    <n v="46875"/>
    <n v="80.868323079948809"/>
    <n v="579.64599999999996"/>
    <s v="Crépin"/>
    <s v="CR-M-R12"/>
    <s v="PALF"/>
    <x v="1"/>
    <s v="Congo"/>
    <m/>
    <m/>
    <m/>
  </r>
  <r>
    <x v="77"/>
    <s v="Cumul frais de transport local du mois de Mars 2025/CREPIN"/>
    <s v="Transport"/>
    <s v="Legal"/>
    <n v="40000"/>
    <n v="69.007635694889643"/>
    <n v="579.64599999999996"/>
    <s v="Crépin"/>
    <s v="CR-M-D3"/>
    <s v="PALF"/>
    <x v="1"/>
    <s v="Congo"/>
    <m/>
    <m/>
    <m/>
  </r>
  <r>
    <x v="77"/>
    <s v="Cumul frais de transport local du mois de Mars 2025/T73"/>
    <s v="Transport"/>
    <s v="Investigations"/>
    <n v="83200"/>
    <n v="143.53588224537046"/>
    <n v="579.64599999999996"/>
    <s v="T73"/>
    <s v="T73-M-D4"/>
    <s v="PALF"/>
    <x v="1"/>
    <s v="Congo"/>
    <m/>
    <m/>
    <m/>
  </r>
  <r>
    <x v="75"/>
    <s v="ROMAIN - CONGO Frais d'hotel du 17/03/ au 27/03/2025 à Dolisie (10 nuitées)"/>
    <s v="Travel Subsistence"/>
    <s v="Legal"/>
    <n v="150000"/>
    <n v="258.77863385583618"/>
    <n v="579.64599999999996"/>
    <s v="Romain"/>
    <s v="RM-M-R5"/>
    <s v="PALF"/>
    <x v="1"/>
    <s v="Congo"/>
    <m/>
    <m/>
    <m/>
  </r>
  <r>
    <x v="77"/>
    <s v="ROMAIN - CONGO Frais d'hotel du 27/03/ au 29/03/2025 à Sibiti(02 nuitées)"/>
    <s v="Travel Subsistence"/>
    <s v="Legal"/>
    <n v="30000"/>
    <n v="51.755726771167232"/>
    <n v="579.64599999999996"/>
    <s v="Romain"/>
    <s v="RM-M-R6"/>
    <s v="PALF"/>
    <x v="1"/>
    <s v="Congo"/>
    <m/>
    <m/>
    <m/>
  </r>
  <r>
    <x v="77"/>
    <s v="Billet SIBITI- Nkayi/Romain "/>
    <s v="Transport"/>
    <s v="Legal"/>
    <n v="6000"/>
    <n v="10.351145354233447"/>
    <n v="579.64599999999996"/>
    <s v="Romain"/>
    <s v="RM-M-R7"/>
    <s v="PALF"/>
    <x v="1"/>
    <s v="Congo"/>
    <m/>
    <m/>
    <m/>
  </r>
  <r>
    <x v="77"/>
    <s v="Billet Nkayi-Brazzaville/Romain"/>
    <s v="Transport"/>
    <s v="Legal"/>
    <n v="7000"/>
    <n v="12.076336246605688"/>
    <n v="579.64599999999996"/>
    <s v="Romain"/>
    <s v="RM-M-R8"/>
    <s v="PALF"/>
    <x v="1"/>
    <s v="Congo"/>
    <m/>
    <m/>
    <m/>
  </r>
  <r>
    <x v="77"/>
    <s v="Cumul frais de transport local du mois de Mars 2025/Romain "/>
    <s v="Transport"/>
    <s v="Legal"/>
    <n v="49400"/>
    <n v="85.224430083188707"/>
    <n v="579.64599999999996"/>
    <s v="Romain"/>
    <s v="RM-M-D4"/>
    <s v="PALF"/>
    <x v="1"/>
    <s v="Congo"/>
    <m/>
    <m/>
    <m/>
  </r>
  <r>
    <x v="78"/>
    <s v="Cumul frais de transport local du mois de Mars 2025/DOVI"/>
    <s v="Transport"/>
    <s v="Management"/>
    <n v="61000"/>
    <n v="105.2366444347067"/>
    <n v="579.64599999999996"/>
    <s v="DOVI"/>
    <s v="DH-M-D1"/>
    <s v="PALF"/>
    <x v="1"/>
    <s v="Congo"/>
    <m/>
    <m/>
    <m/>
  </r>
  <r>
    <x v="78"/>
    <s v="Cumul frais de transfert local du mois de Mars 2025/Parfaite"/>
    <s v="Transport"/>
    <s v="Office"/>
    <n v="35500"/>
    <n v="61.244276679214558"/>
    <n v="579.64599999999996"/>
    <s v="Parfaite"/>
    <s v="P-M-D1"/>
    <s v="PALF"/>
    <x v="1"/>
    <s v="Congo"/>
    <m/>
    <m/>
    <m/>
  </r>
  <r>
    <x v="78"/>
    <s v="Reglement facture internet periode du 01/04 au 30/04/2025 bureau PALF"/>
    <s v="Internet"/>
    <s v="Office"/>
    <n v="45050"/>
    <n v="77.719849701369469"/>
    <n v="579.64599999999996"/>
    <s v="Parfaite"/>
    <s v="CA-M-R54"/>
    <s v="PALF"/>
    <x v="1"/>
    <s v="Congo"/>
    <m/>
    <m/>
    <m/>
  </r>
  <r>
    <x v="78"/>
    <s v="Cumul frais de trust building du mois de Mars 2025/IT87"/>
    <s v="Trust Building"/>
    <s v="Investigations"/>
    <n v="30100"/>
    <n v="51.928245860404459"/>
    <n v="579.64599999999996"/>
    <s v="IT87"/>
    <s v="IT87-M-D3"/>
    <s v="PALF"/>
    <x v="1"/>
    <s v="Congo"/>
    <m/>
    <m/>
    <m/>
  </r>
  <r>
    <x v="78"/>
    <s v="Cumul frais de transport local du mois de Mars 2025/IT87"/>
    <s v="Transport"/>
    <s v="Investigations"/>
    <n v="89800"/>
    <n v="154.92214213502726"/>
    <n v="579.64599999999996"/>
    <s v="IT87"/>
    <s v="IT87-M-D4"/>
    <s v="PALF"/>
    <x v="1"/>
    <s v="Congo"/>
    <m/>
    <m/>
    <m/>
  </r>
  <r>
    <x v="78"/>
    <s v="Cumul transport local du mois de Mars 2025/G12"/>
    <s v="Transport"/>
    <s v="Investigations"/>
    <n v="50500"/>
    <n v="87.122140064798174"/>
    <n v="579.64599999999996"/>
    <s v="G12"/>
    <s v="G12-M-D3"/>
    <s v="PALF"/>
    <x v="1"/>
    <s v="Congo"/>
    <m/>
    <m/>
    <m/>
  </r>
  <r>
    <x v="78"/>
    <s v="Cumul frais de transport local du mois de Mars 2025/Roderlin "/>
    <s v="Transport"/>
    <s v="Legal"/>
    <n v="53000"/>
    <n v="91.435117295728773"/>
    <n v="579.64599999999996"/>
    <s v="Roderlin"/>
    <s v="RO-M-D2"/>
    <s v="PALF"/>
    <x v="1"/>
    <s v="Congo"/>
    <m/>
    <m/>
    <m/>
  </r>
  <r>
    <x v="78"/>
    <s v="Frais de transfert d'argent à Crepin, Me Alain et Donald-Romeo"/>
    <s v="Transfer Fees"/>
    <s v="Office"/>
    <n v="16890"/>
    <n v="29.138474172167154"/>
    <n v="579.64599999999996"/>
    <s v="Roderlin"/>
    <s v="CA-M-R55"/>
    <s v="PALF"/>
    <x v="1"/>
    <s v="Congo"/>
    <m/>
    <m/>
    <m/>
  </r>
  <r>
    <x v="78"/>
    <s v="Cumul frais de transport local du mois de Mars 2025/Donald-Romeo"/>
    <s v="Transport"/>
    <s v="Legal"/>
    <n v="33000"/>
    <n v="56.931299448283958"/>
    <n v="579.64599999999996"/>
    <s v="Donald-Roméo"/>
    <s v="DR-M-D3"/>
    <s v="PALF"/>
    <x v="1"/>
    <s v="Congo"/>
    <m/>
    <m/>
    <m/>
  </r>
  <r>
    <x v="78"/>
    <s v="Reglement honoraire du mois de Mars 2025/T73/3654829"/>
    <s v="Personnel"/>
    <s v="Investigations"/>
    <n v="255000"/>
    <n v="439.92367755492148"/>
    <n v="579.64599999999996"/>
    <s v="BCI"/>
    <s v="BQ-M-R35"/>
    <s v="PALF"/>
    <x v="1"/>
    <s v="Congo"/>
    <m/>
    <m/>
    <m/>
  </r>
  <r>
    <x v="78"/>
    <s v="Reglement honoraire du mois de Mars 2025/IT87/3654827"/>
    <s v="Personnel"/>
    <s v="Investigations"/>
    <n v="255000"/>
    <n v="439.92367755492148"/>
    <n v="579.64599999999996"/>
    <s v="BCI"/>
    <s v="BQ-M-R36"/>
    <s v="PALF"/>
    <x v="1"/>
    <s v="Congo"/>
    <m/>
    <m/>
    <m/>
  </r>
  <r>
    <x v="79"/>
    <s v="Paiement  frais d'inscription et mensuel de la formation en informatique"/>
    <s v="Training"/>
    <s v="Team Building"/>
    <n v="28000"/>
    <n v="48.305344986422753"/>
    <n v="579.64599999999996"/>
    <s v="G12"/>
    <s v="G12-A-R1"/>
    <s v="PALF"/>
    <x v="1"/>
    <s v="Congo"/>
    <m/>
    <m/>
    <m/>
  </r>
  <r>
    <x v="79"/>
    <s v="Achat billet Brazzaville-Owando/ Roderlin"/>
    <s v="Transport"/>
    <s v="Legal"/>
    <n v="7000"/>
    <n v="12.076336246605688"/>
    <n v="579.64599999999996"/>
    <s v="Roderlin"/>
    <s v="RO-A-R1"/>
    <s v="PALF"/>
    <x v="1"/>
    <s v="Congo"/>
    <m/>
    <m/>
    <m/>
  </r>
  <r>
    <x v="79"/>
    <s v="Frais de transport mission Maitre Hélene à Owando du 02 au 04/04/2025"/>
    <s v="Transport"/>
    <s v="Legal"/>
    <n v="21000"/>
    <n v="36.229008739817061"/>
    <n v="579.64599999999996"/>
    <s v="Roderlin"/>
    <s v="CA-A-R1"/>
    <s v="PALF"/>
    <x v="1"/>
    <s v="Congo"/>
    <m/>
    <m/>
    <m/>
  </r>
  <r>
    <x v="79"/>
    <s v="Ration et frais d'hotel mission maitre Hélene à Owando du 02au 04/04/2025"/>
    <s v="Travel Subsistence"/>
    <s v="Legal"/>
    <n v="50000"/>
    <n v="86.259544618612054"/>
    <n v="579.64599999999996"/>
    <s v="Roderlin"/>
    <s v="CA-A-R2"/>
    <s v="PALF"/>
    <x v="1"/>
    <s v="Congo"/>
    <m/>
    <m/>
    <m/>
  </r>
  <r>
    <x v="79"/>
    <s v="Reglement Facture Gardiennage Mois de Mars 2025/3654828"/>
    <s v="Services"/>
    <s v="Office"/>
    <n v="260000"/>
    <n v="448.54963201678271"/>
    <n v="579.64599999999996"/>
    <s v="BCI"/>
    <s v="BQ-A-R16"/>
    <s v="PALF"/>
    <x v="1"/>
    <s v="Congo"/>
    <m/>
    <m/>
    <m/>
  </r>
  <r>
    <x v="80"/>
    <s v="Achat credit  teléphonique MTN/PALF/Première partie du mois d'Avril 2025/Investigation"/>
    <s v="Telephone"/>
    <s v="Investigations"/>
    <n v="88000"/>
    <n v="151.81679852875723"/>
    <n v="579.64599999999996"/>
    <s v="Parfaite"/>
    <s v="CA-A-R5"/>
    <s v="PALF"/>
    <x v="1"/>
    <s v="Congo"/>
    <m/>
    <m/>
    <m/>
  </r>
  <r>
    <x v="80"/>
    <s v="Achat credit  teléphonique MTN/PALF/Première partie du mois d'Avril 2025/Media"/>
    <s v="Telephone"/>
    <s v="Media"/>
    <n v="10000"/>
    <n v="17.251908923722411"/>
    <n v="579.64599999999996"/>
    <s v="Parfaite"/>
    <s v="CA-A-R6"/>
    <s v="PALF"/>
    <x v="1"/>
    <s v="Congo"/>
    <m/>
    <m/>
    <m/>
  </r>
  <r>
    <x v="80"/>
    <s v="Achat credit  teléphonique Airtel/PALF/Première partie du mois d'Avril 2025/Legal"/>
    <s v="Telephone"/>
    <s v="Legal"/>
    <n v="10000"/>
    <n v="17.251908923722411"/>
    <n v="579.64599999999996"/>
    <s v="Parfaite"/>
    <s v="CA-A-R7"/>
    <s v="PALF"/>
    <x v="1"/>
    <s v="Congo"/>
    <m/>
    <m/>
    <m/>
  </r>
  <r>
    <x v="80"/>
    <s v="Achat credit  teléphonique Airtel/PALF/Première partie du mois d'Avril 2025/Investigation"/>
    <s v="Telephone"/>
    <s v="Investigations"/>
    <n v="16000"/>
    <n v="27.603054277955859"/>
    <n v="579.64599999999996"/>
    <s v="Parfaite"/>
    <s v="CA-A-R8"/>
    <s v="PALF"/>
    <x v="1"/>
    <s v="Congo"/>
    <m/>
    <m/>
    <m/>
  </r>
  <r>
    <x v="80"/>
    <s v="Achat credit  teléphonique Airtel/PALF/Première partie du mois d'Avril 2025/Media"/>
    <s v="Telephone"/>
    <s v="Media"/>
    <n v="11000"/>
    <n v="18.977099816094654"/>
    <n v="579.64599999999996"/>
    <s v="Parfaite"/>
    <s v="CA-A-R9"/>
    <s v="PALF"/>
    <x v="1"/>
    <s v="Congo"/>
    <m/>
    <m/>
    <m/>
  </r>
  <r>
    <x v="80"/>
    <s v="Roderlin-CONGO Ration du 02 au 04/04/2025 à Owando "/>
    <s v="Travel Subsistence"/>
    <s v="Legal"/>
    <n v="20000"/>
    <n v="34.503817847444822"/>
    <n v="579.64599999999996"/>
    <s v="Roderlin"/>
    <s v="RO-A-D1"/>
    <s v="PALF"/>
    <x v="1"/>
    <s v="Congo"/>
    <m/>
    <m/>
    <m/>
  </r>
  <r>
    <x v="80"/>
    <s v="Achat credit  teléphonique MTN/PALF/Première partie du mois d'Avril 2025/Management"/>
    <s v="Telephone"/>
    <s v="Management"/>
    <n v="42000"/>
    <n v="72.052412983844818"/>
    <n v="582.90899999999999"/>
    <s v="Parfaite"/>
    <s v="CA-A-R3"/>
    <s v="PALF"/>
    <x v="5"/>
    <s v="Congo"/>
    <m/>
    <m/>
    <m/>
  </r>
  <r>
    <x v="80"/>
    <s v="RAPATRIEME01100NRAO00010782"/>
    <s v="Grant"/>
    <m/>
    <m/>
    <n v="0"/>
    <n v="582.90859999999998"/>
    <s v="BCI"/>
    <s v="BQ-A-G1"/>
    <s v="PALF"/>
    <x v="5"/>
    <s v="Congo"/>
    <n v="17487258"/>
    <n v="30000"/>
    <m/>
  </r>
  <r>
    <x v="80"/>
    <s v="Achat credit  teléphonique MTN/PALF/Première partie du mois d'Avril 2025/Legal"/>
    <s v="Telephone"/>
    <s v="Legal"/>
    <n v="95000"/>
    <n v="162.97569603488711"/>
    <n v="582.90899999999999"/>
    <s v="Parfaite"/>
    <s v="CA-A-R4"/>
    <s v="PALF"/>
    <x v="5"/>
    <s v="Congo"/>
    <m/>
    <m/>
    <m/>
  </r>
  <r>
    <x v="81"/>
    <s v="Paiement frais de formation mensuel/formation en anglais"/>
    <s v="Training"/>
    <s v="Team Building"/>
    <n v="50000"/>
    <n v="86.259544618612054"/>
    <n v="579.64599999999996"/>
    <s v="T73"/>
    <s v="T73-A-R1"/>
    <s v="PALF"/>
    <x v="3"/>
    <s v="Congo"/>
    <m/>
    <m/>
    <m/>
  </r>
  <r>
    <x v="81"/>
    <s v="Achat billet Brazzaville-Madingou/P29"/>
    <s v="Transport"/>
    <s v="Investigations"/>
    <n v="7000"/>
    <n v="12.00873549730747"/>
    <n v="582.90899999999999"/>
    <s v="P29"/>
    <s v="P29-A-R1"/>
    <s v="PALF"/>
    <x v="5"/>
    <s v="Congo"/>
    <m/>
    <m/>
    <m/>
  </r>
  <r>
    <x v="81"/>
    <s v="Achat billet Brazzaville - Madingou/ IT87"/>
    <s v="Transport"/>
    <s v="Investigations"/>
    <n v="7000"/>
    <n v="12.076336246605688"/>
    <n v="579.64599999999996"/>
    <s v="IT87"/>
    <s v="IT87-A-R1"/>
    <s v="PALF"/>
    <x v="3"/>
    <s v="Congo"/>
    <m/>
    <m/>
    <m/>
  </r>
  <r>
    <x v="82"/>
    <s v="Achat billet Owando- Brazzaville / Roderlin"/>
    <s v="Transport"/>
    <s v="Legal"/>
    <n v="7000"/>
    <n v="12.076336246605688"/>
    <n v="579.64599999999996"/>
    <s v="Roderlin"/>
    <s v="RO-A-R2"/>
    <s v="PALF"/>
    <x v="3"/>
    <s v="Congo"/>
    <m/>
    <m/>
    <m/>
  </r>
  <r>
    <x v="82"/>
    <s v="P29 - CONGO Ration  du 04 au 18/04/2025 à Madingou (14Nuitées)"/>
    <s v="Travel Subsistence"/>
    <s v="Investigations"/>
    <n v="140000"/>
    <n v="241.52672493211375"/>
    <n v="579.64599999999996"/>
    <s v="P29"/>
    <s v="P29-A-D1"/>
    <s v="PALF"/>
    <x v="3"/>
    <s v="Congo"/>
    <m/>
    <m/>
    <m/>
  </r>
  <r>
    <x v="82"/>
    <s v="IT87-CONGO Ration du 04 au 18/04/2025 à Madingou"/>
    <s v="Travel Subsistence"/>
    <s v="Investigations"/>
    <n v="140000"/>
    <n v="241.52672493211375"/>
    <n v="579.64599999999996"/>
    <s v="IT87"/>
    <s v="IT87-A-D1"/>
    <s v="PALF"/>
    <x v="3"/>
    <s v="Congo"/>
    <m/>
    <m/>
    <m/>
  </r>
  <r>
    <x v="82"/>
    <s v="Roderlin-CONGO frais d'hôtel du 02 au 04/04/2025 à Owando (02 nuitées)"/>
    <s v="Travel Subsistence"/>
    <s v="Legal"/>
    <n v="30000"/>
    <n v="51.755726771167232"/>
    <n v="579.64599999999996"/>
    <s v="Roderlin"/>
    <s v="RO-A-R3"/>
    <s v="PALF"/>
    <x v="3"/>
    <s v="Congo"/>
    <m/>
    <m/>
    <m/>
  </r>
  <r>
    <x v="82"/>
    <s v="Bonus media portant sur l'interpellation de 2 Présumés trafiquants le 04/04/205 à Dolisie"/>
    <s v="Bonus to media officer"/>
    <s v="Media"/>
    <n v="122000"/>
    <n v="210.47328886941341"/>
    <n v="579.64599999999996"/>
    <s v="Evariste"/>
    <s v="CA-A-D1"/>
    <s v="PALF"/>
    <x v="3"/>
    <s v="Congo"/>
    <m/>
    <m/>
    <m/>
  </r>
  <r>
    <x v="83"/>
    <s v="Achat billet Dolisie-Brazzaville/ Donald-Roméo"/>
    <s v="Transport "/>
    <s v="Legal"/>
    <n v="10000"/>
    <n v="17.251908923722411"/>
    <n v="579.64599999999996"/>
    <s v="Donald-Roméo"/>
    <s v="DR-A-R1"/>
    <s v="PALF"/>
    <x v="3"/>
    <s v="Congo"/>
    <m/>
    <m/>
    <m/>
  </r>
  <r>
    <x v="83"/>
    <s v="CREPIN -CONGO Fais l'hôtel du 22/03/ au 05/04/2025 à Dolisie (14 nuitées)"/>
    <s v="Travel Subsistence"/>
    <s v="Legal"/>
    <n v="210000"/>
    <n v="360.26206491922409"/>
    <n v="582.90899999999999"/>
    <s v="Crépin"/>
    <s v="CR-A-R1"/>
    <s v="PALF"/>
    <x v="5"/>
    <s v="Congo"/>
    <m/>
    <m/>
    <m/>
  </r>
  <r>
    <x v="83"/>
    <s v="Achat billet Dolisie-Brazzaville/Crépin"/>
    <s v="Transport"/>
    <s v="Legal"/>
    <n v="10000"/>
    <n v="17.155336424724958"/>
    <n v="582.90899999999999"/>
    <s v="Crépin"/>
    <s v="CR-A-R2"/>
    <s v="PALF"/>
    <x v="5"/>
    <s v="Congo"/>
    <m/>
    <m/>
    <m/>
  </r>
  <r>
    <x v="83"/>
    <s v="Cumul frais de trust building du mois d'Avril 2025/IT87"/>
    <s v="Trust Building"/>
    <s v="Investigations"/>
    <n v="10500"/>
    <n v="18.013103245961204"/>
    <n v="582.90899999999999"/>
    <s v="IT87"/>
    <s v="IT87-A-D2"/>
    <s v="PALF"/>
    <x v="5"/>
    <s v="Congo"/>
    <m/>
    <m/>
    <m/>
  </r>
  <r>
    <x v="83"/>
    <s v="DONALD ROMEO- CONGO Frais d'hôtel  du 17/03/ au 05/04/2025 à Dolisie (19 Nuitées)"/>
    <s v="Travel Subsistence"/>
    <s v="Legal"/>
    <n v="285000"/>
    <n v="488.92708810466127"/>
    <n v="582.90899999999999"/>
    <s v="Donald-Roméo"/>
    <s v="DR-A-R2"/>
    <s v="PALF"/>
    <x v="5"/>
    <s v="Congo"/>
    <m/>
    <m/>
    <m/>
  </r>
  <r>
    <x v="84"/>
    <s v="Bonus du mois de Mars 2025/Crepin"/>
    <s v="Personnel"/>
    <s v="Legal"/>
    <n v="30000"/>
    <n v="51.466009274174873"/>
    <n v="582.90899999999999"/>
    <s v="Parfaite"/>
    <s v="CA-A-D2"/>
    <s v="PALF"/>
    <x v="5"/>
    <s v="Congo"/>
    <m/>
    <m/>
    <m/>
  </r>
  <r>
    <x v="84"/>
    <s v="Bonus operation du 22/03/2025 à Dolisie/Crepin"/>
    <s v="Bonus"/>
    <s v="Operations"/>
    <n v="40000"/>
    <n v="68.62134569889983"/>
    <n v="582.90899999999999"/>
    <s v="Parfaite"/>
    <s v="CA-A-D3"/>
    <s v="PALF"/>
    <x v="5"/>
    <s v="Congo"/>
    <m/>
    <m/>
    <m/>
  </r>
  <r>
    <x v="85"/>
    <s v="Règlement loyer du mois d'Avril 2025/DOVI/Coordinateur PALF"/>
    <s v="Personnel"/>
    <s v="Management"/>
    <n v="174625"/>
    <n v="299.57506231675956"/>
    <n v="582.90899999999999"/>
    <s v="DOVI"/>
    <s v="DH-A-R1"/>
    <s v="PALF"/>
    <x v="5"/>
    <s v="Congo"/>
    <m/>
    <m/>
    <m/>
  </r>
  <r>
    <x v="85"/>
    <s v="Bonus à un informateur en RDC"/>
    <s v="Trust Building"/>
    <s v="Investigations"/>
    <n v="67051"/>
    <n v="115.02824626142331"/>
    <n v="582.90899999999999"/>
    <s v="DOVI"/>
    <s v="CA-A-R10"/>
    <s v="PALF"/>
    <x v="5"/>
    <s v="Congo"/>
    <m/>
    <m/>
    <m/>
  </r>
  <r>
    <x v="85"/>
    <s v="Bonus du mois de Mars 2025/Parfaite"/>
    <s v="Personnel"/>
    <s v="Management"/>
    <n v="30000"/>
    <n v="51.466009274174873"/>
    <n v="582.90899999999999"/>
    <s v="Parfaite"/>
    <s v="CA-A-D4"/>
    <s v="PALF"/>
    <x v="5"/>
    <s v="Congo"/>
    <m/>
    <m/>
    <m/>
  </r>
  <r>
    <x v="85"/>
    <s v="Bonus du mois de Mars 2025/Romain"/>
    <s v="Personnel"/>
    <s v="Legal"/>
    <n v="30000"/>
    <n v="51.466009274174873"/>
    <n v="582.90899999999999"/>
    <s v="Parfaite"/>
    <s v="CA-A-D5"/>
    <s v="PALF"/>
    <x v="5"/>
    <s v="Congo"/>
    <m/>
    <m/>
    <m/>
  </r>
  <r>
    <x v="85"/>
    <s v="Bonus du mois de Mars 2025/Donal-Roméo"/>
    <s v="Personnel"/>
    <s v="Legal"/>
    <n v="20500"/>
    <n v="35.168439670686162"/>
    <n v="582.90899999999999"/>
    <s v="Parfaite"/>
    <s v="CA-A-D6"/>
    <s v="PALF"/>
    <x v="5"/>
    <s v="Congo"/>
    <m/>
    <m/>
    <m/>
  </r>
  <r>
    <x v="85"/>
    <s v="Bonus du mois de Mars 2025/Abraham"/>
    <s v="Personnel"/>
    <s v="Legal"/>
    <n v="30000"/>
    <n v="51.466009274174873"/>
    <n v="582.90899999999999"/>
    <s v="Parfaite"/>
    <s v="CA-A-D7"/>
    <s v="PALF"/>
    <x v="5"/>
    <s v="Congo"/>
    <m/>
    <m/>
    <m/>
  </r>
  <r>
    <x v="85"/>
    <s v="Bonus du mois de Mars 2025/Roderlin"/>
    <s v="Personnel"/>
    <s v="Legal"/>
    <n v="30000"/>
    <n v="51.466009274174873"/>
    <n v="582.90899999999999"/>
    <s v="Parfaite"/>
    <s v="CA-A-D8"/>
    <s v="PALF"/>
    <x v="5"/>
    <s v="Congo"/>
    <m/>
    <m/>
    <m/>
  </r>
  <r>
    <x v="85"/>
    <s v="Bonus du mois de Mars 2025/Evariste"/>
    <s v="Personnel"/>
    <s v="Media"/>
    <n v="30000"/>
    <n v="51.466009274174873"/>
    <n v="582.90899999999999"/>
    <s v="Parfaite"/>
    <s v="CA-A-D9"/>
    <s v="PALF"/>
    <x v="5"/>
    <s v="Congo"/>
    <m/>
    <m/>
    <m/>
  </r>
  <r>
    <x v="85"/>
    <s v="Bonus opération du 22/03/2025 à Dolisie/Donald-Roméo"/>
    <s v="Bonus"/>
    <s v="Operations"/>
    <n v="30000"/>
    <n v="51.466009274174873"/>
    <n v="582.90899999999999"/>
    <s v="Parfaite"/>
    <s v="CA-A-D10"/>
    <s v="PALF"/>
    <x v="5"/>
    <s v="Congo"/>
    <m/>
    <m/>
    <m/>
  </r>
  <r>
    <x v="85"/>
    <s v="Bonus opération du 22/03/2025 à Dolisie/Romain"/>
    <s v="Bonus"/>
    <s v="Operations"/>
    <n v="25000"/>
    <n v="42.88834106181239"/>
    <n v="582.90899999999999"/>
    <s v="Parfaite"/>
    <s v="CA-A-D11"/>
    <s v="PALF"/>
    <x v="5"/>
    <s v="Congo"/>
    <m/>
    <m/>
    <m/>
  </r>
  <r>
    <x v="85"/>
    <s v="Bonus opération du 22/03/2025 à Dolisie/Abraham"/>
    <s v="Bonus"/>
    <s v="Operations"/>
    <n v="25000"/>
    <n v="42.88834106181239"/>
    <n v="582.90899999999999"/>
    <s v="Parfaite"/>
    <s v="CA-A-D12"/>
    <s v="PALF"/>
    <x v="5"/>
    <s v="Congo"/>
    <m/>
    <m/>
    <m/>
  </r>
  <r>
    <x v="85"/>
    <s v="Bonus opération du 22/03/2025 à Dolisie/Evariste"/>
    <s v="Bonus"/>
    <s v="Operations"/>
    <n v="25000"/>
    <n v="42.88834106181239"/>
    <n v="582.90899999999999"/>
    <s v="Parfaite"/>
    <s v="CA-A-D13"/>
    <s v="PALF"/>
    <x v="5"/>
    <s v="Congo"/>
    <m/>
    <m/>
    <m/>
  </r>
  <r>
    <x v="85"/>
    <s v="Achat billet  Brazzaville - Ewo/T73"/>
    <s v="Transport"/>
    <s v="Investigations"/>
    <n v="9000"/>
    <n v="15.439802782252462"/>
    <n v="582.90899999999999"/>
    <s v="T73"/>
    <s v="T73-A-R2"/>
    <s v="PALF"/>
    <x v="5"/>
    <s v="Congo"/>
    <m/>
    <m/>
    <m/>
  </r>
  <r>
    <x v="85"/>
    <s v="T73-CONGO Ration du 08 au 15/04/2025 à Ewo, Boundji et Oyo (07nuitées)"/>
    <s v="Travel Subsistence"/>
    <s v="Investigations"/>
    <n v="70000"/>
    <n v="120.0873549730747"/>
    <n v="582.90899999999999"/>
    <s v="T73"/>
    <s v="T73-A-D1"/>
    <s v="PALF"/>
    <x v="5"/>
    <s v="Congo"/>
    <m/>
    <m/>
    <m/>
  </r>
  <r>
    <x v="85"/>
    <s v="Achat billet Brazzaville - Pointe Noire/G12"/>
    <s v="Transport"/>
    <s v="Investigations"/>
    <n v="10000"/>
    <n v="17.155336424724958"/>
    <n v="582.90899999999999"/>
    <s v="G12"/>
    <s v="G12-A-R2"/>
    <s v="PALF"/>
    <x v="5"/>
    <s v="Congo"/>
    <m/>
    <m/>
    <m/>
  </r>
  <r>
    <x v="85"/>
    <s v="G12-CONGO Ration du 08 au 15/04/2025 à Pointe-Noire, Madingo kayes et Nzassi"/>
    <s v="Travel Subsistence"/>
    <s v="Investigations"/>
    <n v="70000"/>
    <n v="120.0873549730747"/>
    <n v="582.90899999999999"/>
    <s v="G12"/>
    <s v="G12-A-D1"/>
    <s v="PALF"/>
    <x v="5"/>
    <s v="Congo"/>
    <m/>
    <m/>
    <m/>
  </r>
  <r>
    <x v="85"/>
    <s v="Achat billet Brazzaville-Pointe Noire/Romain"/>
    <s v="Transport"/>
    <s v="Legal"/>
    <n v="12000"/>
    <n v="20.586403709669948"/>
    <n v="582.90899999999999"/>
    <s v="Romain"/>
    <s v="RM-A-R1"/>
    <s v="PALF"/>
    <x v="5"/>
    <s v="Congo"/>
    <m/>
    <m/>
    <m/>
  </r>
  <r>
    <x v="85"/>
    <s v="Frais de transfert Bonus à un informateur en RDC"/>
    <s v="Transfer Fees"/>
    <s v="Office"/>
    <n v="4363"/>
    <n v="7.4848732821074986"/>
    <n v="582.90899999999999"/>
    <s v="Roderlin"/>
    <s v="CA-A-R11"/>
    <s v="PALF"/>
    <x v="5"/>
    <s v="Congo"/>
    <m/>
    <m/>
    <m/>
  </r>
  <r>
    <x v="85"/>
    <s v="Frais de transfert d'argent à P29 et IT87"/>
    <s v="Transfer Fees"/>
    <s v="Office"/>
    <n v="12600"/>
    <n v="21.615723895153447"/>
    <n v="582.90899999999999"/>
    <s v="Roderlin"/>
    <s v="CA-A-R12"/>
    <s v="PALF"/>
    <x v="5"/>
    <s v="Congo"/>
    <m/>
    <m/>
    <m/>
  </r>
  <r>
    <x v="85"/>
    <s v="Achat billet Brazzaville- Pointe Noire/ Donald-Roméo"/>
    <s v="Transport "/>
    <s v="Legal"/>
    <n v="12000"/>
    <n v="20.586403709669948"/>
    <n v="582.90899999999999"/>
    <s v="Donald-Roméo"/>
    <s v="DR-A-R3"/>
    <s v="PALF"/>
    <x v="5"/>
    <s v="Congo"/>
    <m/>
    <m/>
    <m/>
  </r>
  <r>
    <x v="85"/>
    <s v="Paiement Honoraire Me LOCKO/Mois de Mars 2025/3654840"/>
    <s v="Lawyer Fees"/>
    <s v="Legal"/>
    <n v="150000"/>
    <n v="257.33004637087436"/>
    <n v="579.64599999999996"/>
    <s v="BCI"/>
    <s v="BQ-A-R1"/>
    <s v="PALF"/>
    <x v="1"/>
    <s v="Congo"/>
    <m/>
    <m/>
    <m/>
  </r>
  <r>
    <x v="85"/>
    <s v="Acompte honoraire contrat n°83 Dolisie cas NDOHO et NGOMA/ Maître BANZOUZI Alain/3654850"/>
    <s v="Lawyer Fees"/>
    <s v="Legal"/>
    <n v="200000"/>
    <n v="343.10672849449912"/>
    <n v="579.64599999999996"/>
    <s v="BCI"/>
    <s v="BQ-A-R2"/>
    <s v="PALF"/>
    <x v="1"/>
    <s v="Congo"/>
    <m/>
    <m/>
    <m/>
  </r>
  <r>
    <x v="86"/>
    <s v="Bonus du mois de Mars 2025/Merveille"/>
    <s v="Personnel"/>
    <s v="Office"/>
    <n v="31500"/>
    <n v="54.039309737883613"/>
    <n v="582.90899999999999"/>
    <s v="Parfaite"/>
    <s v="CA-A-D14"/>
    <s v="PALF"/>
    <x v="5"/>
    <s v="Congo"/>
    <m/>
    <m/>
    <m/>
  </r>
  <r>
    <x v="86"/>
    <s v="Romain- CONGO  Ration du 09 au 18/04/2025 à Pointe Noire,  Madingou"/>
    <s v="Travel Subsistence"/>
    <s v="Legal"/>
    <n v="90000"/>
    <n v="154.39802782252463"/>
    <n v="582.90899999999999"/>
    <s v="Romain"/>
    <s v="RM-A-D1"/>
    <s v="PALF"/>
    <x v="5"/>
    <s v="Congo"/>
    <m/>
    <m/>
    <m/>
  </r>
  <r>
    <x v="86"/>
    <s v="Achat eau mineral 16 LITRES/Bureau"/>
    <s v="Office Materials"/>
    <s v="Office"/>
    <n v="25000"/>
    <n v="42.88834106181239"/>
    <n v="582.90899999999999"/>
    <s v="Abraham"/>
    <s v="CA-A-R13"/>
    <s v="PALF"/>
    <x v="5"/>
    <s v="Congo"/>
    <m/>
    <m/>
    <m/>
  </r>
  <r>
    <x v="86"/>
    <s v="Frais de transport mission Maitre Alain à Sibiti du 10 au 12/04/2025"/>
    <s v="Transport"/>
    <s v="Legal"/>
    <n v="36000"/>
    <n v="61.759211129009849"/>
    <n v="582.90899999999999"/>
    <s v="Abraham"/>
    <s v="CA-A-R14"/>
    <s v="PALF"/>
    <x v="5"/>
    <s v="Congo"/>
    <m/>
    <m/>
    <m/>
  </r>
  <r>
    <x v="86"/>
    <s v="Ration et frais d'hôtel mission maitre Alain à Sibiti du 10 au 12/04/2025"/>
    <s v="Travel Subsistence"/>
    <s v="Legal"/>
    <n v="50000"/>
    <n v="85.776682123624781"/>
    <n v="582.90899999999999"/>
    <s v="Abraham"/>
    <s v="CA-A-R15"/>
    <s v="PALF"/>
    <x v="5"/>
    <s v="Congo"/>
    <m/>
    <m/>
    <m/>
  </r>
  <r>
    <x v="86"/>
    <s v="Achat billet Brazzaville-Loudima / Roderlin"/>
    <s v="Transport"/>
    <s v="Legal"/>
    <n v="8000"/>
    <n v="13.724269139779965"/>
    <n v="582.90899999999999"/>
    <s v="Roderlin"/>
    <s v="RO-A-R4"/>
    <s v="PALF"/>
    <x v="5"/>
    <s v="Congo"/>
    <m/>
    <m/>
    <m/>
  </r>
  <r>
    <x v="86"/>
    <s v="DONALD ROMEO-CONGO Ration  du  09 au 18/04/2025 à Pointe-Noire et Madingou"/>
    <s v="Travel Subsistence"/>
    <s v="Legal"/>
    <n v="90000"/>
    <n v="154.39802782252463"/>
    <n v="582.90899999999999"/>
    <s v="Donald-Roméo"/>
    <s v="DR-A-D1"/>
    <s v="PALF"/>
    <x v="5"/>
    <s v="Congo"/>
    <m/>
    <m/>
    <m/>
  </r>
  <r>
    <x v="87"/>
    <s v="Achat billet Brazzaville-Madingou/Crépin"/>
    <s v="Transport"/>
    <s v="Legal"/>
    <n v="7000"/>
    <n v="12.00873549730747"/>
    <n v="582.90899999999999"/>
    <s v="Crépin"/>
    <s v="CR-A-R3"/>
    <s v="PALF"/>
    <x v="5"/>
    <s v="Congo"/>
    <m/>
    <m/>
    <m/>
  </r>
  <r>
    <x v="87"/>
    <s v="Cumul frais de jail visit du mois d'Avril 2025/Romain"/>
    <s v="Jail visit"/>
    <s v="Legal"/>
    <n v="2000"/>
    <n v="3.4310672849449912"/>
    <n v="582.90899999999999"/>
    <s v="Romain"/>
    <s v="RM-A-D2"/>
    <s v="PALF"/>
    <x v="5"/>
    <s v="Congo"/>
    <m/>
    <m/>
    <m/>
  </r>
  <r>
    <x v="87"/>
    <s v="Achat  billet Pointe Noire-Madingou/Romain"/>
    <s v="Transport"/>
    <s v="Legal"/>
    <n v="7000"/>
    <n v="12.00873549730747"/>
    <n v="582.90899999999999"/>
    <s v="Romain"/>
    <s v="RM-A-R2"/>
    <s v="PALF"/>
    <x v="5"/>
    <s v="Congo"/>
    <m/>
    <m/>
    <m/>
  </r>
  <r>
    <x v="87"/>
    <s v="Achat billet Loudima-Sibiti/ Roderlin"/>
    <s v="Transport"/>
    <s v="Legal"/>
    <n v="4000"/>
    <n v="6.8621345698899825"/>
    <n v="582.90899999999999"/>
    <s v="Roderlin"/>
    <s v="RO-A-R5"/>
    <s v="PALF"/>
    <x v="5"/>
    <s v="Congo"/>
    <m/>
    <m/>
    <m/>
  </r>
  <r>
    <x v="87"/>
    <s v="Roderlin-CONGO Ration du 10 au 18/04/2025 à Sibiti et Madingou "/>
    <s v="Travel Subsistence"/>
    <s v="Legal"/>
    <n v="80000"/>
    <n v="137.24269139779966"/>
    <n v="582.90899999999999"/>
    <s v="Roderlin"/>
    <s v="RO-A-D2"/>
    <s v="PALF"/>
    <x v="5"/>
    <s v="Congo"/>
    <m/>
    <m/>
    <m/>
  </r>
  <r>
    <x v="87"/>
    <s v="Achat billet Pointe Noire- Madingou/ Donald-Roméo"/>
    <s v="Transport "/>
    <s v="Legal"/>
    <n v="7000"/>
    <n v="12.00873549730747"/>
    <n v="582.90899999999999"/>
    <s v="Donald-Roméo"/>
    <s v="DR-A-R4"/>
    <s v="PALF"/>
    <x v="5"/>
    <s v="Congo"/>
    <m/>
    <m/>
    <m/>
  </r>
  <r>
    <x v="87"/>
    <s v="Achat billet Brazzaville-Madingou/Evariste"/>
    <s v="Transport"/>
    <s v="Media"/>
    <n v="7000"/>
    <n v="12.00873549730747"/>
    <n v="582.90899999999999"/>
    <s v="Evariste"/>
    <s v="EV-A-R1"/>
    <s v="PALF"/>
    <x v="5"/>
    <s v="Congo"/>
    <m/>
    <m/>
    <m/>
  </r>
  <r>
    <x v="87"/>
    <s v="Frais de transfert d'argent à P29 et IT87"/>
    <s v="Transfer Fees"/>
    <s v="Office"/>
    <n v="5130"/>
    <n v="8.8006875858839031"/>
    <n v="582.90899999999999"/>
    <s v="Evariste"/>
    <s v="CA-A-R16"/>
    <s v="PALF"/>
    <x v="5"/>
    <s v="Congo"/>
    <m/>
    <m/>
    <m/>
  </r>
  <r>
    <x v="88"/>
    <s v="CREPIN-CONGO Ration du 11 au 18/04/2025 à Madingou"/>
    <s v="Travel Subsistence"/>
    <s v="Legal"/>
    <n v="70000"/>
    <n v="120.0873549730747"/>
    <n v="582.90899999999999"/>
    <s v="Crépin"/>
    <s v="CR-A-D1"/>
    <s v="PALF"/>
    <x v="5"/>
    <s v="Congo"/>
    <m/>
    <m/>
    <m/>
  </r>
  <r>
    <x v="88"/>
    <s v="Achat credit téléphonique pour P29/Appel trust à l'international"/>
    <s v="Telephone"/>
    <s v="Investigations"/>
    <n v="15000"/>
    <n v="25.733004637087436"/>
    <n v="582.90899999999999"/>
    <s v="Parfaite"/>
    <s v="CA-A-R18"/>
    <s v="PALF"/>
    <x v="5"/>
    <s v="Congo"/>
    <m/>
    <m/>
    <m/>
  </r>
  <r>
    <x v="88"/>
    <s v="T73 - CONGO Frais d'hotel du 08 au 11/04/2025 à Ewo (03nuitées) "/>
    <s v="Travel Subsistence"/>
    <s v="Investigations"/>
    <n v="45000"/>
    <n v="77.199013911262313"/>
    <n v="582.90899999999999"/>
    <s v="T73"/>
    <s v="T73-A-R3"/>
    <s v="PALF"/>
    <x v="5"/>
    <s v="Congo"/>
    <m/>
    <m/>
    <m/>
  </r>
  <r>
    <x v="88"/>
    <s v="Achat billet  Ewo - Oyo/T73"/>
    <s v="Transport"/>
    <s v="Investigations"/>
    <n v="8000"/>
    <n v="13.724269139779965"/>
    <n v="582.90899999999999"/>
    <s v="T73"/>
    <s v="T73-A-R4"/>
    <s v="PALF"/>
    <x v="5"/>
    <s v="Congo"/>
    <m/>
    <m/>
    <m/>
  </r>
  <r>
    <x v="88"/>
    <s v="G12-CONGO Frais d'hotel du 08 au 11/04/2025 à Pointe Noire (03 Nuitées)"/>
    <s v="Travel Subsistence"/>
    <s v="Investigations"/>
    <n v="45000"/>
    <n v="77.199013911262313"/>
    <n v="582.90899999999999"/>
    <s v="G12"/>
    <s v="G12-A-R3"/>
    <s v="PALF"/>
    <x v="5"/>
    <s v="Congo"/>
    <m/>
    <m/>
    <m/>
  </r>
  <r>
    <x v="88"/>
    <s v="Achat billet  Pointe Noire - Madingo kayes/G12"/>
    <s v="Transport"/>
    <s v="Investigations"/>
    <n v="5000"/>
    <n v="8.5776682123624788"/>
    <n v="582.90899999999999"/>
    <s v="G12"/>
    <s v="G12-A-R4"/>
    <s v="PALF"/>
    <x v="5"/>
    <s v="Congo"/>
    <m/>
    <m/>
    <m/>
  </r>
  <r>
    <x v="88"/>
    <s v="Romain-CONGO Frais  d'Hôtel du 09 au 11/04/2025 à Pointe-Noire (02 nuitées)"/>
    <s v="Travel Subsistence"/>
    <s v="Legal"/>
    <n v="30000"/>
    <n v="51.466009274174873"/>
    <n v="582.90899999999999"/>
    <s v="Romain"/>
    <s v="RM-A-R3"/>
    <s v="PALF"/>
    <x v="5"/>
    <s v="Congo"/>
    <m/>
    <m/>
    <m/>
  </r>
  <r>
    <x v="88"/>
    <s v="Frais de transfert d'argent à Romain, Donald, Roderlin,  P29 et IT87"/>
    <s v="Transfer Fees"/>
    <s v="Office"/>
    <n v="14710"/>
    <n v="25.235499880770412"/>
    <n v="582.90899999999999"/>
    <s v="Abraham"/>
    <s v="CA-A-R17"/>
    <s v="PALF"/>
    <x v="5"/>
    <s v="Congo"/>
    <m/>
    <m/>
    <m/>
  </r>
  <r>
    <x v="88"/>
    <s v="Cumul frais de jail visit du mois d'Avril 2025/Roderlin"/>
    <s v="Jail visit"/>
    <s v="Legal"/>
    <n v="6000"/>
    <n v="10.293201854834974"/>
    <n v="582.90899999999999"/>
    <s v="Roderlin"/>
    <s v="RO-A-D3"/>
    <s v="PALF"/>
    <x v="5"/>
    <s v="Congo"/>
    <m/>
    <m/>
    <m/>
  </r>
  <r>
    <x v="88"/>
    <s v="DONALD ROMEO-CONGO Frais d'hôtel du 09 au 11/04/2025 à Pointe-Noire (02 Nuitées)"/>
    <s v="Travel Subsistence"/>
    <s v="Legal"/>
    <n v="30000"/>
    <n v="51.466009274174873"/>
    <n v="582.90899999999999"/>
    <s v="Donald-Roméo"/>
    <s v="DR-A-R5"/>
    <s v="PALF"/>
    <x v="5"/>
    <s v="Congo"/>
    <m/>
    <m/>
    <m/>
  </r>
  <r>
    <x v="88"/>
    <s v="Evariste-CONGO Ration du 11 au 18 Avril 2025 à Madingou"/>
    <s v="Travel Subsistence"/>
    <s v="Media"/>
    <n v="70000"/>
    <n v="120.0873549730747"/>
    <n v="582.90899999999999"/>
    <s v="Evariste"/>
    <s v="EV-A-D1"/>
    <s v="PALF"/>
    <x v="5"/>
    <s v="Congo"/>
    <m/>
    <m/>
    <m/>
  </r>
  <r>
    <x v="89"/>
    <s v="Roderlin-CONGO frais d'hôtel du 10 au 12/04/2025 à Sibiti (02 nuitées)"/>
    <s v="Travel Subsistence"/>
    <s v="Legal"/>
    <n v="30000"/>
    <n v="51.466009274174873"/>
    <n v="582.90899999999999"/>
    <s v="Roderlin"/>
    <s v="RO-A-R6"/>
    <s v="PALF"/>
    <x v="5"/>
    <s v="Congo"/>
    <m/>
    <m/>
    <m/>
  </r>
  <r>
    <x v="89"/>
    <s v="Achat billet Sibiti-Nkayi/ Roderlin"/>
    <s v="Transport"/>
    <s v="Legal"/>
    <n v="5000"/>
    <n v="8.5776682123624788"/>
    <n v="582.90899999999999"/>
    <s v="Roderlin"/>
    <s v="RO-A-R7"/>
    <s v="PALF"/>
    <x v="5"/>
    <s v="Congo"/>
    <m/>
    <m/>
    <m/>
  </r>
  <r>
    <x v="89"/>
    <s v="Achat billet Nkayi-Madingou/Roderlin"/>
    <s v="Transport"/>
    <s v="Legal"/>
    <n v="2000"/>
    <n v="3.4310672849449912"/>
    <n v="582.90899999999999"/>
    <s v="Roderlin"/>
    <s v="RO-A-R8"/>
    <s v="PALF"/>
    <x v="5"/>
    <s v="Congo"/>
    <m/>
    <m/>
    <m/>
  </r>
  <r>
    <x v="90"/>
    <s v="CREPIN-CONGO Frais l'hôtel  du 11 au 13/04/2025 à Madingou(02 Nuitées)"/>
    <s v="Travel Subsistence"/>
    <s v="Legal"/>
    <n v="30000"/>
    <n v="51.466009274174873"/>
    <n v="582.90899999999999"/>
    <s v="Crépin"/>
    <s v="CR-A-R4"/>
    <s v="PALF"/>
    <x v="5"/>
    <s v="Congo"/>
    <m/>
    <m/>
    <m/>
  </r>
  <r>
    <x v="90"/>
    <s v="P29 -CONGO Frais d'hotel du 04 au 13/04/2025 à Madingou (09 Nuitées)"/>
    <s v="Travel Subsistence"/>
    <s v="Investigations"/>
    <n v="135000"/>
    <n v="231.59704173378694"/>
    <n v="582.90899999999999"/>
    <s v="P29"/>
    <s v="P29-A-R2"/>
    <s v="PALF"/>
    <x v="5"/>
    <s v="Congo"/>
    <m/>
    <m/>
    <m/>
  </r>
  <r>
    <x v="90"/>
    <s v="T73 - CONGO Frais d'hotel du 11 au 13/04/20225 à Oyo (02 nuitées) "/>
    <s v="Travel Subsistence"/>
    <s v="Investigations"/>
    <n v="30000"/>
    <n v="51.466009274174873"/>
    <n v="582.90899999999999"/>
    <s v="T73"/>
    <s v="T73-A-R5"/>
    <s v="PALF"/>
    <x v="5"/>
    <s v="Congo"/>
    <m/>
    <m/>
    <m/>
  </r>
  <r>
    <x v="90"/>
    <s v="Achat billet  Oyo - Boundji /T73"/>
    <s v="Transport"/>
    <s v="Investigations"/>
    <n v="5000"/>
    <n v="8.5776682123624788"/>
    <n v="582.90899999999999"/>
    <s v="T73"/>
    <s v="T73-A-R6"/>
    <s v="PALF"/>
    <x v="5"/>
    <s v="Congo"/>
    <m/>
    <m/>
    <m/>
  </r>
  <r>
    <x v="90"/>
    <s v="G12-CONGO frais d'hotel du 11 au 13 /04/2025 à Madingo kayes (02 Nuitées) "/>
    <s v="Travel Subsistence"/>
    <s v="Investigations"/>
    <n v="30000"/>
    <n v="51.466009274174873"/>
    <n v="582.90899999999999"/>
    <s v="G12"/>
    <s v="G12-A-R5"/>
    <s v="PALF"/>
    <x v="5"/>
    <s v="Congo"/>
    <m/>
    <m/>
    <m/>
  </r>
  <r>
    <x v="90"/>
    <s v="Achat billet  Madingo kayes - Nzassi/G12"/>
    <s v="Transport"/>
    <s v="Investigations"/>
    <n v="8000"/>
    <n v="13.724269139779965"/>
    <n v="582.90899999999999"/>
    <s v="G12"/>
    <s v="G12-A-R6"/>
    <s v="PALF"/>
    <x v="5"/>
    <s v="Congo"/>
    <m/>
    <m/>
    <m/>
  </r>
  <r>
    <x v="91"/>
    <s v="G12-CONGO Frais d'hotel du 13 au 14 /04 /2025  à nzassi (01 Nuitée) "/>
    <s v="Travel Subsistence"/>
    <s v="Investigations"/>
    <n v="15000"/>
    <n v="25.733004637087436"/>
    <n v="582.90899999999999"/>
    <s v="G12"/>
    <s v="G12-A-R7"/>
    <s v="PALF"/>
    <x v="5"/>
    <s v="Congo"/>
    <m/>
    <m/>
    <m/>
  </r>
  <r>
    <x v="91"/>
    <s v="Achat billet  Nzassi - Pointe Noire/G12"/>
    <s v="Transport"/>
    <s v="Investigations"/>
    <n v="3000"/>
    <n v="5.1466009274174871"/>
    <n v="582.90899999999999"/>
    <s v="G12"/>
    <s v="G12-A-R8"/>
    <s v="PALF"/>
    <x v="5"/>
    <s v="Congo"/>
    <m/>
    <m/>
    <m/>
  </r>
  <r>
    <x v="91"/>
    <s v="Achat billet Pointe Noire - Brazzaville "/>
    <s v="Transport"/>
    <s v="Investigations"/>
    <n v="10000"/>
    <n v="17.155336424724958"/>
    <n v="582.90899999999999"/>
    <s v="G12"/>
    <s v="G12-A-R9"/>
    <s v="PALF"/>
    <x v="5"/>
    <s v="Congo"/>
    <m/>
    <m/>
    <m/>
  </r>
  <r>
    <x v="91"/>
    <s v="Achat billet Brazzaville-Owando/Abraham"/>
    <s v="Transport"/>
    <s v="Legal"/>
    <n v="7000"/>
    <n v="12.00873549730747"/>
    <n v="582.90899999999999"/>
    <s v="Abraham"/>
    <s v="AB-A-R1"/>
    <s v="PALF"/>
    <x v="5"/>
    <s v="Congo"/>
    <m/>
    <m/>
    <m/>
  </r>
  <r>
    <x v="91"/>
    <s v="Frais de transfert d'argent à Crépin, Evarste,  P29 et IT87"/>
    <s v="Transfer Fees"/>
    <s v="Office"/>
    <n v="14390"/>
    <n v="24.686529115179212"/>
    <n v="582.90899999999999"/>
    <s v="Abraham"/>
    <s v="CA-A-R19"/>
    <s v="PALF"/>
    <x v="5"/>
    <s v="Congo"/>
    <m/>
    <m/>
    <m/>
  </r>
  <r>
    <x v="91"/>
    <s v="Frais de transport mission Maitre Alain à Owando du 16 au 18/04/2025"/>
    <s v="Transport"/>
    <s v="Legal"/>
    <n v="20000"/>
    <n v="34.310672849449915"/>
    <n v="582.90899999999999"/>
    <s v="Abraham"/>
    <s v="CA-A-R20"/>
    <s v="PALF"/>
    <x v="5"/>
    <s v="Congo"/>
    <m/>
    <m/>
    <m/>
  </r>
  <r>
    <x v="91"/>
    <s v="Ration et frais d'hotel mission maitre Alain à Owando du 16 au 18/04/2025"/>
    <s v="Travel Subsistence"/>
    <s v="Legal"/>
    <n v="50000"/>
    <n v="85.776682123624781"/>
    <n v="582.90899999999999"/>
    <s v="Abraham"/>
    <s v="CA-A-R21"/>
    <s v="PALF"/>
    <x v="5"/>
    <s v="Congo"/>
    <m/>
    <m/>
    <m/>
  </r>
  <r>
    <x v="91"/>
    <s v="Frais de transport mission Maitre Hélene à Owando du 16 au 18/04/2025"/>
    <s v="Transport"/>
    <s v="Legal"/>
    <n v="20000"/>
    <n v="34.310672849449915"/>
    <n v="582.90899999999999"/>
    <s v="Abraham"/>
    <s v="CA-A-R22"/>
    <s v="PALF"/>
    <x v="5"/>
    <s v="Congo"/>
    <m/>
    <m/>
    <m/>
  </r>
  <r>
    <x v="91"/>
    <s v="Ration et frais d'hotel mission maitre Hélene à Owando du 16 au 18/04/2025"/>
    <s v="Travel Subsistence"/>
    <s v="Legal"/>
    <n v="50000"/>
    <n v="85.776682123624781"/>
    <n v="582.90899999999999"/>
    <s v="Abraham"/>
    <s v="CA-A-R23"/>
    <s v="PALF"/>
    <x v="5"/>
    <s v="Congo"/>
    <m/>
    <m/>
    <m/>
  </r>
  <r>
    <x v="91"/>
    <s v="Paiement CNSS premier trimestre/Janvier,Février et Mars 2025/Crepin /3654848"/>
    <s v="Personnel"/>
    <s v="Legal"/>
    <n v="368700"/>
    <n v="632.51725397960922"/>
    <n v="582.90899999999999"/>
    <s v="BCI"/>
    <s v="BQ-A-R3"/>
    <s v="PALF"/>
    <x v="5"/>
    <s v="Congo"/>
    <m/>
    <m/>
    <m/>
  </r>
  <r>
    <x v="91"/>
    <s v="Paiement CNSS premier trimestre/Janvier,Février et Mars 2025/Donald-Roméo/3654848"/>
    <s v="Personnel"/>
    <s v="Legal"/>
    <n v="107230"/>
    <n v="183.95667248232573"/>
    <n v="582.90899999999999"/>
    <s v="BCI"/>
    <s v="BQ-A-R4"/>
    <s v="PALF"/>
    <x v="5"/>
    <s v="Congo"/>
    <m/>
    <m/>
    <m/>
  </r>
  <r>
    <x v="91"/>
    <s v="Paiement CNSS premier trimestre/Janvier,Février et Mars 2025/Romain/3654848"/>
    <s v="Personnel"/>
    <s v="Legal"/>
    <n v="103494"/>
    <n v="177.54743879404847"/>
    <n v="582.90899999999999"/>
    <s v="BCI"/>
    <s v="BQ-A-R5"/>
    <s v="PALF"/>
    <x v="5"/>
    <s v="Congo"/>
    <m/>
    <m/>
    <m/>
  </r>
  <r>
    <x v="91"/>
    <s v="Paiement CNSS premier trimestre/Janvier,Février et Mars 2025/Roderlin/3654848"/>
    <s v="Personnel"/>
    <s v="Legal"/>
    <n v="103494"/>
    <n v="177.54743879404847"/>
    <n v="582.90899999999999"/>
    <s v="BCI"/>
    <s v="BQ-A-R6"/>
    <s v="PALF"/>
    <x v="5"/>
    <s v="Congo"/>
    <m/>
    <m/>
    <m/>
  </r>
  <r>
    <x v="91"/>
    <s v="Paiement CNSS premier trimestre/Janvier,Février et Mars 2025/Abraham/3654848"/>
    <s v="Personnel"/>
    <s v="Legal"/>
    <n v="103494"/>
    <n v="177.54743879404847"/>
    <n v="582.90899999999999"/>
    <s v="BCI"/>
    <s v="BQ-A-R7"/>
    <s v="PALF"/>
    <x v="5"/>
    <s v="Congo"/>
    <m/>
    <m/>
    <m/>
  </r>
  <r>
    <x v="91"/>
    <s v="Paiement CNSS premier trimestre/Janvier,Février et Mars 2025/Parfaite/3654848"/>
    <s v="Personnel"/>
    <s v="Office"/>
    <n v="65179"/>
    <n v="111.81676728271479"/>
    <n v="582.90899999999999"/>
    <s v="BCI"/>
    <s v="BQ-A-R8"/>
    <s v="PALF"/>
    <x v="5"/>
    <s v="Congo"/>
    <m/>
    <m/>
    <m/>
  </r>
  <r>
    <x v="91"/>
    <s v="Paiement CNSS premier trimestre/Janvier,Février et Mars 2025/Merveille/3654848"/>
    <s v="Personnel"/>
    <s v="Office"/>
    <n v="256525"/>
    <n v="440.07726763525699"/>
    <n v="582.90899999999999"/>
    <s v="BCI"/>
    <s v="BQ-A-R9"/>
    <s v="PALF"/>
    <x v="5"/>
    <s v="Congo"/>
    <m/>
    <m/>
    <m/>
  </r>
  <r>
    <x v="91"/>
    <s v="Paiement CNSS premier trimestre/Janvier,Février et Mars 2025/Evariste/3654848"/>
    <s v="Personnel"/>
    <s v="Media"/>
    <n v="127560"/>
    <n v="218.83347143379154"/>
    <n v="582.90899999999999"/>
    <s v="BCI"/>
    <s v="BQ-A-R10"/>
    <s v="PALF"/>
    <x v="5"/>
    <s v="Congo"/>
    <m/>
    <m/>
    <m/>
  </r>
  <r>
    <x v="92"/>
    <s v="Frais de nettoyage caniveau bureau PALF"/>
    <s v="Services"/>
    <s v="Office"/>
    <n v="11000"/>
    <n v="18.870870067197455"/>
    <n v="582.90899999999999"/>
    <s v="DOVI"/>
    <s v="CA-A-D15"/>
    <s v="PALF"/>
    <x v="5"/>
    <s v="Congo"/>
    <m/>
    <m/>
    <m/>
  </r>
  <r>
    <x v="92"/>
    <s v="Règlement facture d'eau du mois de Janv, Fév, Mars, Avril  2025 bureau PALF"/>
    <s v="Rent &amp; Utilities"/>
    <s v="Office"/>
    <n v="25500"/>
    <n v="43.746107883048644"/>
    <n v="582.90899999999999"/>
    <s v="Parfaite"/>
    <s v="CA-A-R24"/>
    <s v="PALF"/>
    <x v="5"/>
    <s v="Congo"/>
    <m/>
    <m/>
    <m/>
  </r>
  <r>
    <x v="92"/>
    <s v="Frais de transfert d'argent à P29 et IT87"/>
    <s v="Transfer Fees"/>
    <s v="Office"/>
    <n v="5950"/>
    <n v="10.20742517271135"/>
    <n v="582.90899999999999"/>
    <s v="Parfaite"/>
    <s v="CA-A-R25"/>
    <s v="PALF"/>
    <x v="5"/>
    <s v="Congo"/>
    <m/>
    <m/>
    <m/>
  </r>
  <r>
    <x v="92"/>
    <s v="Achat credit  teléphonique MTN/PALF/Deuxième partie du mois d'Avril2025/Management"/>
    <s v="Telephone"/>
    <s v="Management"/>
    <n v="20000"/>
    <n v="34.310672849449915"/>
    <n v="582.90899999999999"/>
    <s v="Parfaite"/>
    <s v="CA-A-R26"/>
    <s v="PALF"/>
    <x v="5"/>
    <s v="Congo"/>
    <m/>
    <m/>
    <m/>
  </r>
  <r>
    <x v="92"/>
    <s v="Achat credit  teléphonique MTN/PALF/Deuxième partie du mois d'Avril 2025/Legal"/>
    <s v="Telephone"/>
    <s v="Legal"/>
    <n v="40000"/>
    <n v="68.62134569889983"/>
    <n v="582.90899999999999"/>
    <s v="Parfaite"/>
    <s v="CA-A-R27"/>
    <s v="PALF"/>
    <x v="5"/>
    <s v="Congo"/>
    <m/>
    <m/>
    <m/>
  </r>
  <r>
    <x v="92"/>
    <s v="Achat credit  teléphonique MTN/PALF/Deuxième partie du mois d'Avril 2025/Investigation"/>
    <s v="Telephone"/>
    <s v="Investigations"/>
    <n v="55000"/>
    <n v="94.354350335987263"/>
    <n v="582.90899999999999"/>
    <s v="Parfaite"/>
    <s v="CA-A-R28"/>
    <s v="PALF"/>
    <x v="5"/>
    <s v="Congo"/>
    <m/>
    <m/>
    <m/>
  </r>
  <r>
    <x v="92"/>
    <s v="Achat credit  teléphonique MTN/PALF/deuxième partie du mois d'Avril 2025/Media"/>
    <s v="Telephone"/>
    <s v="Media"/>
    <n v="10000"/>
    <n v="17.155336424724958"/>
    <n v="582.90899999999999"/>
    <s v="Parfaite"/>
    <s v="CA-A-R29"/>
    <s v="PALF"/>
    <x v="5"/>
    <s v="Congo"/>
    <m/>
    <m/>
    <m/>
  </r>
  <r>
    <x v="92"/>
    <s v="Achat credit  teléphonique Airtel/PALF/Deuxième partie du mois d'Avril 2025/Legal"/>
    <s v="Telephone"/>
    <s v="Legal"/>
    <n v="10000"/>
    <n v="17.155336424724958"/>
    <n v="582.90899999999999"/>
    <s v="Parfaite"/>
    <s v="CA-A-R30"/>
    <s v="PALF"/>
    <x v="5"/>
    <s v="Congo"/>
    <m/>
    <m/>
    <m/>
  </r>
  <r>
    <x v="92"/>
    <s v="Achat credit  teléphonique Airtel/PALF/Deuxième partie du mois d'Avril 2025/Investigation"/>
    <s v="Telephone"/>
    <s v="Investigations"/>
    <n v="5000"/>
    <n v="8.5776682123624788"/>
    <n v="582.90899999999999"/>
    <s v="Parfaite"/>
    <s v="CA-A-R31"/>
    <s v="PALF"/>
    <x v="5"/>
    <s v="Congo"/>
    <m/>
    <m/>
    <m/>
  </r>
  <r>
    <x v="92"/>
    <s v="T73 - CONGO Frais d'hotel du 13 au 15/04/20225 à Boundji (02 nuitées) "/>
    <s v="Travel Subsistence"/>
    <s v="Investigations"/>
    <n v="30000"/>
    <n v="51.466009274174873"/>
    <n v="582.90899999999999"/>
    <s v="T73"/>
    <s v="T73-A-R7"/>
    <s v="PALF"/>
    <x v="5"/>
    <s v="Congo"/>
    <m/>
    <m/>
    <m/>
  </r>
  <r>
    <x v="92"/>
    <s v="Achat billet  Boundji - Brazzaville/T73"/>
    <s v="Transport"/>
    <s v="Investigations"/>
    <n v="12000"/>
    <n v="20.586403709669948"/>
    <n v="582.90899999999999"/>
    <s v="T73"/>
    <s v="T73-A-R8"/>
    <s v="PALF"/>
    <x v="5"/>
    <s v="Congo"/>
    <m/>
    <m/>
    <m/>
  </r>
  <r>
    <x v="92"/>
    <s v="G12-CONGO Frais d'hotel du 14 au 15/04/2025 à Pointe Noire (01 Nuitée)"/>
    <s v="Travel Subsistence"/>
    <s v="Investigations"/>
    <n v="15000"/>
    <n v="25.733004637087436"/>
    <n v="582.90899999999999"/>
    <s v="G12"/>
    <s v="G12-A-R10"/>
    <s v="PALF"/>
    <x v="5"/>
    <s v="Congo"/>
    <m/>
    <m/>
    <m/>
  </r>
  <r>
    <x v="93"/>
    <s v="ABRAHAM - CONGO Ration du 16 au 18/04/2025 à Owando (02 Nuitées) "/>
    <s v="Travel Subsistence"/>
    <s v="Legal"/>
    <n v="20000"/>
    <n v="34.310672849449915"/>
    <n v="582.90899999999999"/>
    <s v="Abraham"/>
    <s v="AB-A-D1"/>
    <s v="PALF"/>
    <x v="5"/>
    <s v="Congo"/>
    <m/>
    <m/>
    <m/>
  </r>
  <r>
    <x v="94"/>
    <s v="Frais de transfert d'argent à crépin, Evarste,  romain, roderlin et donald-roméo"/>
    <s v="Transfer Fees"/>
    <s v="Office"/>
    <n v="7500"/>
    <n v="12.866502318543718"/>
    <n v="582.90899999999999"/>
    <s v="G12"/>
    <s v="CA-A-R32"/>
    <s v="PALF"/>
    <x v="5"/>
    <s v="Congo"/>
    <m/>
    <m/>
    <m/>
  </r>
  <r>
    <x v="95"/>
    <s v="Achat billet Madingou-Brazzaville/P29"/>
    <s v="Transport"/>
    <s v="Investigations"/>
    <n v="7000"/>
    <n v="12.00873549730747"/>
    <n v="582.90899999999999"/>
    <s v="P29"/>
    <s v="P29-A-R3"/>
    <s v="PALF"/>
    <x v="5"/>
    <s v="Congo"/>
    <m/>
    <m/>
    <m/>
  </r>
  <r>
    <x v="95"/>
    <s v="Achat billet Madingou - Brazzaville/ IT87"/>
    <s v="Transport"/>
    <s v="Investigations"/>
    <n v="7000"/>
    <n v="12.00873549730747"/>
    <n v="582.90899999999999"/>
    <s v="IT87"/>
    <s v="IT87-A-R2"/>
    <s v="PALF"/>
    <x v="5"/>
    <s v="Congo"/>
    <m/>
    <m/>
    <m/>
  </r>
  <r>
    <x v="95"/>
    <s v="Achat billet Madingou-Brazzaville/Romain"/>
    <s v="Transport"/>
    <s v="Legal"/>
    <n v="7000"/>
    <n v="12.00873549730747"/>
    <n v="582.90899999999999"/>
    <s v="Romain"/>
    <s v="RM-A-R4"/>
    <s v="PALF"/>
    <x v="5"/>
    <s v="Congo"/>
    <m/>
    <m/>
    <m/>
  </r>
  <r>
    <x v="95"/>
    <s v="Achat billet Owando-Brazzaville/Abraham"/>
    <s v="Transport"/>
    <s v="Legal"/>
    <n v="7000"/>
    <n v="12.00873549730747"/>
    <n v="582.90899999999999"/>
    <s v="Abraham"/>
    <s v="AB-A-R2"/>
    <s v="PALF"/>
    <x v="5"/>
    <s v="Congo"/>
    <m/>
    <m/>
    <m/>
  </r>
  <r>
    <x v="95"/>
    <s v="Achat billet Madingou-Brazzaville/ Roderlin"/>
    <s v="Transport"/>
    <s v="Legal"/>
    <n v="7000"/>
    <n v="12.00873549730747"/>
    <n v="582.90899999999999"/>
    <s v="Roderlin"/>
    <s v="RO-A-R9"/>
    <s v="PALF"/>
    <x v="5"/>
    <s v="Congo"/>
    <m/>
    <m/>
    <m/>
  </r>
  <r>
    <x v="95"/>
    <s v="Achat billet Madingou-Brazzaville/ Donald-Roméo"/>
    <s v="Transport "/>
    <s v="Legal"/>
    <n v="7000"/>
    <n v="12.00873549730747"/>
    <n v="582.90899999999999"/>
    <s v="Donald-Roméo"/>
    <s v="DR-A-R6"/>
    <s v="PALF"/>
    <x v="5"/>
    <s v="Congo"/>
    <m/>
    <m/>
    <m/>
  </r>
  <r>
    <x v="95"/>
    <s v="Achat billet Madingou-Brazzaville/Crepin"/>
    <s v="Transport"/>
    <s v="Legal"/>
    <n v="7000"/>
    <n v="12.00873549730747"/>
    <n v="582.90899999999999"/>
    <s v="Crépin"/>
    <s v="CR-A-R5"/>
    <s v="PALF"/>
    <x v="5"/>
    <s v="Congo"/>
    <m/>
    <m/>
    <m/>
  </r>
  <r>
    <x v="95"/>
    <s v="IT87 - CONGO Frais d'hôtel  du 04 au 18/04/2025 à Madingou (14 nuitées)"/>
    <s v="Travel Subsistence"/>
    <s v="Investigations"/>
    <n v="210000"/>
    <n v="360.26206491922409"/>
    <n v="582.90899999999999"/>
    <s v="IT87"/>
    <s v="IT87-A-R3"/>
    <s v="PALF"/>
    <x v="5"/>
    <s v="Congo"/>
    <m/>
    <m/>
    <m/>
  </r>
  <r>
    <x v="95"/>
    <s v="Cumul frais de transport local du mois d'Avril 2025/IT87"/>
    <s v="Transport"/>
    <s v="Investigations"/>
    <n v="34300"/>
    <n v="58.842803936806604"/>
    <n v="582.90899999999999"/>
    <s v="IT87"/>
    <s v="IT87-A-D3"/>
    <s v="PALF"/>
    <x v="5"/>
    <s v="Congo"/>
    <m/>
    <m/>
    <m/>
  </r>
  <r>
    <x v="95"/>
    <s v="Romain- CONGO Frais  d'Hôtel du 11 au 18/04//2025 à Madingou  (07 nuités)"/>
    <s v="Travel Subsistence"/>
    <s v="Legal"/>
    <n v="105000"/>
    <n v="180.13103245961204"/>
    <n v="582.90899999999999"/>
    <s v="Romain"/>
    <s v="RM-A-R5"/>
    <s v="PALF"/>
    <x v="5"/>
    <s v="Congo"/>
    <m/>
    <m/>
    <m/>
  </r>
  <r>
    <x v="95"/>
    <s v="ABRAHAM - CONGO Frais d'Hôtel du 16 au 17/04/2025 à Owando (02 Nuitées)"/>
    <s v="Travel Subsistence"/>
    <s v="Legal"/>
    <n v="30000"/>
    <n v="51.466009274174873"/>
    <n v="582.90899999999999"/>
    <s v="Abraham"/>
    <s v="AB-A-R3"/>
    <s v="PALF"/>
    <x v="5"/>
    <s v="Congo"/>
    <m/>
    <m/>
    <m/>
  </r>
  <r>
    <x v="95"/>
    <s v="Roderlin-CONGO frais d'hôtel du 12 au 18/04/2025 à Madingou (06 nuitées)"/>
    <s v="Travel Subsistence"/>
    <s v="Legal"/>
    <n v="90000"/>
    <n v="154.39802782252463"/>
    <n v="582.90899999999999"/>
    <s v="Roderlin"/>
    <s v="RO-A-R10"/>
    <s v="PALF"/>
    <x v="5"/>
    <s v="Congo"/>
    <m/>
    <m/>
    <m/>
  </r>
  <r>
    <x v="95"/>
    <s v="DONALD ROMEO- CONGO Frais d'hôtel du  11 au 18/04/2025 à Madingou (07 Nuitées)"/>
    <s v="Travel Subsistence"/>
    <s v="Legal"/>
    <n v="105000"/>
    <n v="180.13103245961204"/>
    <n v="582.90899999999999"/>
    <s v="Donald-Roméo"/>
    <s v="DR-A-R7"/>
    <s v="PALF"/>
    <x v="5"/>
    <s v="Congo"/>
    <m/>
    <m/>
    <m/>
  </r>
  <r>
    <x v="95"/>
    <s v="Achat Billet Madingou-Brazzaville/Evariste"/>
    <s v="Transport"/>
    <s v="Media"/>
    <n v="7000"/>
    <n v="12.00873549730747"/>
    <n v="582.90899999999999"/>
    <s v="Evariste"/>
    <s v="EV-A-R2"/>
    <s v="PALF"/>
    <x v="5"/>
    <s v="Congo"/>
    <m/>
    <m/>
    <m/>
  </r>
  <r>
    <x v="95"/>
    <s v="Evariste-CONGO Frais de l'hôtel du 11 au 18 Avril 2025 à Madingou ( 7 nuitées)"/>
    <s v="Travel Subsistence"/>
    <s v="Media"/>
    <n v="105000"/>
    <n v="180.13103245961204"/>
    <n v="582.90899999999999"/>
    <s v="Evariste"/>
    <s v="EV-A-R3"/>
    <s v="PALF"/>
    <x v="5"/>
    <s v="Congo"/>
    <m/>
    <m/>
    <m/>
  </r>
  <r>
    <x v="96"/>
    <s v="P29 -CONGO Frais d'hotel du 13 au 19/04/2025 à Madingou lieu OP1(P29) (06 Nuitées)"/>
    <s v="Travel Subsistence"/>
    <s v="Investigations"/>
    <n v="150000"/>
    <n v="257.33004637087436"/>
    <n v="582.90899999999999"/>
    <s v="P29"/>
    <s v="P29-A-R4"/>
    <s v="PALF"/>
    <x v="5"/>
    <s v="Congo"/>
    <m/>
    <m/>
    <m/>
  </r>
  <r>
    <x v="96"/>
    <s v="P29 -CONGO Frais d'hotel du 13 au 19/04/2025 à Madingou lieu OP 2(Crépin) (06 Nuitées)"/>
    <s v="Travel Subsistence"/>
    <s v="Investigations"/>
    <n v="150000"/>
    <n v="257.33004637087436"/>
    <n v="582.90899999999999"/>
    <s v="P29"/>
    <s v="P29-A-R5"/>
    <s v="PALF"/>
    <x v="5"/>
    <s v="Congo"/>
    <m/>
    <m/>
    <m/>
  </r>
  <r>
    <x v="97"/>
    <s v="Déjeûner des agents du PALF"/>
    <s v="Personnel"/>
    <s v="Team Building"/>
    <n v="55500"/>
    <n v="95.212117157223517"/>
    <n v="582.90899999999999"/>
    <s v="DOVI"/>
    <s v="CA-A-R33"/>
    <s v="PALF"/>
    <x v="5"/>
    <s v="Congo"/>
    <m/>
    <m/>
    <m/>
  </r>
  <r>
    <x v="98"/>
    <s v="Reglement honoraire du mois d'Avril 2025/IT87/3654843"/>
    <s v="Personnel"/>
    <s v="Investigations"/>
    <n v="255000"/>
    <n v="437.46107883048643"/>
    <n v="582.90899999999999"/>
    <s v="BCI"/>
    <s v="BQ-A-R11"/>
    <s v="PALF"/>
    <x v="5"/>
    <s v="Congo"/>
    <m/>
    <m/>
    <m/>
  </r>
  <r>
    <x v="98"/>
    <s v="Solde  honoraire contrat n°83 Dolisie cas NDOHO et NGOMA/ Maître BANZOUZI Alain/3654845"/>
    <s v="Lawyer Fees"/>
    <s v="Legal"/>
    <n v="300000"/>
    <n v="514.66009274174871"/>
    <n v="579.64599999999996"/>
    <s v="BCI"/>
    <s v="BQ-A-R12"/>
    <s v="PALF"/>
    <x v="1"/>
    <s v="Congo"/>
    <m/>
    <m/>
    <m/>
  </r>
  <r>
    <x v="98"/>
    <s v="Solde  honoraire contrat n°55 Brazzaville cas / Maître MALONGA Marie Hélène/3654844"/>
    <s v="Transport"/>
    <s v="Legal"/>
    <n v="300000"/>
    <n v="514.66009274174871"/>
    <n v="582.90899999999999"/>
    <s v="BCI"/>
    <s v="BQ-A-R13"/>
    <s v="PALF"/>
    <x v="5"/>
    <s v="Congo"/>
    <m/>
    <m/>
    <m/>
  </r>
  <r>
    <x v="99"/>
    <s v="Frais de carte de travail Donald-roméo"/>
    <s v="Personnel"/>
    <s v="Office"/>
    <n v="10500"/>
    <n v="18.013103245961204"/>
    <n v="582.90899999999999"/>
    <s v="Parfaite"/>
    <s v="CA-A-R36"/>
    <s v="PALF"/>
    <x v="5"/>
    <s v="Congo"/>
    <m/>
    <m/>
    <m/>
  </r>
  <r>
    <x v="99"/>
    <s v="Cumul frais de transport local du mois d'Avril 2025/Abraham"/>
    <s v="Transport"/>
    <s v="Legal"/>
    <n v="37750"/>
    <n v="64.761395003336716"/>
    <n v="582.90899999999999"/>
    <s v="Abraham"/>
    <s v="AB-A-D2"/>
    <s v="PALF"/>
    <x v="5"/>
    <s v="Congo"/>
    <m/>
    <m/>
    <m/>
  </r>
  <r>
    <x v="99"/>
    <s v="Achat carburant groupe electrogène Bureau"/>
    <s v="Office Materials"/>
    <s v="Office"/>
    <n v="31250"/>
    <n v="53.610426327265493"/>
    <n v="582.90899999999999"/>
    <s v="Abraham"/>
    <s v="CA-A-R35"/>
    <s v="PALF"/>
    <x v="5"/>
    <s v="Congo"/>
    <m/>
    <m/>
    <m/>
  </r>
  <r>
    <x v="99"/>
    <s v="Achat carburant groupe élèctrogène Bureau"/>
    <s v="Office Materials"/>
    <s v="Office"/>
    <n v="31250"/>
    <n v="53.610426327265493"/>
    <n v="582.90899999999999"/>
    <s v="Roderlin"/>
    <s v="CA-A-R34"/>
    <s v="PALF"/>
    <x v="5"/>
    <s v="Congo"/>
    <m/>
    <m/>
    <m/>
  </r>
  <r>
    <x v="99"/>
    <s v="Frais d'impression sur bâche"/>
    <s v="Office Materials"/>
    <s v="Office"/>
    <n v="20000"/>
    <n v="34.310672849449915"/>
    <n v="582.90899999999999"/>
    <s v="Evariste"/>
    <s v="CA-A-R37"/>
    <s v="PALF"/>
    <x v="5"/>
    <s v="Congo"/>
    <m/>
    <m/>
    <m/>
  </r>
  <r>
    <x v="100"/>
    <s v="Bonus à un informateur en RDC"/>
    <s v="Trust Building"/>
    <s v="Investigations"/>
    <n v="50000"/>
    <n v="85.776682123624781"/>
    <n v="582.90899999999999"/>
    <s v="DOVI"/>
    <s v="CA-A-R39"/>
    <s v="PALF"/>
    <x v="5"/>
    <s v="Congo"/>
    <m/>
    <m/>
    <m/>
  </r>
  <r>
    <x v="100"/>
    <s v=" frais de ramassage Ordure Avril 2025"/>
    <s v="Services"/>
    <s v="Office"/>
    <n v="8000"/>
    <n v="13.724269139779965"/>
    <n v="582.90899999999999"/>
    <s v="Parfaite"/>
    <s v="CA-A-R38"/>
    <s v="PALF"/>
    <x v="5"/>
    <s v="Congo"/>
    <m/>
    <m/>
    <m/>
  </r>
  <r>
    <x v="100"/>
    <s v="Cumul frais de frais de transport local du mois d'Avril 2025/P29"/>
    <s v="Transport"/>
    <s v="Investigations"/>
    <n v="48400"/>
    <n v="83.031828295668788"/>
    <n v="582.90899999999999"/>
    <s v="P29"/>
    <s v="P29-A-D2"/>
    <s v="PALF"/>
    <x v="5"/>
    <s v="Congo"/>
    <m/>
    <m/>
    <m/>
  </r>
  <r>
    <x v="100"/>
    <s v="Cumul frais de trust building du mois d'Avril 2025/P29"/>
    <s v="Trust Building"/>
    <s v="Investigations"/>
    <n v="9000"/>
    <n v="15.439802782252462"/>
    <n v="582.90899999999999"/>
    <s v="P29"/>
    <s v="P29-A-D3"/>
    <s v="PALF"/>
    <x v="5"/>
    <s v="Congo"/>
    <m/>
    <m/>
    <m/>
  </r>
  <r>
    <x v="100"/>
    <s v="Cumul frais de trust building du mois d'Avril 2025/T73"/>
    <s v="Trust Building"/>
    <s v="Investigations"/>
    <n v="15000"/>
    <n v="25.733004637087436"/>
    <n v="582.90899999999999"/>
    <s v="T73"/>
    <s v="T73-A-D2"/>
    <s v="PALF"/>
    <x v="5"/>
    <s v="Congo"/>
    <m/>
    <m/>
    <m/>
  </r>
  <r>
    <x v="100"/>
    <s v="Cumul frais de trust building du mois d'Avril 2025/G12"/>
    <s v="Trust Building"/>
    <s v="Investigations"/>
    <n v="10500"/>
    <n v="18.013103245961204"/>
    <n v="582.90899999999999"/>
    <s v="G12"/>
    <s v="G12-A-D2"/>
    <s v="PALF"/>
    <x v="5"/>
    <s v="Congo"/>
    <m/>
    <m/>
    <m/>
  </r>
  <r>
    <x v="100"/>
    <s v="Cumul frais de transport local du mois d'Avril 2025/Romain"/>
    <s v="Transport"/>
    <s v="Legal"/>
    <n v="23600"/>
    <n v="40.486593962350902"/>
    <n v="582.90899999999999"/>
    <s v="Romain"/>
    <s v="RM-A-D3"/>
    <s v="PALF"/>
    <x v="5"/>
    <s v="Congo"/>
    <m/>
    <m/>
    <m/>
  </r>
  <r>
    <x v="100"/>
    <s v="Frais de transport mission Maitre Alain à Owando du 28 au 30/04/2025"/>
    <s v="Transport"/>
    <s v="Legal"/>
    <n v="20000"/>
    <n v="34.310672849449915"/>
    <n v="582.90899999999999"/>
    <s v="Roderlin"/>
    <s v="CA-A-R40"/>
    <s v="PALF"/>
    <x v="5"/>
    <s v="Congo"/>
    <m/>
    <m/>
    <m/>
  </r>
  <r>
    <x v="100"/>
    <s v="Ration et frais d'hotel mission maitre Alain à Owando du 28 au 30/04/2025"/>
    <s v="Travel Subsistence"/>
    <s v="Legal"/>
    <n v="50000"/>
    <n v="85.776682123624781"/>
    <n v="582.90899999999999"/>
    <s v="Roderlin"/>
    <s v="CA-A-R41"/>
    <s v="PALF"/>
    <x v="5"/>
    <s v="Congo"/>
    <m/>
    <m/>
    <m/>
  </r>
  <r>
    <x v="100"/>
    <s v="Frais de transport mission Maitre Hélene à Owando du 28 au 30/04/2025"/>
    <s v="Transport"/>
    <s v="Legal"/>
    <n v="20000"/>
    <n v="34.310672849449915"/>
    <n v="582.90899999999999"/>
    <s v="Roderlin"/>
    <s v="CA-A-R42"/>
    <s v="PALF"/>
    <x v="5"/>
    <s v="Congo"/>
    <m/>
    <m/>
    <m/>
  </r>
  <r>
    <x v="100"/>
    <s v="Ration et frais d'hotel mission maitre Hélene à Owando du 28 au 30/04/2025"/>
    <s v="Travel Subsistence"/>
    <s v="Legal"/>
    <n v="50000"/>
    <n v="85.776682123624781"/>
    <n v="582.90899999999999"/>
    <s v="Roderlin"/>
    <s v="CA-A-R43"/>
    <s v="PALF"/>
    <x v="5"/>
    <s v="Congo"/>
    <m/>
    <m/>
    <m/>
  </r>
  <r>
    <x v="100"/>
    <s v="Frais de transfert Bonus à un informateur en RDC"/>
    <s v="Transfer Fees"/>
    <s v="Office"/>
    <n v="3253"/>
    <n v="5.5806309389630284"/>
    <n v="582.90899999999999"/>
    <s v="Roderlin"/>
    <s v="CA-A-R44"/>
    <s v="PALF"/>
    <x v="5"/>
    <s v="Congo"/>
    <m/>
    <m/>
    <m/>
  </r>
  <r>
    <x v="100"/>
    <s v="Paiement salaire du mois d'Avril 2025/Homéfa DOVI/3654855"/>
    <s v="Personnel"/>
    <s v="Management"/>
    <n v="1311000"/>
    <n v="2249.0646052814418"/>
    <n v="582.90899999999999"/>
    <s v="BCI"/>
    <s v="BQ-A-R14"/>
    <s v="PALF"/>
    <x v="5"/>
    <s v="Congo"/>
    <m/>
    <m/>
    <m/>
  </r>
  <r>
    <x v="100"/>
    <s v="Paiement salaire du mois d'Avril 2025/BAVOUMINA NZOUSSI Dina Parfaite/365854"/>
    <s v="Personnel"/>
    <s v="Office"/>
    <n v="230000"/>
    <n v="394.57273776867402"/>
    <n v="582.90899999999999"/>
    <s v="BCI"/>
    <s v="BQ-A-R15"/>
    <s v="PALF"/>
    <x v="5"/>
    <s v="Congo"/>
    <m/>
    <m/>
    <m/>
  </r>
  <r>
    <x v="100"/>
    <s v="Paiement salaire du mois d'Avril 2025/BOUNGOU MAKOSSO Abraham/3654851"/>
    <s v="Personnel"/>
    <s v="Legal"/>
    <n v="200000"/>
    <n v="343.10672849449912"/>
    <n v="582.90899999999999"/>
    <s v="BCI"/>
    <s v="BQ-A-R17"/>
    <s v="PALF"/>
    <x v="5"/>
    <s v="Congo"/>
    <m/>
    <m/>
    <m/>
  </r>
  <r>
    <x v="100"/>
    <s v="Paiement salaire du mois d'Avril 2025/LOUNDOU JeanRomain/3654853"/>
    <s v="Personnel"/>
    <s v="Legal"/>
    <n v="200000"/>
    <n v="343.10672849449912"/>
    <n v="582.90899999999999"/>
    <s v="BCI"/>
    <s v="BQ-A-R18"/>
    <s v="PALF"/>
    <x v="5"/>
    <s v="Congo"/>
    <m/>
    <m/>
    <m/>
  </r>
  <r>
    <x v="100"/>
    <s v="Paiement salaire du mois d'Avril 2025/Crepin IBOUILI-IBOUILI"/>
    <s v="Personnel"/>
    <s v="Legal"/>
    <n v="551482"/>
    <n v="946.08592421801688"/>
    <n v="582.90899999999999"/>
    <s v="BCI"/>
    <s v="BQ-A-R19"/>
    <s v="PALF"/>
    <x v="5"/>
    <s v="Congo"/>
    <m/>
    <m/>
    <m/>
  </r>
  <r>
    <x v="100"/>
    <s v="Paiement salaire du mois d'Avril 2025/PINDI BINGA Donald- Roméo"/>
    <s v="Personnel"/>
    <s v="Legal"/>
    <n v="300000"/>
    <n v="514.66009274174871"/>
    <n v="582.90899999999999"/>
    <s v="BCI"/>
    <s v="BQ-A-R21"/>
    <s v="PALF"/>
    <x v="5"/>
    <s v="Congo"/>
    <m/>
    <m/>
    <m/>
  </r>
  <r>
    <x v="100"/>
    <s v="Frais de virement salaire du mois d'avril 2025"/>
    <s v="Bank fees"/>
    <s v="Office"/>
    <n v="10665"/>
    <n v="18.296166296969169"/>
    <n v="582.90899999999999"/>
    <s v="BCI"/>
    <s v="BQ-A-R25"/>
    <s v="PALF"/>
    <x v="5"/>
    <s v="Congo"/>
    <m/>
    <m/>
    <m/>
  </r>
  <r>
    <x v="101"/>
    <s v="Achat billet Brazzaville-Owando/ Roderlin"/>
    <s v="Transport"/>
    <s v="Legal"/>
    <n v="7000"/>
    <n v="12.00873549730747"/>
    <n v="582.90899999999999"/>
    <s v="Roderlin"/>
    <s v="RO-A-R11"/>
    <s v="PALF"/>
    <x v="5"/>
    <s v="Congo"/>
    <m/>
    <m/>
    <m/>
  </r>
  <r>
    <x v="102"/>
    <s v="Achat billet Brazzaville-Owando/ Donald-Roméo"/>
    <s v="Transport "/>
    <s v="Legal"/>
    <n v="7000"/>
    <n v="12.00873549730747"/>
    <n v="582.90899999999999"/>
    <s v="Donald-Roméo"/>
    <s v="DR-A-R8"/>
    <s v="PALF"/>
    <x v="5"/>
    <s v="Congo"/>
    <m/>
    <m/>
    <m/>
  </r>
  <r>
    <x v="103"/>
    <s v="Reglement loyer du mois d'Avril 2025/3654847"/>
    <s v="Rent &amp; Utilities"/>
    <s v="Office"/>
    <n v="500000"/>
    <n v="857.76682123624789"/>
    <n v="582.90899999999999"/>
    <s v="BCI"/>
    <s v="BQ-A-R25"/>
    <s v="PALF"/>
    <x v="5"/>
    <s v="Congo"/>
    <m/>
    <m/>
    <m/>
  </r>
  <r>
    <x v="103"/>
    <s v=" Frais de prestation de nettoyage jardin PALF Avril 2025"/>
    <s v="Services"/>
    <s v="Office"/>
    <n v="20000"/>
    <n v="34.310672849449915"/>
    <n v="582.90899999999999"/>
    <s v="Parfaite"/>
    <s v="CA-A-R45"/>
    <s v="PALF"/>
    <x v="5"/>
    <s v="Congo"/>
    <m/>
    <m/>
    <m/>
  </r>
  <r>
    <x v="103"/>
    <s v="Reglement prestation de nettoyage  PALF du mois d'Avril 2025"/>
    <s v="Services"/>
    <s v="Office"/>
    <n v="75625"/>
    <n v="129.7372317119825"/>
    <n v="582.90899999999999"/>
    <s v="Parfaite"/>
    <s v="CA-A-R46"/>
    <s v="PALF"/>
    <x v="5"/>
    <s v="Congo"/>
    <m/>
    <m/>
    <m/>
  </r>
  <r>
    <x v="103"/>
    <s v="Roderlin-CONGO Ration du 28 au 30/04/2025 à Owando "/>
    <s v="Travel Subsistence"/>
    <s v="Legal"/>
    <n v="20000"/>
    <n v="34.310672849449915"/>
    <n v="582.90899999999999"/>
    <s v="Roderlin"/>
    <s v="RO-A-D4"/>
    <s v="PALF"/>
    <x v="5"/>
    <s v="Congo"/>
    <m/>
    <m/>
    <m/>
  </r>
  <r>
    <x v="103"/>
    <s v="DONALD ROMEO- CONGO Ration  du  28 au 30/04/2025 à Owando"/>
    <s v="Travel Subsistence"/>
    <s v="Legal"/>
    <n v="20000"/>
    <n v="34.310672849449915"/>
    <n v="582.90899999999999"/>
    <s v="Donald-Roméo"/>
    <s v="DR-A-D2"/>
    <s v="PALF"/>
    <x v="5"/>
    <s v="Congo"/>
    <m/>
    <m/>
    <m/>
  </r>
  <r>
    <x v="103"/>
    <s v="Cumul frais de transport local du mois d'Avril 2025/Evariste"/>
    <s v="Transport"/>
    <s v="Media"/>
    <n v="41900"/>
    <n v="71.880859619597572"/>
    <n v="582.90899999999999"/>
    <s v="Evariste"/>
    <s v="EV-A-D2"/>
    <s v="PALF"/>
    <x v="5"/>
    <s v="Congo"/>
    <m/>
    <m/>
    <m/>
  </r>
  <r>
    <x v="103"/>
    <s v="Bonus media portant sur l'annonce de l'audience du 29 Avril 2025 au tribunal de gande instance d'Owado "/>
    <s v="Bonus to media officer"/>
    <s v="Media"/>
    <n v="144000"/>
    <n v="247.03684451603939"/>
    <n v="582.90899999999999"/>
    <s v="Evariste"/>
    <s v="CA-A-D16"/>
    <s v="PALF"/>
    <x v="5"/>
    <s v="Congo"/>
    <m/>
    <m/>
    <m/>
  </r>
  <r>
    <x v="103"/>
    <s v="Frais de l'avis de recrutement  investigateurs dans le depeches de Brazzaville"/>
    <s v="Publication"/>
    <s v="Office"/>
    <n v="27000"/>
    <n v="46.319408346757385"/>
    <n v="582.90899999999999"/>
    <s v="Evariste"/>
    <s v="CA-A-R47"/>
    <s v="PALF"/>
    <x v="5"/>
    <s v="Congo"/>
    <m/>
    <m/>
    <m/>
  </r>
  <r>
    <x v="104"/>
    <s v="Cumul frais de transport local du mois d'Avril 2025/G12"/>
    <s v="Transport"/>
    <s v="Investigations"/>
    <n v="59500"/>
    <n v="102.07425172711349"/>
    <n v="582.90899999999999"/>
    <s v="G12"/>
    <s v="G12-A-D3"/>
    <s v="PALF"/>
    <x v="5"/>
    <s v="Congo"/>
    <m/>
    <m/>
    <m/>
  </r>
  <r>
    <x v="104"/>
    <s v="Frais de la matérialisation de décisions de justice/Frais d'expédition/Paiement de l'acte d'appel"/>
    <s v="Court fees"/>
    <s v="Legal"/>
    <n v="40000"/>
    <n v="68.62134569889983"/>
    <n v="582.90899999999999"/>
    <s v="Roderlin"/>
    <s v="RO-A-R12"/>
    <s v="PALF"/>
    <x v="5"/>
    <s v="Congo"/>
    <m/>
    <m/>
    <m/>
  </r>
  <r>
    <x v="104"/>
    <s v="Achat billet Owando-Brazzaville/ Roderlin"/>
    <s v="Transport"/>
    <s v="Legal"/>
    <n v="7000"/>
    <n v="12.00873549730747"/>
    <n v="582.90899999999999"/>
    <s v="Roderlin"/>
    <s v="RO-A-R13"/>
    <s v="PALF"/>
    <x v="5"/>
    <s v="Congo"/>
    <m/>
    <m/>
    <m/>
  </r>
  <r>
    <x v="104"/>
    <s v="Roderlin-CONGO frais d'hôtel du 28 au 30/04/2025 à Owando (02 nuitées)"/>
    <s v="Travel Subsistence"/>
    <s v="Legal"/>
    <n v="30000"/>
    <n v="51.466009274174873"/>
    <n v="582.90899999999999"/>
    <s v="Roderlin"/>
    <s v="RO-A-R14"/>
    <s v="PALF"/>
    <x v="5"/>
    <s v="Congo"/>
    <m/>
    <m/>
    <m/>
  </r>
  <r>
    <x v="104"/>
    <s v="Paiement salaire du mois d'Avril 2025/Evariste LELOUSSI/3654857"/>
    <s v="Personnel"/>
    <s v="Media"/>
    <n v="453388"/>
    <n v="777.80236709331984"/>
    <n v="582.90899999999999"/>
    <s v="BCI"/>
    <s v="BQ-A-R20"/>
    <s v="PALF"/>
    <x v="5"/>
    <s v="Congo"/>
    <m/>
    <m/>
    <m/>
  </r>
  <r>
    <x v="105"/>
    <s v="Achat billet Owando-Brazzaville/ Donald-Roméo"/>
    <s v="Transport "/>
    <s v="Legal"/>
    <n v="7000"/>
    <n v="12.00873549730747"/>
    <n v="582.90899999999999"/>
    <s v="Donald-Roméo"/>
    <s v="DR-A-R9"/>
    <s v="PALF"/>
    <x v="5"/>
    <s v="Congo"/>
    <m/>
    <m/>
    <m/>
  </r>
  <r>
    <x v="105"/>
    <s v="Cumul frais de transport local du mois d'Avril 2025/DOVI"/>
    <s v="Transport"/>
    <s v="Management"/>
    <n v="56000"/>
    <n v="96.069883978459757"/>
    <n v="582.90899999999999"/>
    <s v="DOVI"/>
    <s v="DH-A-D1"/>
    <s v="PALF"/>
    <x v="5"/>
    <s v="Congo"/>
    <m/>
    <m/>
    <m/>
  </r>
  <r>
    <x v="105"/>
    <s v="Cumul frais de transport local du mois d'Avril 2025/Crépin"/>
    <s v="Transport"/>
    <s v="Legal"/>
    <n v="21200"/>
    <n v="36.369313220416906"/>
    <n v="582.90899999999999"/>
    <s v="Crépin"/>
    <s v="CR-A-D2"/>
    <s v="PALF"/>
    <x v="5"/>
    <s v="Congo"/>
    <m/>
    <m/>
    <m/>
  </r>
  <r>
    <x v="105"/>
    <s v="Cumul frais de transport local du mois d'Avril 2025/ Parfaite"/>
    <s v="Transport"/>
    <s v="Office"/>
    <n v="40500"/>
    <n v="69.479112520136084"/>
    <n v="582.90899999999999"/>
    <s v="Parfaite"/>
    <s v="P-A-D1"/>
    <s v="PALF"/>
    <x v="5"/>
    <s v="Congo"/>
    <m/>
    <m/>
    <m/>
  </r>
  <r>
    <x v="105"/>
    <s v="Reglement facture internet periode du 01/05 au 31/05/2025 bureau PALF"/>
    <s v="Internet"/>
    <s v="Office"/>
    <n v="45050"/>
    <n v="77.284790593385935"/>
    <n v="582.90899999999999"/>
    <s v="Parfaite"/>
    <s v="CA-A-R48"/>
    <s v="PALF"/>
    <x v="5"/>
    <s v="Congo"/>
    <m/>
    <m/>
    <m/>
  </r>
  <r>
    <x v="105"/>
    <s v="Team building à l'occassion du 1er Mai 2025"/>
    <s v="Personnel"/>
    <s v="Team Building"/>
    <n v="199400"/>
    <n v="342.07740830901565"/>
    <n v="582.90899999999999"/>
    <s v="Parfaite"/>
    <s v="CA-A-R49"/>
    <s v="PALF"/>
    <x v="5"/>
    <s v="Congo"/>
    <m/>
    <m/>
    <m/>
  </r>
  <r>
    <x v="105"/>
    <s v="Cumul frais de transport local du mois d'Avril 2025/T73"/>
    <s v="Transport"/>
    <s v="Investigations"/>
    <n v="72100"/>
    <n v="123.68997562226694"/>
    <n v="582.90899999999999"/>
    <s v="T73"/>
    <s v="T73-A-D3"/>
    <s v="PALF"/>
    <x v="5"/>
    <s v="Congo"/>
    <m/>
    <m/>
    <m/>
  </r>
  <r>
    <x v="105"/>
    <s v="Cumul frais de transport local du mois d'Avril 2025/Roderlin"/>
    <s v="Transport"/>
    <s v="Legal"/>
    <n v="46800"/>
    <n v="80.286974467712795"/>
    <n v="582.90899999999999"/>
    <s v="Roderlin"/>
    <s v="RO-A-D5"/>
    <s v="PALF"/>
    <x v="5"/>
    <s v="Congo"/>
    <m/>
    <m/>
    <m/>
  </r>
  <r>
    <x v="105"/>
    <s v="DONALD ROMEO- CONGO Frais d'hôtel du  28 au 30/04/2025 à Owando (02 Nuitées)"/>
    <s v="Travel Subsistence"/>
    <s v="Legal"/>
    <n v="30000"/>
    <n v="51.466009274174873"/>
    <n v="582.90899999999999"/>
    <s v="Donald-Roméo"/>
    <s v="DR-A-R10"/>
    <s v="PALF"/>
    <x v="5"/>
    <s v="Congo"/>
    <m/>
    <m/>
    <m/>
  </r>
  <r>
    <x v="105"/>
    <s v="Cumul frais de transport local du mois d'Avril 2025/ Donald-Romeo"/>
    <s v="Transport "/>
    <s v="Legal"/>
    <n v="30000"/>
    <n v="51.466009274174873"/>
    <n v="582.90899999999999"/>
    <s v="Donald-Roméo"/>
    <s v="DR-A-D3"/>
    <s v="PALF"/>
    <x v="5"/>
    <s v="Congo"/>
    <m/>
    <m/>
    <m/>
  </r>
  <r>
    <x v="105"/>
    <s v="Reglement honoraire du mois de d'Avril 2025/P29/3654846"/>
    <s v="Personnel"/>
    <s v="Investigations"/>
    <n v="440000"/>
    <n v="754.8348026878981"/>
    <n v="582.90899999999999"/>
    <s v="BCI"/>
    <s v="BQ-A-R22"/>
    <s v="PALF"/>
    <x v="5"/>
    <s v="Congo"/>
    <m/>
    <m/>
    <m/>
  </r>
  <r>
    <x v="105"/>
    <s v="Reglement honoraire du mois d'Avril 2025/G12/3654859"/>
    <s v="Personnel"/>
    <s v="Investigations"/>
    <n v="240000"/>
    <n v="411.72807419339898"/>
    <n v="582.90899999999999"/>
    <s v="BCI"/>
    <s v="BQ-A-R23"/>
    <s v="PALF"/>
    <x v="5"/>
    <s v="Congo"/>
    <m/>
    <m/>
    <m/>
  </r>
  <r>
    <x v="105"/>
    <s v="Reglement honoraire du mois d'Avril 2025/T73/365482960"/>
    <s v="Personnel"/>
    <s v="Investigations"/>
    <n v="240000"/>
    <n v="411.72807419339898"/>
    <n v="582.90899999999999"/>
    <s v="BCI"/>
    <s v="BQ-A-R24"/>
    <s v="PALF"/>
    <x v="5"/>
    <s v="Congo"/>
    <m/>
    <m/>
    <m/>
  </r>
  <r>
    <x v="106"/>
    <s v="Bonus media portant sur l'interpellation de 2 Présumés trafiquants le 29/04/2025 à Owando"/>
    <s v="Bonus to media officer"/>
    <s v="Media"/>
    <n v="124000"/>
    <n v="213.92367065415789"/>
    <n v="579.64599999999996"/>
    <s v="Evariste"/>
    <s v="CA-MA-D1"/>
    <s v="PALF"/>
    <x v="1"/>
    <s v="Congo"/>
    <m/>
    <m/>
    <m/>
  </r>
  <r>
    <x v="107"/>
    <s v="Achat billet Brazzaville-kimongo/ P29"/>
    <s v="Transport"/>
    <s v="Investigations"/>
    <n v="12000"/>
    <n v="20.702290708466894"/>
    <n v="579.64599999999996"/>
    <s v="P29"/>
    <s v="P29-MA-R1"/>
    <s v="PALF"/>
    <x v="1"/>
    <s v="Congo"/>
    <m/>
    <m/>
    <m/>
  </r>
  <r>
    <x v="107"/>
    <s v="P29 - CONGO Ration  du 03 au 10/05/2025 à  (07 Nuitées)"/>
    <s v="Travel Subsistence"/>
    <s v="Investigations"/>
    <n v="70000"/>
    <n v="120.76336246605688"/>
    <n v="579.64599999999996"/>
    <s v="P29"/>
    <s v="P29-MA-D1"/>
    <s v="PALF"/>
    <x v="1"/>
    <s v="Congo"/>
    <m/>
    <m/>
    <m/>
  </r>
  <r>
    <x v="107"/>
    <s v="achat billet : brazzaville - Pointe noire/T73"/>
    <s v="Transport"/>
    <s v="Investigations"/>
    <n v="12000"/>
    <n v="20.702290708466894"/>
    <n v="579.64599999999996"/>
    <s v="T73"/>
    <s v="T73-MA-R1"/>
    <s v="PALF"/>
    <x v="1"/>
    <s v="Congo"/>
    <m/>
    <m/>
    <m/>
  </r>
  <r>
    <x v="107"/>
    <s v="T73-CONGO Ration  du 03 au 10 /05/2025  à Pointe Noire, Madingo Kayes"/>
    <s v="Travel Subsistence"/>
    <s v="Investigations"/>
    <n v="70000"/>
    <n v="120.76336246605688"/>
    <n v="579.64599999999996"/>
    <s v="T73"/>
    <s v="T73-MA-D1"/>
    <s v="PALF"/>
    <x v="1"/>
    <s v="Congo"/>
    <m/>
    <m/>
    <m/>
  </r>
  <r>
    <x v="107"/>
    <s v="Achat billet Brazzaville - loudima /G12"/>
    <s v="Transport"/>
    <s v="Investigations"/>
    <n v="7000"/>
    <n v="12.076336246605688"/>
    <n v="579.64599999999996"/>
    <s v="G12"/>
    <s v="G12-MA-R1"/>
    <s v="PALF"/>
    <x v="1"/>
    <s v="Congo"/>
    <m/>
    <m/>
    <m/>
  </r>
  <r>
    <x v="107"/>
    <s v="G12-CONGO Rations du 03 au 10 /05/2025 à Sibiti, Zanaga et Loudima"/>
    <s v="Travel Subsistence"/>
    <s v="Investigations"/>
    <n v="70000"/>
    <n v="120.76336246605688"/>
    <n v="579.64599999999996"/>
    <s v="G12"/>
    <s v="G12-MA-D1"/>
    <s v="PALF"/>
    <x v="1"/>
    <s v="Congo"/>
    <m/>
    <m/>
    <m/>
  </r>
  <r>
    <x v="107"/>
    <s v="Achat billet Loudima - Sibiti /G12"/>
    <s v="Transport"/>
    <s v="Investigations"/>
    <n v="4000"/>
    <n v="6.9007635694889649"/>
    <n v="579.64599999999996"/>
    <s v="G12"/>
    <s v="G12-MA-R2"/>
    <s v="PALF"/>
    <x v="1"/>
    <s v="Congo"/>
    <m/>
    <m/>
    <m/>
  </r>
  <r>
    <x v="108"/>
    <s v="Paiement salaire du mois d'Avril 2025/FOUMBA Roderlin/36552"/>
    <s v="Personnel"/>
    <s v="Legal"/>
    <n v="200000"/>
    <n v="343.10696393911502"/>
    <n v="582.90899999999999"/>
    <s v="BCI"/>
    <s v="BQ-MA-R13"/>
    <s v="PALF"/>
    <x v="5"/>
    <s v="Congo"/>
    <m/>
    <m/>
    <m/>
  </r>
  <r>
    <x v="108"/>
    <s v="credit  teléphonique MTN/PALF/Première partie du mois de Mai 2025/Management"/>
    <s v="Telephone"/>
    <s v="Management"/>
    <n v="21000"/>
    <n v="36.026231213607076"/>
    <n v="579.64599999999996"/>
    <s v="DOVI"/>
    <s v="DH-MA-R2"/>
    <s v="PALF"/>
    <x v="1"/>
    <s v="Congo"/>
    <m/>
    <m/>
    <m/>
  </r>
  <r>
    <x v="108"/>
    <s v="credit  teléphonique MTN/PALF/Première partie du mois de Mai 2025/Legal"/>
    <s v="Telephone"/>
    <s v="Legal"/>
    <n v="16000"/>
    <n v="27.448557115129201"/>
    <n v="579.64599999999996"/>
    <s v="Crépin"/>
    <s v="CR-MA-R12"/>
    <s v="PALF"/>
    <x v="1"/>
    <s v="Congo"/>
    <m/>
    <m/>
    <m/>
  </r>
  <r>
    <x v="108"/>
    <s v="credit  teléphonique Airtel/PALF/Première partie du mois de Mai 2025/Legal"/>
    <s v="Telephone"/>
    <s v="Legal"/>
    <n v="5000"/>
    <n v="8.5776740984778748"/>
    <n v="579.64599999999996"/>
    <s v="Crépin"/>
    <s v="CR-MA-R13"/>
    <s v="PALF"/>
    <x v="1"/>
    <s v="Congo"/>
    <m/>
    <m/>
    <m/>
  </r>
  <r>
    <x v="108"/>
    <s v="Bonus du mois de Avril 2025/Crépin"/>
    <s v="Personnel"/>
    <s v="Legal"/>
    <n v="30000"/>
    <n v="51.466044590867249"/>
    <n v="582.90899999999999"/>
    <s v="Crépin"/>
    <s v="CA-MA-D7"/>
    <s v="PALF"/>
    <x v="5"/>
    <s v="Congo"/>
    <m/>
    <m/>
    <m/>
  </r>
  <r>
    <x v="108"/>
    <s v="Frais de transfert d'argent à P29 "/>
    <s v="Transfer Fees"/>
    <s v="Office"/>
    <n v="3225"/>
    <n v="5.5325997935182292"/>
    <n v="579.64599999999996"/>
    <s v="Parfaite"/>
    <s v="CA-MA-R1"/>
    <s v="PALF"/>
    <x v="1"/>
    <s v="Congo"/>
    <m/>
    <m/>
    <m/>
  </r>
  <r>
    <x v="108"/>
    <s v="Bonus du mois d'Avril 2025/Parfaite"/>
    <s v="Personnel"/>
    <s v="Office"/>
    <n v="30000"/>
    <n v="51.466044590867249"/>
    <n v="582.90899999999999"/>
    <s v="Parfaite"/>
    <s v="CA-MA-D2"/>
    <s v="PALF"/>
    <x v="5"/>
    <s v="Congo"/>
    <m/>
    <m/>
    <m/>
  </r>
  <r>
    <x v="108"/>
    <s v="credit  teléphonique MTN/PALF/Première partie du mois de Mai 2025/Office"/>
    <s v="Telephone"/>
    <s v="Office"/>
    <n v="21000"/>
    <n v="36.026231213607076"/>
    <n v="579.64599999999996"/>
    <s v="Parfaite"/>
    <s v="P-MA-R1"/>
    <s v="PALF"/>
    <x v="1"/>
    <s v="Congo"/>
    <m/>
    <m/>
    <m/>
  </r>
  <r>
    <x v="108"/>
    <s v="credit  teléphonique MTN/PALF/Première partie du mois de Mai 2025/Investigation"/>
    <s v="Telephone"/>
    <s v="Investigations"/>
    <n v="10000"/>
    <n v="17.15534819695575"/>
    <n v="579.64599999999996"/>
    <s v="P29"/>
    <s v="P29-MA-R19"/>
    <s v="PALF"/>
    <x v="1"/>
    <s v="Congo"/>
    <m/>
    <m/>
    <m/>
  </r>
  <r>
    <x v="108"/>
    <s v="credit  teléphonique Airtel/PALF/Première partie du mois de mai 2025/Investigation"/>
    <s v="Telephone"/>
    <s v="Investigations"/>
    <n v="16000"/>
    <n v="27.448557115129201"/>
    <n v="579.64599999999996"/>
    <s v="P29"/>
    <s v="P29-MA-R20"/>
    <s v="PALF"/>
    <x v="1"/>
    <s v="Congo"/>
    <m/>
    <m/>
    <m/>
  </r>
  <r>
    <x v="108"/>
    <s v="credit  teléphonique MTN/PALF/Première partie du mois de Mai 2025/Investigation"/>
    <s v="Telephone"/>
    <s v="Investigations"/>
    <n v="26000"/>
    <n v="44.603905312084947"/>
    <n v="579.64599999999996"/>
    <s v="T73"/>
    <s v="T73-MA-R17"/>
    <s v="PALF"/>
    <x v="1"/>
    <s v="Congo"/>
    <m/>
    <m/>
    <m/>
  </r>
  <r>
    <x v="108"/>
    <s v="credit  teléphonique MTN/PALF/Première partie du mois de mai 2025/Investigation"/>
    <s v="Telephone"/>
    <s v="Investigations"/>
    <n v="26000"/>
    <n v="44.603905312084947"/>
    <n v="579.64599999999996"/>
    <s v="G12"/>
    <s v="G12-MA-R19"/>
    <s v="PALF"/>
    <x v="1"/>
    <s v="Congo"/>
    <m/>
    <m/>
    <m/>
  </r>
  <r>
    <x v="108"/>
    <s v="credit  teléphonique MTN/PALF/Première partie du mois de Mai 2025/Legal"/>
    <s v="Telephone"/>
    <s v="Legal"/>
    <n v="16000"/>
    <n v="27.448557115129201"/>
    <n v="579.64599999999996"/>
    <s v="Abraham"/>
    <s v="AB-MA-R3"/>
    <s v="PALF"/>
    <x v="1"/>
    <s v="Congo"/>
    <m/>
    <m/>
    <m/>
  </r>
  <r>
    <x v="108"/>
    <s v="credit  teléphonique Airtel/PALF/Première partie du mois de mai 2025/Legal"/>
    <s v="Telephone"/>
    <s v="Legal"/>
    <n v="5000"/>
    <n v="8.5776740984778748"/>
    <n v="579.64599999999996"/>
    <s v="Abraham"/>
    <s v="AB-MA-R4"/>
    <s v="PALF"/>
    <x v="1"/>
    <s v="Congo"/>
    <m/>
    <m/>
    <m/>
  </r>
  <r>
    <x v="108"/>
    <s v="Frais de transfert d'argent à G12 et T73"/>
    <s v="Transfer Fees"/>
    <s v="Office"/>
    <n v="4960"/>
    <n v="8.5090527056900527"/>
    <n v="579.64599999999996"/>
    <s v="Abraham"/>
    <s v="CA-MA-R2"/>
    <s v="PALF"/>
    <x v="1"/>
    <s v="Congo"/>
    <m/>
    <m/>
    <m/>
  </r>
  <r>
    <x v="108"/>
    <s v="Bonus du mois d'Avril 2025/Abraham"/>
    <s v="Personnel"/>
    <s v="Legal"/>
    <n v="30000"/>
    <n v="51.466044590867249"/>
    <n v="582.90899999999999"/>
    <s v="Abraham"/>
    <s v="CA-MA-D5"/>
    <s v="PALF"/>
    <x v="5"/>
    <s v="Congo"/>
    <m/>
    <m/>
    <m/>
  </r>
  <r>
    <x v="108"/>
    <s v="Bonus du mois de d'avril 2025/Roderlin"/>
    <s v="Personnel"/>
    <s v="Legal"/>
    <n v="30000"/>
    <n v="51.466044590867249"/>
    <n v="582.90899999999999"/>
    <s v="Roderlin"/>
    <s v="CA-MA-D6"/>
    <s v="PALF"/>
    <x v="5"/>
    <s v="Congo"/>
    <m/>
    <m/>
    <m/>
  </r>
  <r>
    <x v="108"/>
    <s v="Bonus du mois d'Avril 2025/Donal-Roméo"/>
    <s v="Personnel"/>
    <s v="Legal"/>
    <n v="30000"/>
    <n v="51.466044590867249"/>
    <n v="582.90899999999999"/>
    <s v="Donald-Roméo"/>
    <s v="CA-MA-D4"/>
    <s v="PALF"/>
    <x v="5"/>
    <s v="Congo"/>
    <m/>
    <m/>
    <m/>
  </r>
  <r>
    <x v="108"/>
    <s v="credit  teléphonique MTN/PALF/Première partie du mois de Mai 2025/Legal"/>
    <s v="Telephone"/>
    <s v="Legal"/>
    <n v="21000"/>
    <n v="36.026231213607076"/>
    <n v="579.64599999999996"/>
    <s v="Donald-Roméo"/>
    <s v="DR-MA-R9"/>
    <s v="PALF"/>
    <x v="1"/>
    <s v="Congo"/>
    <m/>
    <m/>
    <m/>
  </r>
  <r>
    <x v="108"/>
    <s v="Bonus du mois d'Avril 2025/Romain"/>
    <s v="Personnel"/>
    <s v="Legal"/>
    <n v="30000"/>
    <n v="51.466044590867249"/>
    <n v="582.90899999999999"/>
    <s v="Romain"/>
    <s v="CA-MA-D3"/>
    <s v="PALF"/>
    <x v="5"/>
    <s v="Congo"/>
    <m/>
    <m/>
    <m/>
  </r>
  <r>
    <x v="108"/>
    <s v="credit  teléphonique MTN/PALF/Première partie du mois de Mai 2025/Legal"/>
    <s v="Telephone"/>
    <s v="Legal"/>
    <n v="21000"/>
    <n v="36.026231213607076"/>
    <n v="579.64599999999996"/>
    <s v="Romain"/>
    <s v="RM-MA-R8"/>
    <s v="PALF"/>
    <x v="1"/>
    <s v="Congo"/>
    <m/>
    <m/>
    <m/>
  </r>
  <r>
    <x v="109"/>
    <s v="Solde  honoraire contrat n°82 Owando cas NGASSAKI et ELOMBO/ Maître BANZOUZI Alain/3654862"/>
    <s v="Lawyer Fees"/>
    <s v="Legal"/>
    <n v="300000"/>
    <n v="514.6604459086725"/>
    <n v="579.64599999999996"/>
    <s v="BCI"/>
    <s v="BQ-MA-R1"/>
    <s v="PALF"/>
    <x v="1"/>
    <s v="Congo"/>
    <m/>
    <m/>
    <m/>
  </r>
  <r>
    <x v="109"/>
    <s v="Règlement loyer/Avril 2025 (Coordinateur)"/>
    <s v="Personnel"/>
    <s v="Management"/>
    <n v="174625"/>
    <n v="299.57526788933978"/>
    <n v="582.90899999999999"/>
    <s v="DOVI"/>
    <s v="DH-MA-R1"/>
    <s v="PALF"/>
    <x v="5"/>
    <s v="Congo"/>
    <m/>
    <m/>
    <m/>
  </r>
  <r>
    <x v="109"/>
    <s v="P29 -CONGO Frais d'hotel du 03 au 06/05/2025 à Kimongo"/>
    <s v="Travel Subsistence"/>
    <s v="Investigations"/>
    <n v="45000"/>
    <n v="77.199066886300869"/>
    <n v="579.64599999999996"/>
    <s v="P29"/>
    <s v="P29-MA-R2"/>
    <s v="PALF"/>
    <x v="1"/>
    <s v="Congo"/>
    <m/>
    <m/>
    <m/>
  </r>
  <r>
    <x v="109"/>
    <s v="Achat billet kimongo-dibeni/P29"/>
    <s v="Transport"/>
    <s v="Investigations"/>
    <n v="6000"/>
    <n v="10.29320891817345"/>
    <n v="579.64599999999996"/>
    <s v="P29"/>
    <s v="P29-MA-R3"/>
    <s v="PALF"/>
    <x v="1"/>
    <s v="Congo"/>
    <m/>
    <m/>
    <m/>
  </r>
  <r>
    <x v="109"/>
    <s v="T73 - CONGO Frais d'hotel du 03 au 06/05/2025  à Pointe noire (03 Nuitées)"/>
    <s v="Travel Subsistence"/>
    <s v="Investigations"/>
    <n v="45000"/>
    <n v="77.199066886300869"/>
    <n v="579.64599999999996"/>
    <s v="T73"/>
    <s v="T73-MA-R2"/>
    <s v="PALF"/>
    <x v="1"/>
    <s v="Congo"/>
    <m/>
    <m/>
    <m/>
  </r>
  <r>
    <x v="109"/>
    <s v="Achat billet Pointe noire - Madingo kaye/T73"/>
    <s v="Transport"/>
    <s v="Investigations"/>
    <n v="5000"/>
    <n v="8.5776740984778748"/>
    <n v="579.64599999999996"/>
    <s v="T73"/>
    <s v="T73-MA-R3"/>
    <s v="PALF"/>
    <x v="1"/>
    <s v="Congo"/>
    <m/>
    <m/>
    <m/>
  </r>
  <r>
    <x v="109"/>
    <s v="G12-CONGO Frais d'hôtel du 03 au 06 /05/2025 à SIBITI (03 Nuitées)"/>
    <s v="Travel Subsistence"/>
    <s v="Investigations"/>
    <n v="45000"/>
    <n v="77.199066886300869"/>
    <n v="579.64599999999996"/>
    <s v="G12"/>
    <s v="G12-MA-R3"/>
    <s v="PALF"/>
    <x v="1"/>
    <s v="Congo"/>
    <m/>
    <m/>
    <m/>
  </r>
  <r>
    <x v="109"/>
    <s v="Achat billet Sibiti - Zanaga /G12"/>
    <s v="Transport"/>
    <s v="Investigations"/>
    <n v="10000"/>
    <n v="17.15534819695575"/>
    <n v="579.64599999999996"/>
    <s v="G12"/>
    <s v="G12-MA-R4"/>
    <s v="PALF"/>
    <x v="1"/>
    <s v="Congo"/>
    <m/>
    <m/>
    <m/>
  </r>
  <r>
    <x v="109"/>
    <s v="Frais de transport mission Maitre Alain à Dolisie du 07 au 10/05/2025"/>
    <s v="Transport"/>
    <s v="Legal"/>
    <n v="28000"/>
    <n v="48.034974951476102"/>
    <n v="579.64599999999996"/>
    <s v="Abraham"/>
    <s v="CA-MA-R3"/>
    <s v="PALF"/>
    <x v="1"/>
    <s v="Congo"/>
    <m/>
    <m/>
    <m/>
  </r>
  <r>
    <x v="109"/>
    <s v="Ration et frais d'hotel mission maitre Alain à Dolisie du 07 au 10/05/2025"/>
    <s v="Travel Subsistence"/>
    <s v="Legal"/>
    <n v="75000"/>
    <n v="128.66511147716813"/>
    <n v="579.64599999999996"/>
    <s v="Abraham"/>
    <s v="CA-MA-R4"/>
    <s v="PALF"/>
    <x v="1"/>
    <s v="Congo"/>
    <m/>
    <m/>
    <m/>
  </r>
  <r>
    <x v="109"/>
    <s v="credit  teléphonique MTN/PALF/Première partie du mois de Mai 2025/Legal"/>
    <s v="Telephone"/>
    <s v="Legal"/>
    <n v="21000"/>
    <n v="36.026231213607076"/>
    <n v="579.64599999999996"/>
    <s v="Roderlin"/>
    <s v="RO-MA-R6"/>
    <s v="PALF"/>
    <x v="1"/>
    <s v="Congo"/>
    <m/>
    <m/>
    <m/>
  </r>
  <r>
    <x v="109"/>
    <s v="Achat billet Brazzaville-Dolisie/Donald-Roméo"/>
    <s v="Transport "/>
    <s v="Legal"/>
    <n v="10000"/>
    <n v="17.15534819695575"/>
    <n v="579.64599999999996"/>
    <s v="Donald-Roméo"/>
    <s v="DR-MA-R1"/>
    <s v="PALF"/>
    <x v="1"/>
    <s v="Congo"/>
    <m/>
    <m/>
    <m/>
  </r>
  <r>
    <x v="109"/>
    <s v="Achat billet:Brazzaville-Dolisie/ Romain"/>
    <s v="Transport"/>
    <s v="Legal"/>
    <n v="10000"/>
    <n v="17.15534819695575"/>
    <n v="579.64599999999996"/>
    <s v="Romain"/>
    <s v="RM-MA-R1"/>
    <s v="PALF"/>
    <x v="1"/>
    <s v="Congo"/>
    <m/>
    <m/>
    <m/>
  </r>
  <r>
    <x v="110"/>
    <s v="Reglement Facture Gardiennage Mois d'Avril 2025/3654863"/>
    <s v="Services"/>
    <s v="Office"/>
    <n v="260000"/>
    <n v="446.03905312084947"/>
    <n v="579.64599999999996"/>
    <s v="BCI"/>
    <s v="BQ-MA-R2"/>
    <s v="PALF"/>
    <x v="1"/>
    <s v="Congo"/>
    <m/>
    <m/>
    <m/>
  </r>
  <r>
    <x v="110"/>
    <s v="Achat produit d'entretien lait,sucre,javel,papier toilette,sucre,café/Bureau PALF"/>
    <s v="Office Materials"/>
    <s v="Office"/>
    <n v="47400"/>
    <n v="81.316350453570251"/>
    <n v="579.64599999999996"/>
    <s v="Parfaite"/>
    <s v="CA-MA-R5"/>
    <s v="PALF"/>
    <x v="1"/>
    <s v="Congo"/>
    <m/>
    <m/>
    <m/>
  </r>
  <r>
    <x v="110"/>
    <s v="DONALD-ROMEO/ CONGO Ration  du  07 au 10/05/2025 à Dolisie"/>
    <s v="Travel Subsistence"/>
    <s v="Legal"/>
    <n v="30000"/>
    <n v="51.466044590867249"/>
    <n v="579.64599999999996"/>
    <s v="Donald-Roméo"/>
    <s v="DR-MA-D1"/>
    <s v="PALF"/>
    <x v="1"/>
    <s v="Congo"/>
    <m/>
    <m/>
    <m/>
  </r>
  <r>
    <x v="110"/>
    <s v="ROMAIN-CONGO Ration du 07 au 10/05/2025 à Dolisie"/>
    <s v="Travel Subsistence"/>
    <s v="Legal"/>
    <n v="30000"/>
    <n v="51.466044590867249"/>
    <n v="579.64599999999996"/>
    <s v="Romain"/>
    <s v="RM-MA-D1"/>
    <s v="PALF"/>
    <x v="1"/>
    <s v="Congo"/>
    <m/>
    <m/>
    <m/>
  </r>
  <r>
    <x v="111"/>
    <s v="P29 -CONGO Frais d'hotel du 06 au 08/05/2025 à Dibeni"/>
    <s v="Travel Subsistence"/>
    <s v="Investigations"/>
    <n v="30000"/>
    <n v="51.466044590867249"/>
    <n v="579.64599999999996"/>
    <s v="P29"/>
    <s v="P29-MA-R4"/>
    <s v="PALF"/>
    <x v="1"/>
    <s v="Congo"/>
    <m/>
    <m/>
    <m/>
  </r>
  <r>
    <x v="111"/>
    <s v="Achat billet dibeni-dolisie/P29"/>
    <s v="Transport"/>
    <s v="Investigations"/>
    <n v="7000"/>
    <n v="12.008743737869025"/>
    <n v="579.64599999999996"/>
    <s v="P29"/>
    <s v="P29-MA-R5"/>
    <s v="PALF"/>
    <x v="1"/>
    <s v="Congo"/>
    <m/>
    <m/>
    <m/>
  </r>
  <r>
    <x v="111"/>
    <s v="T73 - CONGO Frais d'hotel du 06 au 08/05/2025  à Madingo kayes(02 Nuitées)"/>
    <s v="Travel Subsistence"/>
    <s v="Investigations"/>
    <n v="30000"/>
    <n v="51.466044590867249"/>
    <n v="579.64599999999996"/>
    <s v="T73"/>
    <s v="T73-MA-R4"/>
    <s v="PALF"/>
    <x v="1"/>
    <s v="Congo"/>
    <m/>
    <m/>
    <m/>
  </r>
  <r>
    <x v="111"/>
    <s v="Achat billet  Madingo kaye - Pounga/ T73"/>
    <s v="Transport"/>
    <s v="Investigations"/>
    <n v="7000"/>
    <n v="12.008743737869025"/>
    <n v="579.64599999999996"/>
    <s v="T73"/>
    <s v="T73-MA-R5"/>
    <s v="PALF"/>
    <x v="1"/>
    <s v="Congo"/>
    <m/>
    <m/>
    <m/>
  </r>
  <r>
    <x v="111"/>
    <s v="G12-CONGO Frais d'hotel du 06 au 08 /05/2025 à Zanaga (02 Nuitées)"/>
    <s v="Travel Subsistence"/>
    <s v="Investigations"/>
    <n v="30000"/>
    <n v="51.466044590867249"/>
    <n v="579.64599999999996"/>
    <s v="G12"/>
    <s v="G12-MA-R5"/>
    <s v="PALF"/>
    <x v="1"/>
    <s v="Congo"/>
    <m/>
    <m/>
    <m/>
  </r>
  <r>
    <x v="111"/>
    <s v="Achat billet Zanaga - Sibiti/G12"/>
    <s v="Transport"/>
    <s v="Investigations"/>
    <n v="10000"/>
    <n v="17.15534819695575"/>
    <n v="579.64599999999996"/>
    <s v="G12"/>
    <s v="G12-MA-R6"/>
    <s v="PALF"/>
    <x v="1"/>
    <s v="Congo"/>
    <m/>
    <m/>
    <m/>
  </r>
  <r>
    <x v="111"/>
    <s v="Achat bilet Sibiti - Loudima/G12"/>
    <s v="Transport"/>
    <s v="Investigations"/>
    <n v="4000"/>
    <n v="6.8621392787823003"/>
    <n v="579.64599999999996"/>
    <s v="G12"/>
    <s v="G12-MA-R7"/>
    <s v="PALF"/>
    <x v="1"/>
    <s v="Congo"/>
    <m/>
    <m/>
    <m/>
  </r>
  <r>
    <x v="112"/>
    <s v="Paiement Honoraire Me LOCKO/Mois d'Avril 2025/3654856"/>
    <s v="Lawyer Fees"/>
    <s v="Legal"/>
    <n v="150000"/>
    <n v="257.33022295433625"/>
    <n v="579.64599999999996"/>
    <s v="BCI"/>
    <s v="BQ-MA-R14"/>
    <s v="PALF"/>
    <x v="1"/>
    <s v="Congo"/>
    <m/>
    <m/>
    <m/>
  </r>
  <r>
    <x v="112"/>
    <s v="Achat billet dolisie-Brazzaville/P29"/>
    <s v="Transport"/>
    <s v="Investigations"/>
    <n v="10000"/>
    <n v="17.15534819695575"/>
    <n v="579.64599999999996"/>
    <s v="P29"/>
    <s v="P29-MA-R6"/>
    <s v="PALF"/>
    <x v="1"/>
    <s v="Congo"/>
    <m/>
    <m/>
    <m/>
  </r>
  <r>
    <x v="112"/>
    <s v="Frais de transfert d'argent à Donald-Roméo ,Me Alain et  Romain"/>
    <s v="Transfer Fees"/>
    <s v="Office"/>
    <n v="3270"/>
    <n v="5.6097988604045304"/>
    <n v="579.64599999999996"/>
    <s v="Roderlin"/>
    <s v="CA-MA-R6"/>
    <s v="PALF"/>
    <x v="1"/>
    <s v="Congo"/>
    <m/>
    <m/>
    <m/>
  </r>
  <r>
    <x v="112"/>
    <s v="Réglement facture électricité periode Mars-Avril 2025/bureau PALF"/>
    <s v="Rent &amp; Utilities"/>
    <s v="Office"/>
    <n v="68737"/>
    <n v="117.92071690141474"/>
    <n v="579.64599999999996"/>
    <s v="Roderlin"/>
    <s v="CA-MA-R7"/>
    <s v="PALF"/>
    <x v="1"/>
    <s v="Congo"/>
    <m/>
    <m/>
    <m/>
  </r>
  <r>
    <x v="112"/>
    <s v="Achat billet Dolisie-Brazzaville/Donald-Roméo"/>
    <s v="Transport "/>
    <s v="Legal"/>
    <n v="10000"/>
    <n v="17.15534819695575"/>
    <n v="579.64599999999996"/>
    <s v="Donald-Roméo"/>
    <s v="DR-MA-R2"/>
    <s v="PALF"/>
    <x v="1"/>
    <s v="Congo"/>
    <m/>
    <m/>
    <m/>
  </r>
  <r>
    <x v="112"/>
    <s v="Frais d'expédition"/>
    <s v="Court fees"/>
    <s v="Legal"/>
    <n v="20000"/>
    <n v="34.310696393911499"/>
    <n v="579.64599999999996"/>
    <s v="Romain"/>
    <s v="RM-MA-R2"/>
    <s v="PALF"/>
    <x v="1"/>
    <s v="Congo"/>
    <m/>
    <m/>
    <m/>
  </r>
  <r>
    <x v="112"/>
    <s v="Achat billet  Dolisie-Brazzaville/ Romain"/>
    <s v="Transport"/>
    <s v="Legal"/>
    <n v="10000"/>
    <n v="17.15534819695575"/>
    <n v="579.64599999999996"/>
    <s v="Romain"/>
    <s v="RM-MA-R3"/>
    <s v="PALF"/>
    <x v="1"/>
    <s v="Congo"/>
    <m/>
    <m/>
    <m/>
  </r>
  <r>
    <x v="113"/>
    <s v="P29 -CONGO Frais d'hotel du 08 au 10/05/2025 à Dolisie"/>
    <s v="Travel Subsistence"/>
    <s v="Investigations"/>
    <n v="30000"/>
    <n v="51.466044590867249"/>
    <n v="579.64599999999996"/>
    <s v="P29"/>
    <s v="P29-MA-R7"/>
    <s v="PALF"/>
    <x v="1"/>
    <s v="Congo"/>
    <m/>
    <m/>
    <m/>
  </r>
  <r>
    <x v="113"/>
    <s v="T73 - CONGO Frais d'hotel du 06 au 08/05/2025 à Pounga (02 Nuitées)"/>
    <s v="Travel Subsistence"/>
    <s v="Investigations"/>
    <n v="30000"/>
    <n v="51.466044590867249"/>
    <n v="579.64599999999996"/>
    <s v="T73"/>
    <s v="T73-MA-R6"/>
    <s v="PALF"/>
    <x v="1"/>
    <s v="Congo"/>
    <m/>
    <m/>
    <m/>
  </r>
  <r>
    <x v="113"/>
    <s v="Achat billet  Pounga - Brazzaville/T73"/>
    <s v="Transport"/>
    <s v="Investigations"/>
    <n v="12000"/>
    <n v="20.5864178363469"/>
    <n v="579.64599999999996"/>
    <s v="T73"/>
    <s v="T73-MA-R7"/>
    <s v="PALF"/>
    <x v="1"/>
    <s v="Congo"/>
    <m/>
    <m/>
    <m/>
  </r>
  <r>
    <x v="113"/>
    <s v="G12-CONGO Frais d'hotel du 08 au 10 /05/2025 à Loudima (02 Nuitées)"/>
    <s v="Travel Subsistence"/>
    <s v="Investigations"/>
    <n v="30000"/>
    <n v="51.466044590867249"/>
    <n v="579.64599999999996"/>
    <s v="G12"/>
    <s v="G12-MA-R8"/>
    <s v="PALF"/>
    <x v="1"/>
    <s v="Congo"/>
    <m/>
    <m/>
    <m/>
  </r>
  <r>
    <x v="113"/>
    <s v="Achat billet Loudima - Brazzaville/G12"/>
    <s v="Transport"/>
    <s v="Investigations"/>
    <n v="7000"/>
    <n v="12.008743737869025"/>
    <n v="579.64599999999996"/>
    <s v="G12"/>
    <s v="G12-MA-R9"/>
    <s v="PALF"/>
    <x v="1"/>
    <s v="Congo"/>
    <m/>
    <m/>
    <m/>
  </r>
  <r>
    <x v="113"/>
    <s v="DONALD-ROMEO/CONGO Frais d'hôtel du 07 au 10/05/2025 à Dolisie (03 Nuitées)"/>
    <s v="Travel Subsistence"/>
    <s v="Legal"/>
    <n v="45000"/>
    <n v="77.199066886300869"/>
    <n v="579.64599999999996"/>
    <s v="Donald-Roméo"/>
    <s v="DR-MA-R3"/>
    <s v="PALF"/>
    <x v="1"/>
    <s v="Congo"/>
    <m/>
    <m/>
    <m/>
  </r>
  <r>
    <x v="113"/>
    <s v="ROMAIN-CONGO Frais d'Hotel du 07 au 10/05/2025 à Dolisie (03nuitées)"/>
    <s v="Travel Subsistence"/>
    <s v="Legal"/>
    <n v="45000"/>
    <n v="77.199066886300869"/>
    <n v="579.64599999999996"/>
    <s v="Romain"/>
    <s v="RM-MA-R4"/>
    <s v="PALF"/>
    <x v="1"/>
    <s v="Congo"/>
    <m/>
    <m/>
    <m/>
  </r>
  <r>
    <x v="114"/>
    <s v="Entretien palmier bureau PALF"/>
    <s v="Services"/>
    <s v="Office"/>
    <n v="25000"/>
    <n v="42.888370492389377"/>
    <n v="579.64599999999996"/>
    <s v="DOVI"/>
    <s v="CA-MA-R9"/>
    <s v="PALF"/>
    <x v="1"/>
    <s v="Congo"/>
    <m/>
    <m/>
    <m/>
  </r>
  <r>
    <x v="114"/>
    <s v="Achat eau mineral 16 LITRES/Bureau"/>
    <s v="Office Materials"/>
    <s v="Office"/>
    <n v="25000"/>
    <n v="42.888370492389377"/>
    <n v="579.64599999999996"/>
    <s v="Abraham"/>
    <s v="CA-MA-R8"/>
    <s v="PALF"/>
    <x v="1"/>
    <s v="Congo"/>
    <m/>
    <m/>
    <m/>
  </r>
  <r>
    <x v="115"/>
    <s v="Reglement loyer du mois de Mars 2025/3654865"/>
    <s v="Lawyer Fees"/>
    <s v="Legal"/>
    <n v="500000"/>
    <n v="857.76740984778746"/>
    <n v="579.64599999999996"/>
    <s v="BCI"/>
    <s v="BQ-MA-R12"/>
    <s v="PALF"/>
    <x v="1"/>
    <s v="Congo"/>
    <m/>
    <m/>
    <m/>
  </r>
  <r>
    <x v="116"/>
    <s v="Achat billet Brazzaville- Impfondo/P29"/>
    <s v="Transport"/>
    <s v="Investigations"/>
    <n v="33000"/>
    <n v="56.612649049953973"/>
    <n v="579.64599999999996"/>
    <s v="P29"/>
    <s v="P29-MA-R8"/>
    <s v="PALF"/>
    <x v="1"/>
    <s v="Congo"/>
    <m/>
    <m/>
    <m/>
  </r>
  <r>
    <x v="116"/>
    <s v="Achat billet  Brazzaville - Impfondo/T73"/>
    <s v="Transport"/>
    <s v="Investigations"/>
    <n v="33000"/>
    <n v="56.612649049953973"/>
    <n v="579.64599999999996"/>
    <s v="T73"/>
    <s v="T73-MA-R8"/>
    <s v="PALF"/>
    <x v="1"/>
    <s v="Congo"/>
    <m/>
    <m/>
    <m/>
  </r>
  <r>
    <x v="116"/>
    <s v="Achat billet  Brazzaville - Ouesso/G12"/>
    <s v="Transport"/>
    <s v="Investigations"/>
    <n v="10000"/>
    <n v="17.15534819695575"/>
    <n v="579.64599999999996"/>
    <s v="G12"/>
    <s v="G12-MA-R10"/>
    <s v="PALF"/>
    <x v="1"/>
    <s v="Congo"/>
    <m/>
    <m/>
    <m/>
  </r>
  <r>
    <x v="116"/>
    <s v="Achat billet Brazzaville-Impfondo/ Crepin"/>
    <s v="Transport"/>
    <s v="Legal"/>
    <n v="33000"/>
    <n v="56.612649049953973"/>
    <n v="579.64599999999996"/>
    <s v="Crépin"/>
    <s v="CR-MA-R1"/>
    <s v="PALF"/>
    <x v="1"/>
    <s v="Congo"/>
    <m/>
    <m/>
    <m/>
  </r>
  <r>
    <x v="116"/>
    <s v="Achat billet Brazzaville-Impfondo/Donald-Roméo"/>
    <s v="Transport "/>
    <s v="Legal"/>
    <n v="33000"/>
    <n v="56.612649049953973"/>
    <n v="579.64599999999996"/>
    <s v="Donald-Roméo"/>
    <s v="DR-MA-R4"/>
    <s v="PALF"/>
    <x v="1"/>
    <s v="Congo"/>
    <m/>
    <m/>
    <m/>
  </r>
  <r>
    <x v="116"/>
    <s v="RAPATRIEME01100 RAO00010812"/>
    <s v="Grant"/>
    <m/>
    <m/>
    <m/>
    <n v="560.94248000000005"/>
    <s v="BCI"/>
    <s v="BQ-MA-G1"/>
    <s v="PALF"/>
    <x v="5"/>
    <s v="Congo"/>
    <n v="14023562"/>
    <n v="25000"/>
    <m/>
  </r>
  <r>
    <x v="116"/>
    <s v="credit  teléphonique MTN/PALF/ Deuxième partie du mois de mai 2025/Management"/>
    <s v="Telephone"/>
    <s v="Legal"/>
    <n v="10000"/>
    <n v="17.15534819695575"/>
    <n v="579.64599999999996"/>
    <s v="DOVI"/>
    <s v="DH-MA-R3"/>
    <s v="PALF"/>
    <x v="1"/>
    <s v="Congo"/>
    <m/>
    <m/>
    <m/>
  </r>
  <r>
    <x v="116"/>
    <s v="CREPIN-CONGO Ration  du 15/05/ au 04/06/2025 à Ouesso et Impfondo"/>
    <s v="Travel Subsistence"/>
    <s v="Legal"/>
    <n v="200000"/>
    <n v="343.10696393911502"/>
    <n v="579.64599999999996"/>
    <s v="Crépin"/>
    <s v="CR-MA-D1"/>
    <s v="PALF"/>
    <x v="1"/>
    <s v="Congo"/>
    <m/>
    <m/>
    <m/>
  </r>
  <r>
    <x v="116"/>
    <s v="credit  teléphonique MTN/PALF/ Deuxième partie du mois de mai 2025/Legal"/>
    <s v="Telephone"/>
    <s v="Legal"/>
    <n v="5000"/>
    <n v="8.5776740984778748"/>
    <n v="579.64599999999996"/>
    <s v="Crépin"/>
    <s v="CR-MA-R14"/>
    <s v="PALF"/>
    <x v="1"/>
    <s v="Congo"/>
    <m/>
    <m/>
    <m/>
  </r>
  <r>
    <x v="116"/>
    <s v="credit  teléphonique Airtel/PALF/Deuxième  partie du mois de Mail 2025/Legal"/>
    <s v="Telephone"/>
    <s v="Legal"/>
    <n v="5000"/>
    <n v="8.5776740984778748"/>
    <n v="579.64599999999996"/>
    <s v="Crépin"/>
    <s v="CR-MA-R15"/>
    <s v="PALF"/>
    <x v="1"/>
    <s v="Congo"/>
    <m/>
    <m/>
    <m/>
  </r>
  <r>
    <x v="116"/>
    <s v="credit  teléphonique MTN/PALF/ Deuxième partie du mois de mai 2025/Office"/>
    <s v="Telephone"/>
    <s v="Legal"/>
    <n v="10000"/>
    <n v="17.15534819695575"/>
    <n v="579.64599999999996"/>
    <s v="Parfaite"/>
    <s v="P-MA-R2"/>
    <s v="PALF"/>
    <x v="1"/>
    <s v="Congo"/>
    <m/>
    <m/>
    <m/>
  </r>
  <r>
    <x v="116"/>
    <s v="P29 - CONGO Ration  du 15/05 au 05 /06/2025 à  (21 Nuitées)"/>
    <s v="Travel Subsistence"/>
    <s v="Investigations"/>
    <n v="210000"/>
    <n v="360.26231213607076"/>
    <n v="579.64599999999996"/>
    <s v="P29"/>
    <s v="P29-MA-D2"/>
    <s v="PALF"/>
    <x v="1"/>
    <s v="Congo"/>
    <m/>
    <m/>
    <m/>
  </r>
  <r>
    <x v="116"/>
    <s v="credit  teléphonique MTN/PALF/ Deuxième partie du mois de mai 2025/Investigation"/>
    <s v="Telephone"/>
    <s v="Investigations"/>
    <n v="10000"/>
    <n v="17.15534819695575"/>
    <n v="579.64599999999996"/>
    <s v="P29"/>
    <s v="P29-MA-R21"/>
    <s v="PALF"/>
    <x v="1"/>
    <s v="Congo"/>
    <m/>
    <m/>
    <m/>
  </r>
  <r>
    <x v="116"/>
    <s v="credit  teléphonique Airtel/PALF/Deuxième partie du mois de mai 2025/Investigation"/>
    <s v="Telephone"/>
    <s v="Investigations"/>
    <n v="5000"/>
    <n v="8.5776740984778748"/>
    <n v="579.64599999999996"/>
    <s v="P29"/>
    <s v="P29-MA-R22"/>
    <s v="PALF"/>
    <x v="1"/>
    <s v="Congo"/>
    <m/>
    <m/>
    <m/>
  </r>
  <r>
    <x v="116"/>
    <s v="T73-CONGO Ration du 15 au 05 /06/2025 à Impfondo"/>
    <s v="Travel Subsistence"/>
    <s v="Investigations"/>
    <n v="210000"/>
    <n v="360.26231213607076"/>
    <n v="579.64599999999996"/>
    <s v="T73"/>
    <s v="T73-MA-D2"/>
    <s v="PALF"/>
    <x v="1"/>
    <s v="Congo"/>
    <m/>
    <m/>
    <m/>
  </r>
  <r>
    <x v="116"/>
    <s v="T73 - CONGO Frais d'hotel du 15 au 16/05/2025 à Ouesso (01 Nuitée)"/>
    <s v="Travel Subsistence"/>
    <s v="Investigations"/>
    <n v="15000"/>
    <n v="25.733022295433624"/>
    <n v="579.64599999999996"/>
    <s v="T73"/>
    <s v="T73-MA-R9"/>
    <s v="PALF"/>
    <x v="1"/>
    <s v="Congo"/>
    <m/>
    <m/>
    <m/>
  </r>
  <r>
    <x v="116"/>
    <s v="credit  teléphonique MTN/PALF/ Deuxième partie du mois de mai 2025/Investigation"/>
    <s v="Telephone"/>
    <s v="Investigations"/>
    <n v="15000"/>
    <n v="25.733022295433624"/>
    <n v="579.64599999999996"/>
    <s v="T73"/>
    <s v="T73-MA-R18"/>
    <s v="PALF"/>
    <x v="1"/>
    <s v="Congo"/>
    <m/>
    <m/>
    <m/>
  </r>
  <r>
    <x v="116"/>
    <s v="G12-CONGO Rations du 15 au 23/05/2025 à Ouesso, Pokola "/>
    <s v="Travel Subsistence"/>
    <s v="Investigations"/>
    <n v="80000"/>
    <n v="137.242785575646"/>
    <n v="579.64599999999996"/>
    <s v="G12"/>
    <s v="G12-MA-D2"/>
    <s v="PALF"/>
    <x v="1"/>
    <s v="Congo"/>
    <m/>
    <m/>
    <m/>
  </r>
  <r>
    <x v="116"/>
    <s v="credit  teléphonique MTN/PALF/ Deuxième partie du mois de mai 2025/Investigation"/>
    <s v="Telephone"/>
    <s v="Investigations"/>
    <n v="5000"/>
    <n v="8.5776740984778748"/>
    <n v="579.64599999999996"/>
    <s v="G12"/>
    <s v="G12-MA-R20"/>
    <s v="PALF"/>
    <x v="1"/>
    <s v="Congo"/>
    <m/>
    <m/>
    <m/>
  </r>
  <r>
    <x v="116"/>
    <s v="credit  teléphonique Airtel/PALF/Deuxième partie du mois de mai 2025/Investigation"/>
    <s v="Telephone"/>
    <s v="Investigations"/>
    <n v="10000"/>
    <n v="17.15534819695575"/>
    <n v="579.64599999999996"/>
    <s v="G12"/>
    <s v="G12-MA-R21"/>
    <s v="PALF"/>
    <x v="1"/>
    <s v="Congo"/>
    <m/>
    <m/>
    <m/>
  </r>
  <r>
    <x v="116"/>
    <s v="credit  teléphonique MTN/PALF/ Deuxième partie du mois de mai 2025/Legal"/>
    <s v="Telephone"/>
    <s v="Legal"/>
    <n v="5000"/>
    <n v="8.5776740984778748"/>
    <n v="579.64599999999996"/>
    <s v="Abraham"/>
    <s v="AB-MA-R5"/>
    <s v="PALF"/>
    <x v="1"/>
    <s v="Congo"/>
    <m/>
    <m/>
    <m/>
  </r>
  <r>
    <x v="116"/>
    <s v="credit  teléphonique Airtel/PALF/Deuxième  partie du mois de Mail 2025/Legal"/>
    <s v="Telephone"/>
    <s v="Legal"/>
    <n v="5000"/>
    <n v="8.5776740984778748"/>
    <n v="579.64599999999996"/>
    <s v="Abraham"/>
    <s v="AB-MA-R6"/>
    <s v="PALF"/>
    <x v="1"/>
    <s v="Congo"/>
    <m/>
    <m/>
    <m/>
  </r>
  <r>
    <x v="116"/>
    <s v="credit  teléphonique MTN/PALF/ Deuxième partie du mois de mai 2025/Legal"/>
    <s v="Telephone"/>
    <s v="Legal"/>
    <n v="10000"/>
    <n v="17.15534819695575"/>
    <n v="579.64599999999996"/>
    <s v="Roderlin"/>
    <s v="RO-MA-R7"/>
    <s v="PALF"/>
    <x v="1"/>
    <s v="Congo"/>
    <m/>
    <m/>
    <m/>
  </r>
  <r>
    <x v="116"/>
    <s v="DONALD-ROMEO/CONGO Ration  du  15/05 au 04/06/2025 à Ouesso/ Impfondo"/>
    <s v="Travel Subsistence"/>
    <s v="Legal"/>
    <n v="200000"/>
    <n v="343.10696393911502"/>
    <n v="579.64599999999996"/>
    <s v="Donald-Roméo"/>
    <s v="DR-MA-D2"/>
    <s v="PALF"/>
    <x v="1"/>
    <s v="Congo"/>
    <m/>
    <m/>
    <m/>
  </r>
  <r>
    <x v="116"/>
    <s v="credit  teléphonique MTN/PALF/ Deuxième partie du mois de mai 2025/Legal"/>
    <s v="Telephone"/>
    <s v="Legal"/>
    <n v="10000"/>
    <n v="17.15534819695575"/>
    <n v="579.64599999999996"/>
    <s v="Donald-Roméo"/>
    <s v="DR-MA-R10"/>
    <s v="PALF"/>
    <x v="1"/>
    <s v="Congo"/>
    <m/>
    <m/>
    <m/>
  </r>
  <r>
    <x v="116"/>
    <s v="credit  teléphonique MTN/PALF/ Deuxième partie du mois de mai 2025/Legal"/>
    <s v="Telephone"/>
    <s v="Legal"/>
    <n v="10000"/>
    <n v="17.15534819695575"/>
    <n v="579.64599999999996"/>
    <s v="Romain"/>
    <s v="RM-MA-R9"/>
    <s v="PALF"/>
    <x v="1"/>
    <s v="Congo"/>
    <m/>
    <m/>
    <m/>
  </r>
  <r>
    <x v="117"/>
    <s v=" CREPIN-CONGO Frais d'hotel  à Ouesso du 15 au 16/05/2025 (01 Nuitée)"/>
    <s v="Travel Subsistence"/>
    <s v="Legal"/>
    <n v="15000"/>
    <n v="25.733022295433624"/>
    <n v="579.64599999999996"/>
    <s v="Crépin"/>
    <s v="CR-MA-R2"/>
    <s v="PALF"/>
    <x v="1"/>
    <s v="Congo"/>
    <m/>
    <m/>
    <m/>
  </r>
  <r>
    <x v="117"/>
    <s v="P29 -CONGO Frais d'hotel du 15 au 16/05/2025 à ouesso"/>
    <s v="Travel Subsistence"/>
    <s v="Investigations"/>
    <n v="15000"/>
    <n v="25.733022295433624"/>
    <n v="579.64599999999996"/>
    <s v="P29"/>
    <s v="P29-MA-R9"/>
    <s v="PALF"/>
    <x v="1"/>
    <s v="Congo"/>
    <m/>
    <m/>
    <m/>
  </r>
  <r>
    <x v="117"/>
    <s v="Frais d'hôtel/  01 Nuitée du 15 au 16/05/2025 à Ouesso (Hôtel  Divine)"/>
    <s v="Travel Subsistence"/>
    <s v="Legal"/>
    <n v="15000"/>
    <n v="25.733022295433624"/>
    <n v="579.64599999999996"/>
    <s v="Donald-Roméo"/>
    <s v="DR-MA-R5"/>
    <s v="PALF"/>
    <x v="1"/>
    <s v="Congo"/>
    <m/>
    <m/>
    <m/>
  </r>
  <r>
    <x v="118"/>
    <s v="T73 - CONGO Frais d'hotel du 17 au 20/05/2025  à Impfondo (03 nuitée)"/>
    <s v="Travel Subsistence"/>
    <s v="Investigations"/>
    <n v="45000"/>
    <n v="77.199066886300869"/>
    <n v="579.64599999999996"/>
    <s v="T73"/>
    <s v="T73-MA-R10"/>
    <s v="PALF"/>
    <x v="1"/>
    <s v="Congo"/>
    <m/>
    <m/>
    <m/>
  </r>
  <r>
    <x v="118"/>
    <s v="G12-CONGO Frais d'hôtel du 15 /05/2025 au 19/05/2025 à Ouesso (04 Nuitées)"/>
    <s v="Travel Subsistence"/>
    <s v="Investigations"/>
    <n v="60000"/>
    <n v="102.9320891817345"/>
    <n v="579.64599999999996"/>
    <s v="G12"/>
    <s v="G12-MA-R11"/>
    <s v="PALF"/>
    <x v="1"/>
    <s v="Congo"/>
    <m/>
    <m/>
    <m/>
  </r>
  <r>
    <x v="118"/>
    <s v="Achat billet  Ouesso - Pokola/ G12"/>
    <s v="Transport"/>
    <s v="Investigations"/>
    <n v="7000"/>
    <n v="12.008743737869025"/>
    <n v="579.64599999999996"/>
    <s v="G12"/>
    <s v="G12-MA-R12"/>
    <s v="PALF"/>
    <x v="1"/>
    <s v="Congo"/>
    <m/>
    <m/>
    <m/>
  </r>
  <r>
    <x v="118"/>
    <s v="Frais de tansfert d'argent à P29, T73, G12, Crépin et Donald roméo"/>
    <s v="Transfer Fees"/>
    <s v="Office"/>
    <n v="23970"/>
    <n v="41.121369628102933"/>
    <n v="579.64599999999996"/>
    <s v="Abraham"/>
    <s v="CA-MA-R10"/>
    <s v="PALF"/>
    <x v="1"/>
    <s v="Congo"/>
    <m/>
    <m/>
    <m/>
  </r>
  <r>
    <x v="118"/>
    <s v="Fabricarion de cachet numériquebureau PALF"/>
    <s v="Equipment"/>
    <s v="Office"/>
    <n v="42000"/>
    <n v="72.052462427214152"/>
    <n v="579.64599999999996"/>
    <s v="Romain"/>
    <s v="CA-MA-R11"/>
    <s v="PALF"/>
    <x v="1"/>
    <s v="Congo"/>
    <m/>
    <m/>
    <m/>
  </r>
  <r>
    <x v="119"/>
    <s v="Achat billet Impfondo-Epena/P29"/>
    <s v="Transport"/>
    <s v="Investigations"/>
    <n v="10000"/>
    <n v="17.15534819695575"/>
    <n v="579.64599999999996"/>
    <s v="P29"/>
    <s v="P29-MA-R10"/>
    <s v="PALF"/>
    <x v="1"/>
    <s v="Congo"/>
    <m/>
    <m/>
    <m/>
  </r>
  <r>
    <x v="119"/>
    <s v="Achat billet Epena-Impfondo/P29"/>
    <s v="Transport"/>
    <s v="Investigations"/>
    <n v="10000"/>
    <n v="17.15534819695575"/>
    <n v="579.64599999999996"/>
    <s v="P29"/>
    <s v="P29-MA-R11"/>
    <s v="PALF"/>
    <x v="1"/>
    <s v="Congo"/>
    <m/>
    <m/>
    <m/>
  </r>
  <r>
    <x v="119"/>
    <s v="Achat billet  Impfondo - Dangou/T73"/>
    <s v="Transport"/>
    <s v="Investigations"/>
    <n v="10000"/>
    <n v="17.15534819695575"/>
    <n v="579.64599999999996"/>
    <s v="T73"/>
    <s v="T73-MA-R11"/>
    <s v="PALF"/>
    <x v="1"/>
    <s v="Congo"/>
    <m/>
    <m/>
    <m/>
  </r>
  <r>
    <x v="119"/>
    <s v="Achat billet Brazzaville - Makoua/ IT87"/>
    <s v="Transport"/>
    <s v="Investigations"/>
    <n v="9000"/>
    <n v="15.439813377260174"/>
    <n v="579.64599999999996"/>
    <s v="IT87"/>
    <s v="IT87-MA-R1"/>
    <s v="PALF"/>
    <x v="1"/>
    <s v="Congo"/>
    <m/>
    <m/>
    <m/>
  </r>
  <r>
    <x v="119"/>
    <s v="credit  teléphonique du mois de Mai 2025/Investigation"/>
    <s v="Telephone"/>
    <s v="Investigations"/>
    <n v="10000"/>
    <n v="17.827139780891613"/>
    <n v="579.64599999999996"/>
    <s v="IT87"/>
    <s v="IT87-MA-R10"/>
    <s v="PALF"/>
    <x v="1"/>
    <s v="Congo"/>
    <m/>
    <m/>
    <m/>
  </r>
  <r>
    <x v="119"/>
    <s v="Achat billet Brazzaville-Dolisie/Abraham"/>
    <s v="Transport"/>
    <s v="Legal"/>
    <n v="10000"/>
    <n v="17.827139780891613"/>
    <n v="579.64599999999996"/>
    <s v="Abraham"/>
    <s v="AB-MA-R1"/>
    <s v="PALF"/>
    <x v="1"/>
    <s v="Congo"/>
    <m/>
    <m/>
    <m/>
  </r>
  <r>
    <x v="119"/>
    <s v="Frais de transport mission Maitre Alain à Dolisie du 21 au 23/05/2025"/>
    <s v="Transport"/>
    <s v="Legal"/>
    <n v="29000"/>
    <n v="51.698705364585685"/>
    <n v="579.64599999999996"/>
    <s v="Abraham"/>
    <s v="CA-MA-R12"/>
    <s v="PALF"/>
    <x v="1"/>
    <s v="Congo"/>
    <m/>
    <m/>
    <m/>
  </r>
  <r>
    <x v="119"/>
    <s v="Ration et frais d'hotel mission maitre Alain à Dolisie du 21 au 23/05/2025"/>
    <s v="Travel Subsistence"/>
    <s v="Legal"/>
    <n v="50000"/>
    <n v="89.135698904458081"/>
    <n v="579.64599999999996"/>
    <s v="Abraham"/>
    <s v="CA-MA-R13"/>
    <s v="PALF"/>
    <x v="1"/>
    <s v="Congo"/>
    <m/>
    <m/>
    <m/>
  </r>
  <r>
    <x v="119"/>
    <s v="Achat billet Brazzaville-Loudima/ Roderlin"/>
    <s v="Transport"/>
    <s v="Legal"/>
    <n v="8000"/>
    <n v="14.261711824713291"/>
    <n v="579.64599999999996"/>
    <s v="Roderlin"/>
    <s v="RO-MA-R1"/>
    <s v="PALF"/>
    <x v="1"/>
    <s v="Congo"/>
    <m/>
    <m/>
    <m/>
  </r>
  <r>
    <x v="119"/>
    <s v="Bonus du mois d'Avril 2025/Evariste"/>
    <s v="Personnel"/>
    <s v="Media"/>
    <n v="30000"/>
    <n v="53.481419342674847"/>
    <n v="560.94248000000005"/>
    <s v="Evariste"/>
    <s v="CA-MA-D8"/>
    <s v="PALF"/>
    <x v="5"/>
    <s v="Congo"/>
    <m/>
    <m/>
    <m/>
  </r>
  <r>
    <x v="119"/>
    <s v="credit  teléphonique  du mois de mai 2025/Media"/>
    <s v="Telephone"/>
    <s v="Media"/>
    <n v="10000"/>
    <n v="17.827139780891613"/>
    <n v="579.64599999999996"/>
    <s v="Evariste"/>
    <s v="EV-MA-R5"/>
    <s v="PALF"/>
    <x v="1"/>
    <s v="Congo"/>
    <m/>
    <m/>
    <m/>
  </r>
  <r>
    <x v="119"/>
    <s v="Achat billet Brazzaville-Owando/ Romain"/>
    <s v="Transport"/>
    <s v="Legal"/>
    <n v="7000"/>
    <n v="12.47899784662413"/>
    <n v="579.64599999999996"/>
    <s v="Romain"/>
    <s v="RM-MA-R5"/>
    <s v="PALF"/>
    <x v="1"/>
    <s v="Congo"/>
    <m/>
    <m/>
    <m/>
  </r>
  <r>
    <x v="120"/>
    <s v="Achat de 04 power Bank 20000mAh"/>
    <s v="Equipment"/>
    <s v="Office"/>
    <n v="80000"/>
    <n v="142.61711824713291"/>
    <n v="579.64599999999996"/>
    <s v="Parfaite"/>
    <s v="CA-MA-R14"/>
    <s v="PALF"/>
    <x v="1"/>
    <s v="Congo"/>
    <m/>
    <m/>
    <m/>
  </r>
  <r>
    <x v="120"/>
    <s v="Cumul frais de trust building du mois de Mai 2025/T73"/>
    <s v="Trust Building"/>
    <s v="Investigations"/>
    <n v="23000"/>
    <n v="41.002421496050715"/>
    <n v="579.64599999999996"/>
    <s v="T73"/>
    <s v="T73-MA-D3"/>
    <s v="PALF"/>
    <x v="1"/>
    <s v="Congo"/>
    <m/>
    <m/>
    <m/>
  </r>
  <r>
    <x v="120"/>
    <s v="IT87-CONGO Ration du 21 au 29/05/2025 à Makoua, kelle, Etoumbi"/>
    <s v="Travel Subsistence"/>
    <s v="Investigations"/>
    <n v="80000"/>
    <n v="142.61711824713291"/>
    <n v="579.64599999999996"/>
    <s v="IT87"/>
    <s v="IT87-MA-D1"/>
    <s v="PALF"/>
    <x v="1"/>
    <s v="Congo"/>
    <m/>
    <m/>
    <m/>
  </r>
  <r>
    <x v="120"/>
    <s v="G12-CONGO Frais d'hôtel du 19/05/2025 au 21/05/2025 à Pokola (02 Nuitées)"/>
    <s v="Travel Subsistence"/>
    <s v="Investigations"/>
    <n v="30000"/>
    <n v="53.481419342674847"/>
    <n v="579.64599999999996"/>
    <s v="G12"/>
    <s v="G12-MA-R13"/>
    <s v="PALF"/>
    <x v="1"/>
    <s v="Congo"/>
    <m/>
    <m/>
    <m/>
  </r>
  <r>
    <x v="120"/>
    <s v="Achat billet   Pokola - Ouesso/G12"/>
    <s v="Transport"/>
    <s v="Investigations"/>
    <n v="7000"/>
    <n v="12.47899784662413"/>
    <n v="579.64599999999996"/>
    <s v="G12"/>
    <s v="G12-MA-R14"/>
    <s v="PALF"/>
    <x v="1"/>
    <s v="Congo"/>
    <m/>
    <m/>
    <m/>
  </r>
  <r>
    <x v="120"/>
    <s v="ABRAHAM - CONGO Ration du 21 au 23/05/2025 à Dolisie (02 Nuitées)"/>
    <s v="Travel Subsistence"/>
    <s v="Legal"/>
    <n v="20000"/>
    <n v="35.654279561783227"/>
    <n v="579.64599999999996"/>
    <s v="Abraham"/>
    <s v="AB-MA-D1"/>
    <s v="PALF"/>
    <x v="1"/>
    <s v="Congo"/>
    <m/>
    <m/>
    <m/>
  </r>
  <r>
    <x v="120"/>
    <s v="Achat billet Loudima-Sibiti/ Roderlin"/>
    <s v="Transport"/>
    <s v="Legal"/>
    <n v="4000"/>
    <n v="7.1308559123566457"/>
    <n v="579.64599999999996"/>
    <s v="Roderlin"/>
    <s v="RO-MA-R2"/>
    <s v="PALF"/>
    <x v="1"/>
    <s v="Congo"/>
    <m/>
    <m/>
    <m/>
  </r>
  <r>
    <x v="120"/>
    <s v="RODERLIN-CONGO Ration du 21 au 23/05/2025 à Sibiti (02 nuitées)"/>
    <s v="Travel Subsistence"/>
    <s v="Legal"/>
    <n v="20000"/>
    <n v="35.654279561783227"/>
    <n v="579.64599999999996"/>
    <s v="Roderlin"/>
    <s v="RO-MA-D1"/>
    <s v="PALF"/>
    <x v="1"/>
    <s v="Congo"/>
    <m/>
    <m/>
    <m/>
  </r>
  <r>
    <x v="120"/>
    <s v="Achat Billet Brazzaville-Impfondo/ Evariste"/>
    <s v="Transport"/>
    <s v="Media"/>
    <n v="33000"/>
    <n v="58.829561276942329"/>
    <n v="579.64599999999996"/>
    <s v="Evariste"/>
    <s v="EV-MA-R1"/>
    <s v="PALF"/>
    <x v="1"/>
    <s v="Congo"/>
    <m/>
    <m/>
    <m/>
  </r>
  <r>
    <x v="120"/>
    <s v="ROMAIN-CONGO  Ration du 21 au 23/05/2025 à Owando"/>
    <s v="Travel Subsistence"/>
    <s v="Legal"/>
    <n v="20000"/>
    <n v="35.654279561783227"/>
    <n v="579.64599999999996"/>
    <s v="Romain"/>
    <s v="RM-MA-D2"/>
    <s v="PALF"/>
    <x v="1"/>
    <s v="Congo"/>
    <m/>
    <m/>
    <m/>
  </r>
  <r>
    <x v="121"/>
    <s v="T73 - CONGO Frais d'hotel du 20 au 22/05/2025 à Dangou (02 Nuitées)"/>
    <s v="Travel Subsistence"/>
    <s v="Investigations"/>
    <n v="30000"/>
    <n v="53.481419342674847"/>
    <n v="579.64599999999996"/>
    <s v="T73"/>
    <s v="T73-MA-R12"/>
    <s v="PALF"/>
    <x v="1"/>
    <s v="Congo"/>
    <m/>
    <m/>
    <m/>
  </r>
  <r>
    <x v="121"/>
    <s v="Reglement frais de réparation d'ordunateur"/>
    <s v="Services"/>
    <s v="Office"/>
    <n v="10000"/>
    <n v="17.827139780891613"/>
    <n v="579.64599999999996"/>
    <s v="Parfaite"/>
    <s v="CA-MA-R15"/>
    <s v="PALF"/>
    <x v="1"/>
    <s v="Congo"/>
    <m/>
    <m/>
    <m/>
  </r>
  <r>
    <x v="121"/>
    <s v="Achat billet Dangou - impfondo/T73"/>
    <s v="Transport"/>
    <s v="Investigations"/>
    <n v="10000"/>
    <n v="17.827139780891613"/>
    <n v="579.64599999999996"/>
    <s v="T73"/>
    <s v="T73-MA-R13"/>
    <s v="PALF"/>
    <x v="1"/>
    <s v="Congo"/>
    <m/>
    <m/>
    <m/>
  </r>
  <r>
    <x v="121"/>
    <s v="IT87-CONGO Frais d'hôtel du 21 au 22/05/2025 à Makoua (01 nuitée)"/>
    <s v="Travel Subsistence"/>
    <s v="Investigations"/>
    <n v="15000"/>
    <n v="26.740709671337424"/>
    <n v="579.64599999999996"/>
    <s v="IT87"/>
    <s v="IT87-MA-R2"/>
    <s v="PALF"/>
    <x v="1"/>
    <s v="Congo"/>
    <m/>
    <m/>
    <m/>
  </r>
  <r>
    <x v="121"/>
    <s v="Achat billet Makoua - Kelle/ IT87"/>
    <s v="Transport"/>
    <s v="Investigations"/>
    <n v="8000"/>
    <n v="14.261711824713291"/>
    <n v="579.64599999999996"/>
    <s v="IT87"/>
    <s v="IT87-MA-R3"/>
    <s v="PALF"/>
    <x v="1"/>
    <s v="Congo"/>
    <m/>
    <m/>
    <m/>
  </r>
  <r>
    <x v="121"/>
    <s v="Achat billet  Ouesso - Mokeko/G12"/>
    <s v="Transport"/>
    <s v="Investigations"/>
    <n v="3000"/>
    <n v="5.3481419342674847"/>
    <n v="579.64599999999996"/>
    <s v="G12"/>
    <s v="G12-MA-R15"/>
    <s v="PALF"/>
    <x v="1"/>
    <s v="Congo"/>
    <m/>
    <m/>
    <m/>
  </r>
  <r>
    <x v="121"/>
    <s v="achat billet  Mokeko - Ouesso/G12"/>
    <s v="Transport"/>
    <s v="Investigations"/>
    <n v="3000"/>
    <n v="5.3481419342674847"/>
    <n v="579.64599999999996"/>
    <s v="G12"/>
    <s v="G12-MA-R16"/>
    <s v="PALF"/>
    <x v="1"/>
    <s v="Congo"/>
    <m/>
    <m/>
    <m/>
  </r>
  <r>
    <x v="121"/>
    <s v="Achat billet Ouesso - Brazzaville/G12"/>
    <s v="Transport"/>
    <s v="Investigations"/>
    <n v="10000"/>
    <n v="17.827139780891613"/>
    <n v="579.64599999999996"/>
    <s v="G12"/>
    <s v="G12-MA-R17"/>
    <s v="PALF"/>
    <x v="1"/>
    <s v="Congo"/>
    <m/>
    <m/>
    <m/>
  </r>
  <r>
    <x v="121"/>
    <s v="Cumul frais de Jail visits du mois de Mai 2025/ Abraham"/>
    <s v="Jail visit"/>
    <s v="Legal"/>
    <n v="27000"/>
    <n v="48.133277408407359"/>
    <n v="579.64599999999996"/>
    <s v="Abraham"/>
    <s v="AB-MA-D2"/>
    <s v="PALF"/>
    <x v="1"/>
    <s v="Congo"/>
    <m/>
    <m/>
    <m/>
  </r>
  <r>
    <x v="121"/>
    <s v="Cumul Frais de Jail visits du mois de Mai 2025/Roderlin"/>
    <s v="Jail visit"/>
    <s v="Legal"/>
    <n v="9000"/>
    <n v="16.044425802802454"/>
    <n v="579.64599999999996"/>
    <s v="Roderlin"/>
    <s v="RO-MA-D2"/>
    <s v="PALF"/>
    <x v="1"/>
    <s v="Congo"/>
    <m/>
    <m/>
    <m/>
  </r>
  <r>
    <x v="121"/>
    <s v="EVARISTE-CONGO Ration du 22 mai au 04 juin 2025 à d'Impfondo ( 13 nuitées )"/>
    <s v="Travel Subsistence"/>
    <s v="Media"/>
    <n v="130000"/>
    <n v="231.75281715159099"/>
    <n v="579.64599999999996"/>
    <s v="Evariste"/>
    <s v="EV-MA-D1"/>
    <s v="PALF"/>
    <x v="1"/>
    <s v="Congo"/>
    <m/>
    <m/>
    <m/>
  </r>
  <r>
    <x v="121"/>
    <s v="Achat billet  Owando-Brazzaville/ Romain"/>
    <s v="Transport"/>
    <s v="Legal"/>
    <n v="7000"/>
    <n v="12.47899784662413"/>
    <n v="579.64599999999996"/>
    <s v="Romain"/>
    <s v="RM-MA-R6"/>
    <s v="PALF"/>
    <x v="1"/>
    <s v="Congo"/>
    <m/>
    <m/>
    <m/>
  </r>
  <r>
    <x v="121"/>
    <s v="cumul frais de Jail visits du mois de Mai 2025/Romain"/>
    <s v="Jail visit"/>
    <s v="Legal"/>
    <n v="43500"/>
    <n v="77.548058046878523"/>
    <n v="579.64599999999996"/>
    <s v="Romain"/>
    <s v="RM-MA-D3"/>
    <s v="PALF"/>
    <x v="1"/>
    <s v="Congo"/>
    <m/>
    <m/>
    <m/>
  </r>
  <r>
    <x v="122"/>
    <s v="Achat billet Dolisie-Brazzaville /Abraham"/>
    <s v="Transport"/>
    <s v="Legal"/>
    <n v="10000"/>
    <n v="17.827139780891613"/>
    <n v="579.64599999999996"/>
    <s v="Abraham"/>
    <s v="AB-MA-R2"/>
    <s v="PALF"/>
    <x v="1"/>
    <s v="Congo"/>
    <m/>
    <m/>
    <m/>
  </r>
  <r>
    <x v="122"/>
    <s v="Frais de tansfert d'argent à P29, T73, G12, Crépin et Donald roméo"/>
    <s v="Transfer Fees"/>
    <s v="Office"/>
    <n v="42960"/>
    <n v="76.585392498710377"/>
    <n v="579.64599999999996"/>
    <s v="Parfaite"/>
    <s v="CA-MA-R16"/>
    <s v="PALF"/>
    <x v="1"/>
    <s v="Congo"/>
    <m/>
    <m/>
    <m/>
  </r>
  <r>
    <x v="122"/>
    <s v="Frais de tansfert d'argent à IT87"/>
    <s v="Transfer Fees"/>
    <s v="Office"/>
    <n v="4750"/>
    <n v="8.4678913959235178"/>
    <n v="579.64599999999996"/>
    <s v="Parfaite"/>
    <s v="CA-MA-R17"/>
    <s v="PALF"/>
    <x v="1"/>
    <s v="Congo"/>
    <m/>
    <m/>
    <m/>
  </r>
  <r>
    <x v="122"/>
    <s v="Achat billet Impfondo-Epena/P29"/>
    <s v="Transport"/>
    <s v="Investigations"/>
    <n v="10000"/>
    <n v="17.827139780891613"/>
    <n v="579.64599999999996"/>
    <s v="P29"/>
    <s v="P29-MA-R12"/>
    <s v="PALF"/>
    <x v="1"/>
    <s v="Congo"/>
    <m/>
    <m/>
    <m/>
  </r>
  <r>
    <x v="122"/>
    <s v="Achat billet Epena-Impfondo/P29"/>
    <s v="Transport"/>
    <s v="Investigations"/>
    <n v="10000"/>
    <n v="17.827139780891613"/>
    <n v="579.64599999999996"/>
    <s v="P29"/>
    <s v="P29-MA-R13"/>
    <s v="PALF"/>
    <x v="1"/>
    <s v="Congo"/>
    <m/>
    <m/>
    <m/>
  </r>
  <r>
    <x v="122"/>
    <s v="Achat billet Impfondo - Epena/T73"/>
    <s v="Transport"/>
    <s v="Investigations"/>
    <n v="10000"/>
    <n v="17.827139780891613"/>
    <n v="579.64599999999996"/>
    <s v="T73"/>
    <s v="T73-MA-R14"/>
    <s v="PALF"/>
    <x v="1"/>
    <s v="Congo"/>
    <m/>
    <m/>
    <m/>
  </r>
  <r>
    <x v="122"/>
    <s v="Achat billet Epena - Impfondo/T73"/>
    <s v="Transport"/>
    <s v="Investigations"/>
    <n v="10000"/>
    <n v="17.827139780891613"/>
    <n v="579.64599999999996"/>
    <s v="T73"/>
    <s v="T73-MA-R15"/>
    <s v="PALF"/>
    <x v="1"/>
    <s v="Congo"/>
    <m/>
    <m/>
    <m/>
  </r>
  <r>
    <x v="122"/>
    <s v="G12-CONGO Frais d'hôtel du 21 /05/2025 au 23/05/2025 à Ouesso (02 Nuitées)"/>
    <s v="Travel Subsistence"/>
    <s v="Investigations"/>
    <n v="30000"/>
    <n v="53.481419342674847"/>
    <n v="579.64599999999996"/>
    <s v="G12"/>
    <s v="G12-MA-R18"/>
    <s v="PALF"/>
    <x v="1"/>
    <s v="Congo"/>
    <m/>
    <m/>
    <m/>
  </r>
  <r>
    <x v="122"/>
    <s v="ABRAHAM - CONGO frais d'Hôtel  du 21 au 23/05/2025 à Dolisie (02 Nuitées)"/>
    <s v="Travel Subsistence"/>
    <s v="Legal"/>
    <n v="30000"/>
    <n v="53.481419342674847"/>
    <n v="579.64599999999996"/>
    <s v="Abraham"/>
    <s v="AB-MA-R3"/>
    <s v="PALF"/>
    <x v="1"/>
    <s v="Congo"/>
    <m/>
    <m/>
    <m/>
  </r>
  <r>
    <x v="122"/>
    <s v="RODERLIN-CONGO frais d'hôtel du 21 au 23/05/2025 à Sibiti (02 nuitées)"/>
    <s v="Travel Subsistence"/>
    <s v="Legal"/>
    <n v="30000"/>
    <n v="53.481419342674847"/>
    <n v="579.64599999999996"/>
    <s v="Roderlin"/>
    <s v="RO-MA-R3"/>
    <s v="PALF"/>
    <x v="1"/>
    <s v="Congo"/>
    <m/>
    <m/>
    <m/>
  </r>
  <r>
    <x v="122"/>
    <s v="Achat billet Sibiti-Nkayi/ Roderlin"/>
    <s v="Transport"/>
    <s v="Legal"/>
    <n v="5000"/>
    <n v="8.9135698904458067"/>
    <n v="579.64599999999996"/>
    <s v="Roderlin"/>
    <s v="RO-MA-R4"/>
    <s v="PALF"/>
    <x v="1"/>
    <s v="Congo"/>
    <m/>
    <m/>
    <m/>
  </r>
  <r>
    <x v="122"/>
    <s v="Achat billet Nkayi-Brazzaville/ Roderlin"/>
    <s v="Transport"/>
    <s v="Legal"/>
    <n v="7000"/>
    <n v="12.47899784662413"/>
    <n v="579.64599999999996"/>
    <s v="Roderlin"/>
    <s v="RO-MA-R5"/>
    <s v="PALF"/>
    <x v="1"/>
    <s v="Congo"/>
    <m/>
    <m/>
    <m/>
  </r>
  <r>
    <x v="122"/>
    <s v="EVARISTE-CONGO Frais de l'hôtel à Ouesso du 22 au 23 mai 2025 (Une nuitée)"/>
    <s v="Travel Subsistence"/>
    <s v="Media"/>
    <n v="15000"/>
    <n v="26.740709671337424"/>
    <n v="579.64599999999996"/>
    <s v="Evariste"/>
    <s v="EV-MA-R2"/>
    <s v="PALF"/>
    <x v="1"/>
    <s v="Congo"/>
    <m/>
    <m/>
    <m/>
  </r>
  <r>
    <x v="122"/>
    <s v="ROMAIN-CONGO Frais d'hotel du 21 au 23 Mai 2025 à Owando (02 Nuitées)"/>
    <s v="Travel Subsistence"/>
    <s v="Legal"/>
    <n v="30000"/>
    <n v="53.481419342674847"/>
    <n v="579.64599999999996"/>
    <s v="Romain"/>
    <s v="RM-MA-R7"/>
    <s v="PALF"/>
    <x v="1"/>
    <s v="Congo"/>
    <m/>
    <m/>
    <m/>
  </r>
  <r>
    <x v="123"/>
    <s v="EVARISTE-CONGO Frais  d'hôtel  du 23 au 24 mai 2025 à Enyellé (Une nuitée) "/>
    <s v="Travel Subsistence"/>
    <s v="Media"/>
    <n v="15000"/>
    <n v="26.740709671337424"/>
    <n v="579.64599999999996"/>
    <s v="Evariste"/>
    <s v="EV-MA-R3"/>
    <s v="PALF"/>
    <x v="1"/>
    <s v="Congo"/>
    <m/>
    <m/>
    <m/>
  </r>
  <r>
    <x v="124"/>
    <s v="CREPIN-CONGO Frais d'hôtel  du 16 au 26/05/2025 à Impfondo (10 Nuites)/Crepin"/>
    <s v="Travel Subsistence"/>
    <s v="Operations"/>
    <n v="150000"/>
    <n v="267.40709671337424"/>
    <n v="579.64599999999996"/>
    <s v="Crépin"/>
    <s v="CR-MA-R3"/>
    <s v="PALF"/>
    <x v="1"/>
    <s v="Congo"/>
    <m/>
    <m/>
    <m/>
  </r>
  <r>
    <x v="125"/>
    <s v="Paiement salaire du mois de Mai 2025/Homéfa DOVI/3654869"/>
    <s v="Personnel"/>
    <s v="Management"/>
    <n v="1311000"/>
    <n v="2337.1380252748909"/>
    <n v="560.94248000000005"/>
    <s v="BCI"/>
    <s v="BQ-MA-R3"/>
    <s v="PALF"/>
    <x v="5"/>
    <s v="Congo"/>
    <m/>
    <m/>
    <m/>
  </r>
  <r>
    <x v="125"/>
    <s v="Paiement salaire du mois de Mai 2025/BAVOUMINA NZOUSSI Dina Parfaite/365873"/>
    <s v="Personnel"/>
    <s v="Office"/>
    <n v="230000"/>
    <n v="410.02421496050715"/>
    <n v="560.94248000000005"/>
    <s v="BCI"/>
    <s v="BQ-MA-R4"/>
    <s v="PALF"/>
    <x v="5"/>
    <s v="Congo"/>
    <m/>
    <m/>
    <m/>
  </r>
  <r>
    <x v="125"/>
    <s v="Paiement salaire du mois de Mai 2025/FOUMBA Roderlin/3654872"/>
    <s v="Personnel"/>
    <s v="Legal"/>
    <n v="200000"/>
    <n v="356.54279561783233"/>
    <n v="560.94248000000005"/>
    <s v="BCI"/>
    <s v="BQ-MA-R5"/>
    <s v="PALF"/>
    <x v="5"/>
    <s v="Congo"/>
    <m/>
    <m/>
    <m/>
  </r>
  <r>
    <x v="125"/>
    <s v="Paiement salaire du mois de Mai 2025/BOUNGOU MAKOSSO Abraham/3654870"/>
    <s v="Personnel"/>
    <s v="Legal"/>
    <n v="200000"/>
    <n v="356.54279561783233"/>
    <n v="560.94248000000005"/>
    <s v="BCI"/>
    <s v="BQ-MA-R6"/>
    <s v="PALF"/>
    <x v="5"/>
    <s v="Congo"/>
    <m/>
    <m/>
    <m/>
  </r>
  <r>
    <x v="125"/>
    <s v="Paiement salaire du mois de Mai 2025/LOUNDOU JeanRomain/3654871"/>
    <s v="Personnel"/>
    <s v="Legal"/>
    <n v="200000"/>
    <n v="356.54279561783233"/>
    <n v="560.94248000000005"/>
    <s v="BCI"/>
    <s v="BQ-MA-R7"/>
    <s v="PALF"/>
    <x v="5"/>
    <s v="Congo"/>
    <m/>
    <m/>
    <m/>
  </r>
  <r>
    <x v="125"/>
    <s v="Paiement salaire du mois de Mai 2025/Crepin IBOUILI-IBOUILI"/>
    <s v="Personnel"/>
    <s v="Legal"/>
    <n v="551482"/>
    <n v="983.13467006456699"/>
    <n v="560.94248000000005"/>
    <s v="BCI"/>
    <s v="BQ-MA-R8"/>
    <s v="PALF"/>
    <x v="5"/>
    <s v="Congo"/>
    <m/>
    <m/>
    <m/>
  </r>
  <r>
    <x v="125"/>
    <s v="Paiement salaire du mois de  Mai 2025/Evariste LELOUSSI"/>
    <s v="Personnel"/>
    <s v="Media"/>
    <n v="89773"/>
    <n v="160.03958195499828"/>
    <n v="560.94248000000005"/>
    <s v="BCI"/>
    <s v="BQ-MA-R9"/>
    <s v="PALF"/>
    <x v="5"/>
    <s v="Congo"/>
    <m/>
    <m/>
    <m/>
  </r>
  <r>
    <x v="125"/>
    <s v="Paiement salaire du mois de Mai 2025/PINDI BINGA Donald- Roméo"/>
    <s v="Personnel"/>
    <s v="Legal"/>
    <n v="300000"/>
    <n v="534.81419342674849"/>
    <n v="560.94248000000005"/>
    <s v="BCI"/>
    <s v="BQ-MA-R10"/>
    <s v="PALF"/>
    <x v="5"/>
    <s v="Congo"/>
    <m/>
    <m/>
    <m/>
  </r>
  <r>
    <x v="125"/>
    <s v="Achat encre HP Laser noir et couleur 216A"/>
    <s v="Office Materials"/>
    <s v="Office"/>
    <n v="300000"/>
    <n v="534.81419342674849"/>
    <n v="579.64599999999996"/>
    <s v="Parfaite"/>
    <s v="CA-MA-R19"/>
    <s v="PALF"/>
    <x v="1"/>
    <s v="Congo"/>
    <m/>
    <m/>
    <m/>
  </r>
  <r>
    <x v="125"/>
    <s v="P29 -CONGO Frais d'hotel du 16 au 26/05/2025 à impfondo"/>
    <s v="Travel Subsistence"/>
    <s v="Investigations"/>
    <n v="150000"/>
    <n v="267.40709671337424"/>
    <n v="579.64599999999996"/>
    <s v="P29"/>
    <s v="P29-MA-R14"/>
    <s v="PALF"/>
    <x v="1"/>
    <s v="Congo"/>
    <m/>
    <m/>
    <m/>
  </r>
  <r>
    <x v="125"/>
    <s v="Cumul frais de transport local du mois de Mai 2025/P29"/>
    <s v="Transport"/>
    <s v="Investigations"/>
    <n v="94900"/>
    <n v="169.17955652066144"/>
    <n v="579.64599999999996"/>
    <s v="P29"/>
    <s v="P29-MA-D3"/>
    <s v="PALF"/>
    <x v="1"/>
    <s v="Congo"/>
    <m/>
    <m/>
    <m/>
  </r>
  <r>
    <x v="125"/>
    <s v="IT87-CONGO Frais d'hôtel  du 22 au 26/05/2025 à Kelle (04 nuitées)"/>
    <s v="Travel Subsistence"/>
    <s v="Investigations"/>
    <n v="60000"/>
    <n v="106.96283868534969"/>
    <n v="579.64599999999996"/>
    <s v="IT87"/>
    <s v="IT87-MA-R4"/>
    <s v="PALF"/>
    <x v="1"/>
    <s v="Congo"/>
    <m/>
    <m/>
    <m/>
  </r>
  <r>
    <x v="125"/>
    <s v="Achat billet Kelle - Etoumbi/ IT87"/>
    <s v="Transport"/>
    <s v="Investigations"/>
    <n v="5000"/>
    <n v="8.9135698904458067"/>
    <n v="579.64599999999996"/>
    <s v="IT87"/>
    <s v="IT87-MA-R5"/>
    <s v="PALF"/>
    <x v="1"/>
    <s v="Congo"/>
    <m/>
    <m/>
    <m/>
  </r>
  <r>
    <x v="125"/>
    <s v="Cumul frais de trust building du mois de Mai 2025/ IT87"/>
    <s v="Trust Building"/>
    <s v="Investigations"/>
    <n v="12000"/>
    <n v="21.392567737069939"/>
    <n v="579.64599999999996"/>
    <s v="IT87"/>
    <s v="IT87-MA-D2"/>
    <s v="PALF"/>
    <x v="1"/>
    <s v="Congo"/>
    <m/>
    <m/>
    <m/>
  </r>
  <r>
    <x v="125"/>
    <s v="Frais de tansfert d'argent à Evariste et  P29 "/>
    <s v="Transfer Fees"/>
    <s v="Office"/>
    <n v="3800"/>
    <n v="6.7743131167388135"/>
    <n v="579.64599999999996"/>
    <s v="Abraham"/>
    <s v="CA-MA-R18"/>
    <s v="PALF"/>
    <x v="1"/>
    <s v="Congo"/>
    <m/>
    <m/>
    <m/>
  </r>
  <r>
    <x v="125"/>
    <s v="Frais d'impression de la photo et du mandat"/>
    <s v="Court fees"/>
    <s v="Legal"/>
    <n v="1400"/>
    <n v="2.4957995693248263"/>
    <n v="579.64599999999996"/>
    <s v="Donald-Roméo"/>
    <s v="DR-MA-R6"/>
    <s v="PALF"/>
    <x v="1"/>
    <s v="Congo"/>
    <m/>
    <m/>
    <m/>
  </r>
  <r>
    <x v="125"/>
    <s v="Paiement frais d'impression carte de visite coordinateur"/>
    <s v="Office Materials"/>
    <s v="Office"/>
    <n v="20000"/>
    <n v="35.654279561783227"/>
    <n v="579.64599999999996"/>
    <s v="Romain"/>
    <s v="CA-MA-R20"/>
    <s v="PALF"/>
    <x v="1"/>
    <s v="Congo"/>
    <m/>
    <m/>
    <m/>
  </r>
  <r>
    <x v="126"/>
    <s v="Raffraichissements pendant l'attente de l'opération avec 04 gendarmes en civile"/>
    <s v="Travel Subsistence"/>
    <s v="Operations"/>
    <n v="10000"/>
    <n v="17.827139780891613"/>
    <n v="579.64599999999996"/>
    <s v="Crépin"/>
    <s v="CR-MA-R4"/>
    <s v="PALF"/>
    <x v="1"/>
    <s v="Congo"/>
    <m/>
    <m/>
    <m/>
  </r>
  <r>
    <x v="126"/>
    <s v="Raffraichissement pendant la mission sur EPENA"/>
    <s v="Travel Subsistence"/>
    <s v="Operations"/>
    <n v="15000"/>
    <n v="26.740709671337424"/>
    <n v="579.64599999999996"/>
    <s v="Crépin"/>
    <s v="CR-MA-R5"/>
    <s v="PALF"/>
    <x v="1"/>
    <s v="Congo"/>
    <m/>
    <m/>
    <m/>
  </r>
  <r>
    <x v="126"/>
    <s v="Ration pendant la mission sur EPENA  avec 10 gendarmes, Evariste et Roméo"/>
    <s v="Travel Subsistence"/>
    <s v="Operations"/>
    <n v="13000"/>
    <n v="23.175281715159098"/>
    <n v="579.64599999999996"/>
    <s v="Crépin"/>
    <s v="CR-MA-R6"/>
    <s v="PALF"/>
    <x v="1"/>
    <s v="Congo"/>
    <m/>
    <m/>
    <m/>
  </r>
  <r>
    <x v="126"/>
    <s v="Achat de 100 litres de carburant aller et retour Impfondo-EPENA"/>
    <s v="Transport"/>
    <s v="Operations"/>
    <n v="100000"/>
    <n v="178.27139780891616"/>
    <n v="579.64599999999996"/>
    <s v="Crépin"/>
    <s v="CR-MA-R4"/>
    <s v="PALF"/>
    <x v="1"/>
    <s v="Congo"/>
    <m/>
    <m/>
    <m/>
  </r>
  <r>
    <x v="126"/>
    <s v="Bonus pour 03 gendarmes d'EPENA ayant aidé pour l'interpellation de Parfait"/>
    <s v="Travel Subsistence"/>
    <s v="Operations"/>
    <n v="15000"/>
    <n v="26.740709671337424"/>
    <n v="579.64599999999996"/>
    <s v="Crépin"/>
    <s v="CR-MA-R5"/>
    <s v="PALF"/>
    <x v="1"/>
    <s v="Congo"/>
    <m/>
    <m/>
    <m/>
  </r>
  <r>
    <x v="126"/>
    <s v="Frais de tansfert d'argent à P29 et Evariste"/>
    <s v="Transfer Fees"/>
    <s v="Office"/>
    <n v="2625"/>
    <n v="4.6796241924840487"/>
    <n v="579.64599999999996"/>
    <s v="Parfaite"/>
    <s v="CA-MA-R21"/>
    <s v="PALF"/>
    <x v="1"/>
    <s v="Congo"/>
    <m/>
    <m/>
    <m/>
  </r>
  <r>
    <x v="126"/>
    <s v=" Frais de prestation de nettoyage jardin PALF Mai 2025"/>
    <s v="Services"/>
    <s v="Office"/>
    <n v="20000"/>
    <n v="35.654279561783227"/>
    <n v="579.64599999999996"/>
    <s v="Parfaite"/>
    <s v="CA-MA-R22"/>
    <s v="PALF"/>
    <x v="1"/>
    <s v="Congo"/>
    <m/>
    <m/>
    <m/>
  </r>
  <r>
    <x v="126"/>
    <s v="Location véhicule pour extraction Impfondo-Enyelle/P29"/>
    <s v="Transport"/>
    <s v="Investigations"/>
    <n v="315000"/>
    <n v="561.5549030980859"/>
    <n v="579.64599999999996"/>
    <s v="P29"/>
    <s v="P29-MA-R15"/>
    <s v="PALF"/>
    <x v="1"/>
    <s v="Congo"/>
    <m/>
    <m/>
    <m/>
  </r>
  <r>
    <x v="126"/>
    <s v="Cumul frais de trust building du mois de Mai 2025/P29"/>
    <s v="Trust Building"/>
    <s v="Investigations"/>
    <n v="64100"/>
    <n v="114.27196599551526"/>
    <n v="579.64599999999996"/>
    <s v="P29"/>
    <s v="P29-MA-D4"/>
    <s v="PALF"/>
    <x v="1"/>
    <s v="Congo"/>
    <m/>
    <m/>
    <m/>
  </r>
  <r>
    <x v="126"/>
    <s v="T73 - CONGO Frais d'hotel du 22 au 27/05/20225 (05 nuitées) à Impfondo"/>
    <s v="Travel Subsistence"/>
    <s v="Investigations"/>
    <n v="75000"/>
    <n v="133.70354835668712"/>
    <n v="579.64599999999996"/>
    <s v="T73"/>
    <s v="T73-MA-R16"/>
    <s v="PALF"/>
    <x v="1"/>
    <s v="Congo"/>
    <m/>
    <m/>
    <m/>
  </r>
  <r>
    <x v="126"/>
    <s v="Cumul Frais de trust building du mois de Mai 2025/G12"/>
    <s v="Trust Building"/>
    <s v="Investigations"/>
    <n v="14000"/>
    <n v="24.957995693248261"/>
    <n v="579.64599999999996"/>
    <s v="G12"/>
    <s v="G12-MA-D3"/>
    <s v="PALF"/>
    <x v="1"/>
    <s v="Congo"/>
    <m/>
    <m/>
    <m/>
  </r>
  <r>
    <x v="126"/>
    <s v="Paiement Certificats d'hébergement  de martina et valentina"/>
    <s v="Travel Expenses"/>
    <s v="Investigations"/>
    <n v="60000"/>
    <n v="106.96283868534969"/>
    <n v="579.64599999999996"/>
    <s v="Roderlin"/>
    <s v="CA-MA-R23"/>
    <s v="PALF"/>
    <x v="1"/>
    <s v="Congo"/>
    <m/>
    <m/>
    <m/>
  </r>
  <r>
    <x v="126"/>
    <s v="Achat carburant BJ OP"/>
    <s v="Transport "/>
    <s v="Operations"/>
    <n v="25000"/>
    <n v="44.567849452229041"/>
    <n v="579.64599999999996"/>
    <s v="Donald-Roméo"/>
    <s v="DR-MA-R7"/>
    <s v="PALF"/>
    <x v="1"/>
    <s v="Congo"/>
    <m/>
    <m/>
    <m/>
  </r>
  <r>
    <x v="126"/>
    <s v="Raffraichissement OP  à Impfondo/10  gendarmes et moi"/>
    <s v="Travel Subsistence"/>
    <s v="Legal"/>
    <n v="25200"/>
    <n v="44.924392247846868"/>
    <n v="579.64599999999996"/>
    <s v="Donald-Roméo"/>
    <s v="DR-MA-R8"/>
    <s v="PALF"/>
    <x v="1"/>
    <s v="Congo"/>
    <m/>
    <m/>
    <m/>
  </r>
  <r>
    <x v="126"/>
    <s v="Rafraichissement de mon équipe lors de l'opération"/>
    <s v="Travel Subsistence"/>
    <s v="Media"/>
    <n v="10000"/>
    <n v="17.827139780891613"/>
    <n v="579.64599999999996"/>
    <s v="Evariste"/>
    <s v="EV-MA-R4"/>
    <s v="PALF"/>
    <x v="1"/>
    <s v="Congo"/>
    <m/>
    <m/>
    <m/>
  </r>
  <r>
    <x v="127"/>
    <s v="Frais de virement salaire du mois de Mai 2025/Evariste"/>
    <s v="Bank fees"/>
    <s v="Office"/>
    <n v="15166"/>
    <n v="27.036640191700222"/>
    <n v="579.64599999999996"/>
    <s v="BCI"/>
    <s v="BQ-MA-R15"/>
    <s v="PALF"/>
    <x v="1"/>
    <s v="Congo"/>
    <m/>
    <m/>
    <m/>
  </r>
  <r>
    <x v="127"/>
    <s v="Frais de virement salaire du mois de Mai 2025/Crepin IBOUILI"/>
    <s v="Bank fees"/>
    <s v="Office"/>
    <n v="19783"/>
    <n v="35.26743062853788"/>
    <n v="579.64599999999996"/>
    <s v="BCI"/>
    <s v="BQ-MA-R16"/>
    <s v="PALF"/>
    <x v="1"/>
    <s v="Congo"/>
    <m/>
    <m/>
    <m/>
  </r>
  <r>
    <x v="127"/>
    <s v="Frais de virement salaire du mois de Mai 2025/Donald-Roméo"/>
    <s v="Bank fees"/>
    <s v="Office"/>
    <n v="17268"/>
    <n v="30.78390497364364"/>
    <n v="579.64599999999996"/>
    <s v="BCI"/>
    <s v="BQ-MA-R17"/>
    <s v="PALF"/>
    <x v="1"/>
    <s v="Congo"/>
    <m/>
    <m/>
    <m/>
  </r>
  <r>
    <x v="127"/>
    <s v="Bonus de 16 gendarmes ayant participé à l'opération d'Impfondo, le 27/05/2025"/>
    <s v="Travel Subsistence"/>
    <s v="Legal"/>
    <n v="160000"/>
    <n v="285.23423649426582"/>
    <n v="579.64599999999996"/>
    <s v="Crépin"/>
    <s v="CR-MA-R9"/>
    <s v="PALF"/>
    <x v="1"/>
    <s v="Congo"/>
    <m/>
    <m/>
    <m/>
  </r>
  <r>
    <x v="127"/>
    <s v="Bonus de 10 gendarmes ayant effectué la mission d'EPENA le 27/05/2025"/>
    <s v="Travel Subsistence"/>
    <s v="Legal"/>
    <n v="100000"/>
    <n v="178.27139780891616"/>
    <n v="579.64599999999996"/>
    <s v="Crépin"/>
    <s v="CR-MA-R10"/>
    <s v="PALF"/>
    <x v="1"/>
    <s v="Congo"/>
    <m/>
    <m/>
    <m/>
  </r>
  <r>
    <x v="127"/>
    <s v="Bonus de 02 EF pour l'opération du 27/05/2025 à Impfondo"/>
    <s v="Travel Subsistence"/>
    <s v="Legal"/>
    <n v="20000"/>
    <n v="35.654279561783227"/>
    <n v="579.64599999999996"/>
    <s v="Crépin"/>
    <s v="CR-MA-R11"/>
    <s v="PALF"/>
    <x v="1"/>
    <s v="Congo"/>
    <m/>
    <m/>
    <m/>
  </r>
  <r>
    <x v="127"/>
    <s v="Reglement prestation de nettoyage  PALF du mois de Mai 2025"/>
    <s v="Services"/>
    <s v="Office"/>
    <n v="75625"/>
    <n v="134.81774459299285"/>
    <n v="579.64599999999996"/>
    <s v="Parfaite"/>
    <s v="CA-MA-R25"/>
    <s v="PALF"/>
    <x v="1"/>
    <s v="Congo"/>
    <m/>
    <m/>
    <m/>
  </r>
  <r>
    <x v="127"/>
    <s v="P29 -CONGO Frais d'hotel du 25 au 28/05/2025 à Impfondo lieu op(P29) (03 Nuitées)"/>
    <s v="Travel Subsistence"/>
    <s v="Investigations"/>
    <n v="135000"/>
    <n v="240.6663870420368"/>
    <n v="579.64599999999996"/>
    <s v="P29"/>
    <s v="P29-MA-R16"/>
    <s v="PALF"/>
    <x v="1"/>
    <s v="Congo"/>
    <m/>
    <m/>
    <m/>
  </r>
  <r>
    <x v="127"/>
    <s v="P29 -CONGO Frais d'hotel du 25 au 28/05/2025 à Impfondo lieu op(Crépin) (03 Nuitées)"/>
    <s v="Travel Subsistence"/>
    <s v="Investigations"/>
    <n v="135000"/>
    <n v="240.6663870420368"/>
    <n v="579.64599999999996"/>
    <s v="P29"/>
    <s v="P29-MA-R17"/>
    <s v="PALF"/>
    <x v="1"/>
    <s v="Congo"/>
    <m/>
    <m/>
    <m/>
  </r>
  <r>
    <x v="127"/>
    <s v="IT87-CONGO Frais d'hôtel Akoua du 26 au 28/05/2025 à Etoumbi (02 nuitées)"/>
    <s v="Travel Subsistence"/>
    <s v="Investigations"/>
    <n v="30000"/>
    <n v="53.481419342674847"/>
    <n v="579.64599999999996"/>
    <s v="IT87"/>
    <s v="IT87-MA-R6"/>
    <s v="PALF"/>
    <x v="1"/>
    <s v="Congo"/>
    <m/>
    <m/>
    <m/>
  </r>
  <r>
    <x v="127"/>
    <s v="Achat billet Etoumbi - Makoua/ IT87"/>
    <s v="Transport"/>
    <s v="Investigations"/>
    <n v="5000"/>
    <n v="8.9135698904458067"/>
    <n v="579.64599999999996"/>
    <s v="IT87"/>
    <s v="IT87-MA-R7"/>
    <s v="PALF"/>
    <x v="1"/>
    <s v="Congo"/>
    <m/>
    <m/>
    <m/>
  </r>
  <r>
    <x v="127"/>
    <s v="Cumul frais de transport local du mois de Mai 2025/G12"/>
    <s v="Transport"/>
    <s v="Investigations"/>
    <n v="48500"/>
    <n v="86.461627937324337"/>
    <n v="579.64599999999996"/>
    <s v="G12"/>
    <s v="G12-MA-D4"/>
    <s v="PALF"/>
    <x v="1"/>
    <s v="Congo"/>
    <m/>
    <m/>
    <m/>
  </r>
  <r>
    <x v="127"/>
    <s v="Frais de tansfert d'argent à P29 et Evariste"/>
    <s v="Transfer Fees"/>
    <s v="Office"/>
    <n v="3750"/>
    <n v="6.6851774178343559"/>
    <n v="579.64599999999996"/>
    <s v="Abraham"/>
    <s v="CA-MA-R24"/>
    <s v="PALF"/>
    <x v="1"/>
    <s v="Congo"/>
    <m/>
    <m/>
    <m/>
  </r>
  <r>
    <x v="128"/>
    <s v="Achat billet Makoua - Brazzaville/ IT87"/>
    <s v="Transport"/>
    <s v="Investigations"/>
    <n v="8000"/>
    <n v="14.261711824713291"/>
    <n v="579.64599999999996"/>
    <s v="IT87"/>
    <s v="IT87-MA-R8"/>
    <s v="PALF"/>
    <x v="1"/>
    <s v="Congo"/>
    <m/>
    <m/>
    <m/>
  </r>
  <r>
    <x v="128"/>
    <s v="IT87-CONGO Frais d'hôtel  du 28 au 29/05/2025 à Makoua (01 nuitée)"/>
    <s v="Travel Subsistence"/>
    <s v="Investigations"/>
    <n v="15000"/>
    <n v="26.740709671337424"/>
    <n v="579.64599999999996"/>
    <s v="IT87"/>
    <s v="IT87-MA-R9"/>
    <s v="PALF"/>
    <x v="1"/>
    <s v="Congo"/>
    <m/>
    <m/>
    <m/>
  </r>
  <r>
    <x v="128"/>
    <s v="Cumul frais de transport local du mois de Mai 2025/ IT87"/>
    <s v="Transport"/>
    <s v="Investigations"/>
    <n v="28700"/>
    <n v="51.163891171158937"/>
    <n v="579.64599999999996"/>
    <s v="IT87"/>
    <s v="IT87-MA-D3"/>
    <s v="PALF"/>
    <x v="1"/>
    <s v="Congo"/>
    <m/>
    <m/>
    <m/>
  </r>
  <r>
    <x v="129"/>
    <s v="Reglement honoraire du mois de Mai 2025/G12/3654842"/>
    <s v="Personnel"/>
    <s v="Investigations"/>
    <n v="245000"/>
    <n v="436.76492463184456"/>
    <n v="560.94248000000005"/>
    <s v="BCI"/>
    <s v="BQ-MA-R11"/>
    <s v="PALF"/>
    <x v="5"/>
    <s v="Congo"/>
    <m/>
    <m/>
    <m/>
  </r>
  <r>
    <x v="129"/>
    <s v="Cumul frais de transport local du mois de Mai 2025/DOVI"/>
    <s v="Transport"/>
    <s v="Management"/>
    <n v="57000"/>
    <n v="101.61469675108221"/>
    <n v="579.64599999999996"/>
    <s v="DOVI"/>
    <s v="DH-MA-D1"/>
    <s v="PALF"/>
    <x v="1"/>
    <s v="Congo"/>
    <m/>
    <m/>
    <m/>
  </r>
  <r>
    <x v="129"/>
    <s v="credit  teléphonique MTN/PALF/Première partie du mois de Juin 2025/Management"/>
    <s v="Telephone"/>
    <s v="Management"/>
    <n v="21000"/>
    <n v="37.43699353987239"/>
    <n v="579.64599999999996"/>
    <s v="DOVI"/>
    <s v="DH-MA-R4"/>
    <s v="PALF"/>
    <x v="1"/>
    <s v="Congo"/>
    <m/>
    <m/>
    <m/>
  </r>
  <r>
    <x v="129"/>
    <s v="Cumul frais de transport local du mois de Mai 2025/Crepin "/>
    <s v="Transport"/>
    <s v="Legal"/>
    <n v="21500"/>
    <n v="38.328350528916971"/>
    <n v="579.64599999999996"/>
    <s v="Crépin"/>
    <s v="CR-MA-D2"/>
    <s v="PALF"/>
    <x v="1"/>
    <s v="Congo"/>
    <m/>
    <m/>
    <m/>
  </r>
  <r>
    <x v="129"/>
    <s v="credit  teléphonique MTN/PALF/Première partie du mois de JUIN 2025/Legal"/>
    <s v="Telephone"/>
    <s v="Legal"/>
    <n v="16000"/>
    <n v="28.523423649426583"/>
    <n v="579.64599999999996"/>
    <s v="Crépin"/>
    <s v="CR-MA-R16"/>
    <s v="PALF"/>
    <x v="1"/>
    <s v="Congo"/>
    <m/>
    <m/>
    <m/>
  </r>
  <r>
    <x v="129"/>
    <s v="credit  teléphonique Airtel/PALF/Première partie du mois de Juin 2025/Legal"/>
    <s v="Telephone"/>
    <s v="Legal"/>
    <n v="5000"/>
    <n v="8.9135698904458067"/>
    <n v="579.64599999999996"/>
    <s v="Crépin"/>
    <s v="CR-MA-R17"/>
    <s v="PALF"/>
    <x v="1"/>
    <s v="Congo"/>
    <m/>
    <m/>
    <m/>
  </r>
  <r>
    <x v="129"/>
    <s v="Cumul frais de transport local du mois de Mai 2025/ Parfaite"/>
    <s v="Transport"/>
    <s v="Office"/>
    <n v="38500"/>
    <n v="68.634488156432724"/>
    <n v="579.64599999999996"/>
    <s v="Parfaite"/>
    <s v="P-MA-D1"/>
    <s v="PALF"/>
    <x v="1"/>
    <s v="Congo"/>
    <m/>
    <m/>
    <m/>
  </r>
  <r>
    <x v="129"/>
    <s v=" frais de ramassage Ordure Mai 2025"/>
    <s v="Rent &amp; Utilities"/>
    <s v="Office"/>
    <n v="10000"/>
    <n v="17.827139780891613"/>
    <n v="579.64599999999996"/>
    <s v="Parfaite"/>
    <s v="CA-MA-R26"/>
    <s v="PALF"/>
    <x v="1"/>
    <s v="Congo"/>
    <m/>
    <m/>
    <m/>
  </r>
  <r>
    <x v="129"/>
    <s v="Reglement facture internet periode du 01/05 au 30/06/2025 bureau PALF"/>
    <s v="Internet"/>
    <s v="Office"/>
    <n v="45050"/>
    <n v="80.311264712916724"/>
    <n v="579.64599999999996"/>
    <s v="Parfaite"/>
    <s v="CA-MA-R27"/>
    <s v="PALF"/>
    <x v="1"/>
    <s v="Congo"/>
    <m/>
    <m/>
    <m/>
  </r>
  <r>
    <x v="129"/>
    <s v="Frais de tansfert d'argent à P29 et T73"/>
    <s v="Transfer Fees"/>
    <s v="Office"/>
    <n v="11200"/>
    <n v="19.96639655459861"/>
    <n v="579.64599999999996"/>
    <s v="Parfaite"/>
    <s v="CA-MA-R29"/>
    <s v="PALF"/>
    <x v="1"/>
    <s v="Congo"/>
    <m/>
    <m/>
    <m/>
  </r>
  <r>
    <x v="129"/>
    <s v="credit  teléphonique MTN/PALF/Première partie du mois de Juin 2025/Office"/>
    <s v="Telephone"/>
    <s v="Office"/>
    <n v="21000"/>
    <n v="37.43699353987239"/>
    <n v="579.64599999999996"/>
    <s v="Parfaite"/>
    <s v="P-MA-R3"/>
    <s v="PALF"/>
    <x v="1"/>
    <s v="Congo"/>
    <m/>
    <m/>
    <m/>
  </r>
  <r>
    <x v="129"/>
    <s v="credit  teléphonique MTN/PALF/Première partie du mois de Juin 2025/Investigation"/>
    <s v="Telephone"/>
    <s v="Investigations"/>
    <n v="10000"/>
    <n v="17.827139780891613"/>
    <n v="579.64599999999996"/>
    <s v="P29"/>
    <s v="P29-MA-R23"/>
    <s v="PALF"/>
    <x v="1"/>
    <s v="Congo"/>
    <m/>
    <m/>
    <m/>
  </r>
  <r>
    <x v="129"/>
    <s v="credit  teléphonique Airtel/PALF/Première partie du mois de Juin 2025/Investigation"/>
    <s v="Telephone"/>
    <s v="Investigations"/>
    <n v="16000"/>
    <n v="28.523423649426583"/>
    <n v="579.64599999999996"/>
    <s v="P29"/>
    <s v="P29-MA-R24"/>
    <s v="PALF"/>
    <x v="1"/>
    <s v="Congo"/>
    <m/>
    <m/>
    <m/>
  </r>
  <r>
    <x v="129"/>
    <s v="credit  teléphonique MTN/PALF/Première partie du mois de Juin 2025/Investigation"/>
    <s v="Telephone"/>
    <s v="Investigations"/>
    <n v="26000"/>
    <n v="46.350563430318196"/>
    <n v="579.64599999999996"/>
    <s v="T73"/>
    <s v="T73-MA-R19"/>
    <s v="PALF"/>
    <x v="1"/>
    <s v="Congo"/>
    <m/>
    <m/>
    <m/>
  </r>
  <r>
    <x v="129"/>
    <s v="credit  teléphonique MTN/PALF/Première partie du mois de Juin 2025/Investigation"/>
    <s v="Telephone"/>
    <s v="Investigations"/>
    <n v="26000"/>
    <n v="46.350563430318196"/>
    <n v="579.64599999999996"/>
    <s v="IT87"/>
    <s v="IT87-MA-R11"/>
    <s v="PALF"/>
    <x v="1"/>
    <s v="Congo"/>
    <m/>
    <m/>
    <m/>
  </r>
  <r>
    <x v="129"/>
    <s v="credit  teléphonique MTN/PALF/Première partie du mois de Juin 2025/Investigation"/>
    <s v="Telephone"/>
    <s v="Investigations"/>
    <n v="10000"/>
    <n v="17.827139780891613"/>
    <n v="579.64599999999996"/>
    <s v="G12"/>
    <s v="G12-MA-R22"/>
    <s v="PALF"/>
    <x v="1"/>
    <s v="Congo"/>
    <m/>
    <m/>
    <m/>
  </r>
  <r>
    <x v="129"/>
    <s v="credit  teléphonique Airtel/PALF/Première partie du mois de Juin 2025/Investigation"/>
    <s v="Telephone"/>
    <s v="Investigations"/>
    <n v="16000"/>
    <n v="28.523423649426583"/>
    <n v="579.64599999999996"/>
    <s v="G12"/>
    <s v="G12-MA-R23"/>
    <s v="PALF"/>
    <x v="1"/>
    <s v="Congo"/>
    <m/>
    <m/>
    <m/>
  </r>
  <r>
    <x v="129"/>
    <s v="credit  teléphonique MTN/PALF/Première partie du mois de JUIN 2025/Legal"/>
    <s v="Telephone"/>
    <s v="Legal"/>
    <n v="16000"/>
    <n v="28.523423649426583"/>
    <n v="579.64599999999996"/>
    <s v="Abraham"/>
    <s v="AB-MA-R7"/>
    <s v="PALF"/>
    <x v="1"/>
    <s v="Congo"/>
    <m/>
    <m/>
    <m/>
  </r>
  <r>
    <x v="129"/>
    <s v="credit  teléphonique Airtel/PALF/Première partie du mois de Juin 2025/Legal"/>
    <s v="Telephone"/>
    <s v="Legal"/>
    <n v="5000"/>
    <n v="8.9135698904458067"/>
    <n v="579.64599999999996"/>
    <s v="Abraham"/>
    <s v="AB-MA-R8"/>
    <s v="PALF"/>
    <x v="1"/>
    <s v="Congo"/>
    <m/>
    <m/>
    <m/>
  </r>
  <r>
    <x v="129"/>
    <s v="Frais de tansfert d'argent à Crepin, Donald-Roméo et Evariste"/>
    <s v="Transfer Fees"/>
    <s v="Office"/>
    <n v="14100"/>
    <n v="25.136267091057178"/>
    <n v="579.64599999999996"/>
    <s v="Abraham"/>
    <s v="CA-MA-R28"/>
    <s v="PALF"/>
    <x v="1"/>
    <s v="Congo"/>
    <m/>
    <m/>
    <m/>
  </r>
  <r>
    <x v="129"/>
    <s v="Frais de transport mission Maitre Alain à Impfondo du 01 au 06/06/2025"/>
    <s v="Transport"/>
    <s v="Legal"/>
    <n v="74000"/>
    <n v="131.92083437859796"/>
    <n v="579.64599999999996"/>
    <s v="Abraham"/>
    <s v="CA-MA-R30"/>
    <s v="PALF"/>
    <x v="1"/>
    <s v="Congo"/>
    <m/>
    <m/>
    <m/>
  </r>
  <r>
    <x v="129"/>
    <s v="Ration et frais d'hotel mission maitre Alain à Impfondo du 01 au 06/06/2025"/>
    <s v="Travel Subsistence"/>
    <s v="Legal"/>
    <n v="125000"/>
    <n v="222.83924726114518"/>
    <n v="579.64599999999996"/>
    <s v="Abraham"/>
    <s v="CA-MA-R31"/>
    <s v="PALF"/>
    <x v="1"/>
    <s v="Congo"/>
    <m/>
    <m/>
    <m/>
  </r>
  <r>
    <x v="129"/>
    <s v="Cumul Frais de transport local  du mois de Mai 2025/Roderlin"/>
    <s v="Transport"/>
    <s v="Legal"/>
    <n v="26400"/>
    <n v="47.063649021553864"/>
    <n v="579.64599999999996"/>
    <s v="Roderlin"/>
    <s v="RO-MA-D3"/>
    <s v="PALF"/>
    <x v="1"/>
    <s v="Congo"/>
    <m/>
    <m/>
    <m/>
  </r>
  <r>
    <x v="129"/>
    <s v="credit  teléphonique MTN/PALF/Première partie du mois de JUIN 2025/Legal"/>
    <s v="Telephone"/>
    <s v="Legal"/>
    <n v="21000"/>
    <n v="37.43699353987239"/>
    <n v="579.64599999999996"/>
    <s v="Roderlin"/>
    <s v="RO-MA-R8"/>
    <s v="PALF"/>
    <x v="1"/>
    <s v="Congo"/>
    <m/>
    <m/>
    <m/>
  </r>
  <r>
    <x v="129"/>
    <s v="credit  teléphonique MTN/PALF/Première partie du mois de JUIN 2025/Legal"/>
    <s v="Telephone"/>
    <s v="Legal"/>
    <n v="21000"/>
    <n v="37.43699353987239"/>
    <n v="579.64599999999996"/>
    <s v="Donald-Roméo"/>
    <s v="DR-MA-R11"/>
    <s v="PALF"/>
    <x v="1"/>
    <s v="Congo"/>
    <m/>
    <m/>
    <m/>
  </r>
  <r>
    <x v="129"/>
    <s v="Cumul frais de transport local du mois de Mai 2025/ Evariste"/>
    <s v="Transport"/>
    <s v="Media"/>
    <n v="18000"/>
    <n v="32.088851605604908"/>
    <n v="579.64599999999996"/>
    <s v="Evariste"/>
    <s v="EV-MA-D2"/>
    <s v="PALF"/>
    <x v="1"/>
    <s v="Congo"/>
    <m/>
    <m/>
    <m/>
  </r>
  <r>
    <x v="129"/>
    <s v="Cumul frais de transport local du mois de Mai 2025/Romain"/>
    <s v="Transport"/>
    <s v="Legal"/>
    <n v="58400"/>
    <n v="104.11049632040704"/>
    <n v="579.64599999999996"/>
    <s v="Romain"/>
    <s v="RM-MA-D4"/>
    <s v="PALF"/>
    <x v="1"/>
    <s v="Congo"/>
    <m/>
    <m/>
    <m/>
  </r>
  <r>
    <x v="129"/>
    <s v="credit  teléphonique MTN/PALF/Première partie du mois de JUIN 2025/Legal"/>
    <s v="Telephone"/>
    <s v="Legal"/>
    <n v="21000"/>
    <n v="37.43699353987239"/>
    <n v="579.64599999999996"/>
    <s v="Romain"/>
    <s v="RM-MA-R10"/>
    <s v="PALF"/>
    <x v="1"/>
    <s v="Congo"/>
    <m/>
    <m/>
    <m/>
  </r>
  <r>
    <x v="129"/>
    <s v="credit  teléphonique MTN/PALF/Première partie du mois de Juin 2025/Media"/>
    <s v="Telephone"/>
    <s v="Media"/>
    <n v="10000"/>
    <n v="17.827139780891613"/>
    <n v="579.64599999999996"/>
    <s v="Evariste"/>
    <s v="EV-MA-R6"/>
    <s v="PALF"/>
    <x v="1"/>
    <s v="Congo"/>
    <m/>
    <m/>
    <m/>
  </r>
  <r>
    <x v="129"/>
    <s v="credit  teléphonique Airtel/PALF/Première partie du mois de Juin 2025/Media"/>
    <s v="Telephone"/>
    <s v="Media"/>
    <n v="11000"/>
    <n v="19.609853758980776"/>
    <n v="579.64599999999996"/>
    <s v="Evariste"/>
    <s v="EV-MA-R7"/>
    <s v="PALF"/>
    <x v="1"/>
    <s v="Congo"/>
    <m/>
    <m/>
    <m/>
  </r>
  <r>
    <x v="130"/>
    <s v="P29 -CONGO Frais d'hotel du 27 au 31/05/2025 à  enyelle (04 Nuitées)"/>
    <s v="Travel Subsistence"/>
    <s v="Investigations"/>
    <n v="60000"/>
    <n v="106.96283868534969"/>
    <n v="579.64599999999996"/>
    <s v="P29"/>
    <s v="P29-MA-R18"/>
    <s v="PALF"/>
    <x v="1"/>
    <s v="Congo"/>
    <m/>
    <m/>
    <m/>
  </r>
  <r>
    <x v="130"/>
    <s v="Cumul frais de transport local du mois de Mai 2025/T73"/>
    <s v="Transport"/>
    <s v="Investigations"/>
    <n v="99500"/>
    <n v="177.38004081987157"/>
    <n v="579.64599999999996"/>
    <s v="T73"/>
    <s v="T73-MA-D4"/>
    <s v="PALF"/>
    <x v="1"/>
    <s v="Congo"/>
    <m/>
    <m/>
    <m/>
  </r>
  <r>
    <x v="130"/>
    <s v="Cumul frais de transport local du mois de Mai 2025/ Abraham"/>
    <s v="Transport"/>
    <s v="Legal"/>
    <n v="31000"/>
    <n v="55.26413332076401"/>
    <n v="579.64599999999996"/>
    <s v="Abraham"/>
    <s v="AB-MA-D3"/>
    <s v="PALF"/>
    <x v="1"/>
    <s v="Congo"/>
    <m/>
    <m/>
    <m/>
  </r>
  <r>
    <x v="130"/>
    <s v="cumul frais de Jail visits du mois de Mai 2025/Donald-Romeo"/>
    <s v="Jail visit"/>
    <s v="Legal"/>
    <n v="40500"/>
    <n v="72.199916112611035"/>
    <n v="579.64599999999996"/>
    <s v="Donald-Roméo"/>
    <s v="DR-MA-D3"/>
    <s v="PALF"/>
    <x v="1"/>
    <s v="Congo"/>
    <m/>
    <m/>
    <m/>
  </r>
  <r>
    <x v="130"/>
    <s v="Cumul frais de transport local du mois de Mai 2025/Donald-Romeo"/>
    <s v="Transport "/>
    <s v="Legal"/>
    <n v="46000"/>
    <n v="82.00484299210143"/>
    <n v="579.64599999999996"/>
    <s v="Donald-Roméo"/>
    <s v="DR-MA-D4"/>
    <s v="PALF"/>
    <x v="1"/>
    <s v="Congo"/>
    <m/>
    <m/>
    <m/>
  </r>
  <r>
    <x v="131"/>
    <s v="T73 - CONGO Frais d'hotel du 27 au 01/06/2025 à Enyele(5nuitées)"/>
    <s v="Travel Subsistence"/>
    <s v="Investigations"/>
    <n v="75000"/>
    <n v="133.70354835668712"/>
    <n v="579.64599999999996"/>
    <s v="T73"/>
    <s v="T73-J-R1"/>
    <s v="PALF"/>
    <x v="1"/>
    <s v="Congo"/>
    <m/>
    <m/>
    <m/>
  </r>
  <r>
    <x v="131"/>
    <s v="Achat Billet Brazzaville-Impfondo/ Romain"/>
    <s v="Transport"/>
    <s v="Legal"/>
    <n v="33000"/>
    <n v="58.829561276942329"/>
    <n v="579.64599999999996"/>
    <s v="Romain"/>
    <s v="RM-J-R1"/>
    <s v="PALF"/>
    <x v="1"/>
    <s v="Congo"/>
    <m/>
    <m/>
    <m/>
  </r>
  <r>
    <x v="131"/>
    <s v="ROMAIN-CONGO: Ration du 01 au 08/2025 à Impfondo"/>
    <s v="Travel Subsistence"/>
    <s v="Legal"/>
    <n v="70000"/>
    <n v="124.78997846624131"/>
    <n v="579.64599999999996"/>
    <s v="Romain"/>
    <s v="RM-J-D1"/>
    <s v="PALF"/>
    <x v="1"/>
    <s v="Congo"/>
    <m/>
    <m/>
    <m/>
  </r>
  <r>
    <x v="132"/>
    <s v="Frais de transfert d'argent à  Evariste"/>
    <s v="Transfer Fees"/>
    <s v="Office"/>
    <n v="6000"/>
    <n v="10.696283868534969"/>
    <n v="579.64599999999996"/>
    <s v="Roderlin"/>
    <s v="CA-J-R1"/>
    <s v="PALF"/>
    <x v="1"/>
    <s v="Congo"/>
    <m/>
    <m/>
    <m/>
  </r>
  <r>
    <x v="132"/>
    <s v="Bonus media portant sur l'interpallation de 03 trafiquants à Impfondo(Tele congo chaine nationale en langues françcaisn, Kituba et lingala"/>
    <s v="Bonus to media officer"/>
    <s v="Media"/>
    <n v="200000"/>
    <n v="356.54279561783233"/>
    <n v="579.64599999999996"/>
    <s v="Evariste"/>
    <s v="CA-J-D1"/>
    <s v="PALF"/>
    <x v="1"/>
    <s v="Congo"/>
    <m/>
    <m/>
    <m/>
  </r>
  <r>
    <x v="132"/>
    <s v="Romain-CONGO: Frais d'hotel du 01 au 02/06/2025 à Ouesso (01 Nuitée)"/>
    <s v="Travel Subsistence"/>
    <s v="Legal"/>
    <n v="15000"/>
    <n v="26.740709671337424"/>
    <n v="579.64599999999996"/>
    <s v="Romain"/>
    <s v="RM-J-R2"/>
    <s v="PALF"/>
    <x v="1"/>
    <s v="Congo"/>
    <m/>
    <m/>
    <m/>
  </r>
  <r>
    <x v="132"/>
    <s v="Reglement honoraire du mois de Mai 2025/IT87/3654878"/>
    <s v="Personnel"/>
    <s v="Investigations"/>
    <n v="155200"/>
    <n v="276.67720939943786"/>
    <n v="560.94248000000005"/>
    <s v="BCI"/>
    <s v="BQ-J-R1"/>
    <s v="PALF"/>
    <x v="5"/>
    <s v="Congo"/>
    <m/>
    <m/>
    <m/>
  </r>
  <r>
    <x v="132"/>
    <s v="Paiement Honoraire Me LOCKO/Mois de Mai 2025/3654877"/>
    <s v="Lawyer Fees"/>
    <s v="Legal"/>
    <n v="150000"/>
    <n v="267.40709671337424"/>
    <n v="579.64599999999996"/>
    <s v="BCI"/>
    <s v="BQ-J-R2"/>
    <s v="PALF"/>
    <x v="1"/>
    <s v="Congo"/>
    <m/>
    <m/>
    <m/>
  </r>
  <r>
    <x v="133"/>
    <s v="Achat billet Enyele-Brazzaville/ P29"/>
    <s v="Transport"/>
    <s v="Investigations"/>
    <n v="28000"/>
    <n v="49.915991386496522"/>
    <n v="579.64599999999996"/>
    <s v="P29"/>
    <s v="P19-J-R1"/>
    <s v="PALF"/>
    <x v="1"/>
    <s v="Congo"/>
    <m/>
    <m/>
    <m/>
  </r>
  <r>
    <x v="133"/>
    <s v="Frais de tansfert d'argent à  Evariste"/>
    <s v="Transfer Fees"/>
    <s v="Office"/>
    <n v="5675"/>
    <n v="10.116901825655992"/>
    <n v="579.64599999999996"/>
    <s v="Parfaite"/>
    <s v="CA-J-R4"/>
    <s v="PALF"/>
    <x v="1"/>
    <s v="Congo"/>
    <m/>
    <m/>
    <m/>
  </r>
  <r>
    <x v="133"/>
    <s v="P29 -CONGO Frais d'hotel du 31/05 au 03/06/2025 à  enyelle (03 Nuitées)"/>
    <s v="Travel Subsistence"/>
    <s v="Investigations"/>
    <n v="45000"/>
    <n v="80.222129014012268"/>
    <n v="579.64599999999996"/>
    <s v="P29"/>
    <s v="P19-J-R2"/>
    <s v="PALF"/>
    <x v="1"/>
    <s v="Congo"/>
    <m/>
    <m/>
    <m/>
  </r>
  <r>
    <x v="133"/>
    <s v="T73 - CONGO Frais d'hotel du 01 au 03/06/2025 à Enyele (2 nuitées)"/>
    <s v="Travel Subsistence"/>
    <s v="Investigations"/>
    <n v="30000"/>
    <n v="53.481419342674847"/>
    <n v="579.64599999999996"/>
    <s v="T73"/>
    <s v="T73-J-R2"/>
    <s v="PALF"/>
    <x v="1"/>
    <s v="Congo"/>
    <m/>
    <m/>
    <m/>
  </r>
  <r>
    <x v="133"/>
    <s v="Achat billet : Enyele- Brazzaville/T73"/>
    <s v="Transport"/>
    <s v="Investigations"/>
    <n v="28000"/>
    <n v="49.915991386496522"/>
    <n v="579.64599999999996"/>
    <s v="T73"/>
    <s v="T73-J-R3"/>
    <s v="PALF"/>
    <x v="1"/>
    <s v="Congo"/>
    <m/>
    <m/>
    <m/>
  </r>
  <r>
    <x v="133"/>
    <s v="Cumul frais de trust building du mois de Juin 2025/IT87"/>
    <s v="Trust Building"/>
    <s v="Investigations"/>
    <n v="1500"/>
    <n v="2.6740709671337424"/>
    <n v="579.64599999999996"/>
    <s v="IT87"/>
    <s v="IT87-J-D1"/>
    <s v="PALF"/>
    <x v="1"/>
    <s v="Congo"/>
    <m/>
    <m/>
    <m/>
  </r>
  <r>
    <x v="133"/>
    <s v="Frais de transport mission Maitre Helene du 04 au 06/06/2025 à Owando"/>
    <s v="Transport"/>
    <s v="Legal"/>
    <n v="20000"/>
    <n v="35.654279561783227"/>
    <n v="579.64599999999996"/>
    <s v="Roderlin"/>
    <s v="CA-J-R2"/>
    <s v="PALF"/>
    <x v="1"/>
    <s v="Congo"/>
    <m/>
    <m/>
    <m/>
  </r>
  <r>
    <x v="133"/>
    <s v="Ration et frais d'hotel mission maitre Helène du 04 au 06/06/2025 à Owando"/>
    <s v="Travel Subsistence"/>
    <s v="Legal"/>
    <n v="50000"/>
    <n v="89.135698904458081"/>
    <n v="579.64599999999996"/>
    <s v="Roderlin"/>
    <s v="CA-J-R3"/>
    <s v="PALF"/>
    <x v="1"/>
    <s v="Congo"/>
    <m/>
    <m/>
    <m/>
  </r>
  <r>
    <x v="133"/>
    <s v="Achat billet Brazzaville-Owando"/>
    <s v="Transport"/>
    <s v="Legal"/>
    <n v="7000"/>
    <n v="12.47899784662413"/>
    <n v="579.64599999999996"/>
    <s v="Roderlin"/>
    <s v="RO-J-R1"/>
    <s v="PALF"/>
    <x v="1"/>
    <s v="Congo"/>
    <m/>
    <m/>
    <m/>
  </r>
  <r>
    <x v="133"/>
    <s v="Frais d'impression de la procédure de la gendarmerie"/>
    <s v="Office Materials"/>
    <s v="Legal"/>
    <n v="36250"/>
    <n v="64.6233817057321"/>
    <n v="579.64599999999996"/>
    <s v="Donald-Roméo"/>
    <s v="DR-J-R1"/>
    <s v="PALF"/>
    <x v="1"/>
    <s v="Congo"/>
    <m/>
    <m/>
    <m/>
  </r>
  <r>
    <x v="133"/>
    <s v="Achat billet Impfondo-Brazzaville/ Evariste"/>
    <s v="Transport"/>
    <s v="Media"/>
    <n v="33000"/>
    <n v="58.829561276942329"/>
    <n v="579.64599999999996"/>
    <s v="Evariste"/>
    <s v="EV-J-R1"/>
    <s v="PALF"/>
    <x v="1"/>
    <s v="Congo"/>
    <m/>
    <m/>
    <m/>
  </r>
  <r>
    <x v="133"/>
    <s v="Bonus media portant sur l'interpallation de 03 trafiquants à Impfondo ( Pièces presse internet, pièces presse papier et radio)"/>
    <s v="Bonus to media officer"/>
    <s v="Media"/>
    <n v="162000"/>
    <n v="288.79966445044414"/>
    <n v="579.64599999999996"/>
    <s v="Evariste"/>
    <s v="CA-J-D2"/>
    <s v="PALF"/>
    <x v="1"/>
    <s v="Congo"/>
    <m/>
    <m/>
    <m/>
  </r>
  <r>
    <x v="133"/>
    <s v="Romain-CONGO: Frais d'hotel du 02 au 03/06/2025 à Enyele (01 Nuitée)"/>
    <s v="Travel Subsistence"/>
    <s v="Legal"/>
    <n v="15000"/>
    <n v="26.740709671337424"/>
    <n v="579.64599999999996"/>
    <s v="Romain"/>
    <s v="RM-J-R3"/>
    <s v="PALF"/>
    <x v="1"/>
    <s v="Congo"/>
    <m/>
    <m/>
    <m/>
  </r>
  <r>
    <x v="134"/>
    <s v="Règlement Loyer Mai 2025/Coordinateur"/>
    <s v="Personnel"/>
    <s v="Management"/>
    <n v="174625"/>
    <n v="311.30642842381985"/>
    <n v="560.94248000000005"/>
    <s v="DOVI"/>
    <s v="DH-J-R1"/>
    <s v="PALF"/>
    <x v="5"/>
    <s v="Congo"/>
    <m/>
    <m/>
    <m/>
  </r>
  <r>
    <x v="134"/>
    <s v="CREPIN-CONGO Ration du 04 au 15/06/2025 à Impfondo"/>
    <s v="Travel Subsistence"/>
    <s v="Legal"/>
    <n v="111000"/>
    <n v="197.88125156789692"/>
    <n v="579.64599999999996"/>
    <s v="Crépin"/>
    <s v="CR-J-D1"/>
    <s v="PALF"/>
    <x v="1"/>
    <s v="Congo"/>
    <m/>
    <m/>
    <m/>
  </r>
  <r>
    <x v="134"/>
    <s v="Achat fournitures de bureau marqueurs, chemise cartonée, enveloppe , facturier/Bureau PALF"/>
    <s v="Office Materials"/>
    <s v="Office"/>
    <n v="79500"/>
    <n v="141.72576125808834"/>
    <n v="579.64599999999996"/>
    <s v="Parfaite"/>
    <s v="CA-J-R6"/>
    <s v="PALF"/>
    <x v="1"/>
    <s v="Congo"/>
    <m/>
    <m/>
    <m/>
  </r>
  <r>
    <x v="134"/>
    <s v="Frais de tansfert d'argent à  Evariste, Crepin, Romain et Donald-Roméo"/>
    <s v="Transfer Fees"/>
    <s v="Office"/>
    <n v="15500"/>
    <n v="27.632066660382005"/>
    <n v="579.64599999999996"/>
    <s v="Abraham"/>
    <s v="CA-J-R5"/>
    <s v="PALF"/>
    <x v="1"/>
    <s v="Congo"/>
    <m/>
    <m/>
    <m/>
  </r>
  <r>
    <x v="134"/>
    <s v="RODERLIN-CONGO Ration du 04 au 06/06/2025 à Owando (02 nuitées)"/>
    <s v="Travel Subsistence"/>
    <s v="Legal"/>
    <n v="20000"/>
    <n v="35.654279561783227"/>
    <n v="579.64599999999996"/>
    <s v="Roderlin"/>
    <s v="RO-J-D1"/>
    <s v="PALF"/>
    <x v="1"/>
    <s v="Congo"/>
    <m/>
    <m/>
    <m/>
  </r>
  <r>
    <x v="134"/>
    <s v="Donald-Roméo-CONGO Ration du 04 au 15/06/2025 à Impfondo"/>
    <s v="Travel Subsistence"/>
    <s v="Legal"/>
    <n v="111000"/>
    <n v="197.88125156789692"/>
    <n v="579.64599999999996"/>
    <s v="Donald-Roméo"/>
    <s v="DR-J-D1"/>
    <s v="PALF"/>
    <x v="1"/>
    <s v="Congo"/>
    <m/>
    <m/>
    <m/>
  </r>
  <r>
    <x v="134"/>
    <s v="Evariste-CONGO Ration  du 04 au 08 /06/ 2025 à Impfondo"/>
    <s v="Travel Subsistence"/>
    <s v="Media"/>
    <n v="40000"/>
    <n v="71.308559123566454"/>
    <n v="579.64599999999996"/>
    <s v="Evariste"/>
    <s v="EV-J-D1"/>
    <s v="PALF"/>
    <x v="1"/>
    <s v="Congo"/>
    <m/>
    <m/>
    <m/>
  </r>
  <r>
    <x v="134"/>
    <s v="Reglement Facture Gardiennage Mois de Mai 2025/3654876"/>
    <s v="Rent &amp; Utilities"/>
    <s v="Office"/>
    <n v="260000"/>
    <n v="463.50563430318198"/>
    <n v="579.64599999999996"/>
    <s v="BCI"/>
    <s v="BQ-J-R3"/>
    <s v="PALF"/>
    <x v="1"/>
    <s v="Congo"/>
    <m/>
    <m/>
    <m/>
  </r>
  <r>
    <x v="135"/>
    <s v="Frais de transport mission Maitre Alain à Impfondo du 01 au 15/06/2025"/>
    <s v="Transport"/>
    <s v="Office"/>
    <n v="18000"/>
    <n v="32.088851605604908"/>
    <n v="579.64599999999996"/>
    <s v="Parfaite"/>
    <s v="CA-J-R7"/>
    <s v="PALF"/>
    <x v="1"/>
    <s v="Congo"/>
    <m/>
    <m/>
    <m/>
  </r>
  <r>
    <x v="135"/>
    <s v="Ration et frais d'hotel mission maitre Alain à Impfondo du 01 au 15/06/2025"/>
    <s v="Travel Subsistence"/>
    <s v="Legal"/>
    <n v="225000"/>
    <n v="401.11064507006137"/>
    <n v="579.64599999999996"/>
    <s v="Parfaite"/>
    <s v="CA-J-R8"/>
    <s v="PALF"/>
    <x v="1"/>
    <s v="Congo"/>
    <m/>
    <m/>
    <m/>
  </r>
  <r>
    <x v="135"/>
    <s v="Frais de tansfert d'argent à Romain et Me Alain"/>
    <s v="Transfer Fees"/>
    <s v="Legal"/>
    <n v="5550"/>
    <n v="9.8940625783948466"/>
    <n v="579.64599999999996"/>
    <s v="Parfaite"/>
    <s v="CA-J-R9"/>
    <s v="PALF"/>
    <x v="1"/>
    <s v="Congo"/>
    <m/>
    <m/>
    <m/>
  </r>
  <r>
    <x v="135"/>
    <s v="Frais de tansfert d'argent à Roderlin"/>
    <s v="Transfer Fees"/>
    <s v="Office"/>
    <n v="875"/>
    <n v="1.5598747308280163"/>
    <n v="579.64599999999996"/>
    <s v="Parfaite"/>
    <s v="CA-J-R10"/>
    <s v="PALF"/>
    <x v="1"/>
    <s v="Congo"/>
    <m/>
    <m/>
    <m/>
  </r>
  <r>
    <x v="135"/>
    <s v="P29 -CONGO Frais d'hotel du 03 au 05/06/2025 à  oyo (02 Nuitées)"/>
    <s v="Travel Subsistence"/>
    <s v="Investigations"/>
    <n v="30000"/>
    <n v="53.481419342674847"/>
    <n v="579.64599999999996"/>
    <s v="P29"/>
    <s v="P19-J-R3"/>
    <s v="PALF"/>
    <x v="1"/>
    <s v="Congo"/>
    <m/>
    <m/>
    <m/>
  </r>
  <r>
    <x v="135"/>
    <s v="T73 - CONGO Frais d'hotel du 03 au 05/06/2025 (2 nuitées) à Oyo"/>
    <s v="Travel Subsistence"/>
    <s v="Investigations"/>
    <n v="30000"/>
    <n v="53.481419342674847"/>
    <n v="579.64599999999996"/>
    <s v="T73"/>
    <s v="T73-J-R4"/>
    <s v="PALF"/>
    <x v="1"/>
    <s v="Congo"/>
    <m/>
    <m/>
    <m/>
  </r>
  <r>
    <x v="135"/>
    <s v="Paiement des frais de notification de l'ordonnance de règlement definitif du cas EBI Aimé "/>
    <s v="Court fees"/>
    <s v="Legal"/>
    <n v="25000"/>
    <n v="44.567849452229041"/>
    <n v="579.64599999999996"/>
    <s v="Roderlin"/>
    <s v="RO-J-R3"/>
    <s v="PALF"/>
    <x v="1"/>
    <s v="Congo"/>
    <m/>
    <m/>
    <m/>
  </r>
  <r>
    <x v="135"/>
    <s v="Reglement loyer du mois de Mai 2025/3654864"/>
    <s v="Rent &amp; Utilities"/>
    <s v="Office"/>
    <n v="500000"/>
    <n v="891.3569890445807"/>
    <n v="579.64599999999996"/>
    <s v="BCI"/>
    <s v="BQ-J-R4"/>
    <s v="PALF"/>
    <x v="1"/>
    <s v="Congo"/>
    <m/>
    <m/>
    <m/>
  </r>
  <r>
    <x v="136"/>
    <s v="Achat billet Owando- Brazzaville "/>
    <s v="Transport"/>
    <s v="Legal"/>
    <n v="7000"/>
    <n v="12.47899784662413"/>
    <n v="579.64599999999996"/>
    <s v="Roderlin"/>
    <s v="RO-J-R2"/>
    <s v="PALF"/>
    <x v="1"/>
    <s v="Congo"/>
    <m/>
    <m/>
    <m/>
  </r>
  <r>
    <x v="136"/>
    <s v="Achat carburant groupe electrogène Bureau"/>
    <s v="Office Materials"/>
    <s v="Office"/>
    <n v="62500"/>
    <n v="111.41962363057259"/>
    <n v="579.64599999999996"/>
    <s v="T73"/>
    <s v="CA-J-R11"/>
    <s v="PALF"/>
    <x v="1"/>
    <s v="Congo"/>
    <m/>
    <m/>
    <m/>
  </r>
  <r>
    <x v="136"/>
    <s v="Paiement frais de formation"/>
    <s v="Training"/>
    <s v="Team Building"/>
    <n v="50000"/>
    <n v="89.135698904458081"/>
    <n v="579.64599999999996"/>
    <s v="T73"/>
    <s v="T73-J-R5"/>
    <s v="PALF"/>
    <x v="1"/>
    <s v="Congo"/>
    <m/>
    <m/>
    <m/>
  </r>
  <r>
    <x v="136"/>
    <s v="RODERLIN-CONGO frais d'hôtel du 04 au 06/06/2025 à Owando (02 nuitées)"/>
    <s v="Travel Subsistence"/>
    <s v="Legal"/>
    <n v="30000"/>
    <n v="53.481419342674847"/>
    <n v="579.64599999999996"/>
    <s v="Roderlin"/>
    <s v="RO-J-R4"/>
    <s v="PALF"/>
    <x v="1"/>
    <s v="Congo"/>
    <m/>
    <m/>
    <m/>
  </r>
  <r>
    <x v="136"/>
    <s v="Evariste- CONGO Frais de l'hôtel du 24/05 au 06/06/2025 à Impfondo  ( 13 nuitées) "/>
    <s v="Travel Subsistence"/>
    <s v="Media"/>
    <n v="195000"/>
    <n v="347.62922572738648"/>
    <n v="579.64599999999996"/>
    <s v="Evariste"/>
    <s v="EV-J-R2"/>
    <s v="PALF"/>
    <x v="1"/>
    <s v="Congo"/>
    <m/>
    <m/>
    <m/>
  </r>
  <r>
    <x v="136"/>
    <s v="Achat billet Impfondo- Brazzaville/ Romain"/>
    <s v="Transport"/>
    <s v="Legal"/>
    <n v="33000"/>
    <n v="58.829561276942329"/>
    <n v="579.64599999999996"/>
    <s v="Romain"/>
    <s v="RM-J-R4"/>
    <s v="PALF"/>
    <x v="1"/>
    <s v="Congo"/>
    <m/>
    <m/>
    <m/>
  </r>
  <r>
    <x v="136"/>
    <s v="Romain-CONGO: Frais d'hotel du 03 au 06/06/2025 à Impfondo (03 Nuitée)"/>
    <s v="Travel Subsistence"/>
    <s v="Legal"/>
    <n v="45000"/>
    <n v="80.222129014012268"/>
    <n v="579.64599999999996"/>
    <s v="Romain"/>
    <s v="RM-J-R5"/>
    <s v="PALF"/>
    <x v="1"/>
    <s v="Congo"/>
    <m/>
    <m/>
    <m/>
  </r>
  <r>
    <x v="136"/>
    <s v="Reglement honoraire du mois de de Mai 2025/P29/3654880"/>
    <s v="Personnel"/>
    <s v="Investigations"/>
    <n v="550000"/>
    <n v="980.49268794903878"/>
    <n v="560.94248000000005"/>
    <s v="BCI"/>
    <s v="BQ-J-R5"/>
    <s v="PALF"/>
    <x v="5"/>
    <s v="Congo"/>
    <m/>
    <m/>
    <m/>
  </r>
  <r>
    <x v="136"/>
    <s v="Reglement honoraire du mois de Mai 2025/T73/3654881"/>
    <s v="Personnel"/>
    <s v="Investigations"/>
    <n v="355000"/>
    <n v="632.8634622216523"/>
    <n v="560.94248000000005"/>
    <s v="BCI"/>
    <s v="BQ-J-R6"/>
    <s v="PALF"/>
    <x v="5"/>
    <s v="Congo"/>
    <m/>
    <m/>
    <m/>
  </r>
  <r>
    <x v="137"/>
    <s v="Evariste- CONGO Frais de l'hôtel du 06 au 07/06/ 2025 à Enyele (01 nuitée) "/>
    <s v="Travel Subsistence"/>
    <s v="Media"/>
    <n v="15000"/>
    <n v="26.740709671337424"/>
    <n v="579.64599999999996"/>
    <s v="Evariste"/>
    <s v="EV-J-R3"/>
    <s v="PALF"/>
    <x v="1"/>
    <s v="Congo"/>
    <m/>
    <m/>
    <m/>
  </r>
  <r>
    <x v="137"/>
    <s v="ROMAIN-CONGO: Frais d'hotel  du 06 au 07/06/2025 à Enyele (01nuitées)"/>
    <s v="Travel Subsistence"/>
    <s v="Legal"/>
    <n v="15000"/>
    <n v="26.740709671337424"/>
    <n v="579.64599999999996"/>
    <s v="Romain"/>
    <s v="RM-J-R6"/>
    <s v="PALF"/>
    <x v="1"/>
    <s v="Congo"/>
    <m/>
    <m/>
    <m/>
  </r>
  <r>
    <x v="138"/>
    <s v="Evariste- CONGO Frais de l'hôtel du 07 au 08/06/2025 à Gamboma (01 nuitée)"/>
    <s v="Travel Subsistence"/>
    <s v="Media"/>
    <n v="15000"/>
    <n v="26.740709671337424"/>
    <n v="579.64599999999996"/>
    <s v="Evariste"/>
    <s v="EV-J-R4"/>
    <s v="PALF"/>
    <x v="1"/>
    <s v="Congo"/>
    <m/>
    <m/>
    <m/>
  </r>
  <r>
    <x v="138"/>
    <s v="ROMAIN-CONGO: Frais d'hotel  du 07 au 08/06/2025 Gamboma (01nuitées)"/>
    <s v="Travel Subsistence"/>
    <s v="Legal"/>
    <n v="15000"/>
    <n v="26.740709671337424"/>
    <n v="579.64599999999996"/>
    <s v="Romain"/>
    <s v="RM-J-R7"/>
    <s v="PALF"/>
    <x v="1"/>
    <s v="Congo"/>
    <m/>
    <m/>
    <m/>
  </r>
  <r>
    <x v="139"/>
    <s v="Achat billet Brazzaville-Owando"/>
    <s v="Transport"/>
    <s v="Legal"/>
    <n v="7000"/>
    <n v="12.47899784662413"/>
    <n v="579.64599999999996"/>
    <s v="Roderlin"/>
    <s v="RO-J-R5"/>
    <s v="PALF"/>
    <x v="1"/>
    <s v="Congo"/>
    <m/>
    <m/>
    <m/>
  </r>
  <r>
    <x v="139"/>
    <s v="Frais de transport mission Maitre Hélene  du 11 au 14/06/2025 à Owando"/>
    <s v="Transport"/>
    <s v="Legal"/>
    <n v="22000"/>
    <n v="39.219707517961552"/>
    <n v="579.64599999999996"/>
    <s v="Roderlin"/>
    <s v="CA-J-R12"/>
    <s v="PALF"/>
    <x v="1"/>
    <s v="Congo"/>
    <m/>
    <m/>
    <m/>
  </r>
  <r>
    <x v="139"/>
    <s v="Ration et frais d'hotel mission maitre Hélène du 11 au 14/06/2025 à Owando"/>
    <s v="Travel Subsistence"/>
    <s v="Legal"/>
    <n v="75000"/>
    <n v="133.70354835668712"/>
    <n v="579.64599999999996"/>
    <s v="Roderlin"/>
    <s v="CA-J-R13"/>
    <s v="PALF"/>
    <x v="1"/>
    <s v="Congo"/>
    <m/>
    <m/>
    <m/>
  </r>
  <r>
    <x v="140"/>
    <s v="Bonus du mois de Mai 2025/Abraham"/>
    <s v="Personnel"/>
    <s v="Legal"/>
    <n v="30000"/>
    <n v="53.481419342674847"/>
    <n v="560.94248000000005"/>
    <s v="Abraham"/>
    <s v="CA-J-D3"/>
    <s v="PALF"/>
    <x v="5"/>
    <s v="Congo"/>
    <m/>
    <m/>
    <m/>
  </r>
  <r>
    <x v="140"/>
    <s v="Achat billet Brazzaville-Loudima/Abraham"/>
    <s v="Transport"/>
    <s v="Legal"/>
    <n v="8000"/>
    <n v="14.261711824713291"/>
    <n v="579.64599999999996"/>
    <s v="Abraham"/>
    <s v="AB-J-R1"/>
    <s v="PALF"/>
    <x v="1"/>
    <s v="Congo"/>
    <m/>
    <m/>
    <m/>
  </r>
  <r>
    <x v="141"/>
    <s v="ABRAHAM - CONGO Ration du 11 au 13/06/2025 à Sibiti (02 Nuitées)"/>
    <s v="Travel Subsistence"/>
    <s v="Legal"/>
    <n v="30000"/>
    <n v="53.481419342674847"/>
    <n v="579.64599999999996"/>
    <s v="Abraham"/>
    <s v="AB-J-D1"/>
    <s v="PALF"/>
    <x v="1"/>
    <s v="Congo"/>
    <m/>
    <m/>
    <m/>
  </r>
  <r>
    <x v="141"/>
    <s v="Taxi: Loudima-Sibiti"/>
    <s v="Transport"/>
    <s v="Legal"/>
    <n v="4000"/>
    <n v="7.1308559123566457"/>
    <n v="579.64599999999996"/>
    <s v="Abraham"/>
    <s v="AB-J-R2"/>
    <s v="PALF"/>
    <x v="1"/>
    <s v="Congo"/>
    <m/>
    <m/>
    <m/>
  </r>
  <r>
    <x v="141"/>
    <s v="RODERLIN-CONGO Ration du 11 au 14/06/2025 à Owando (03 nuitées)"/>
    <s v="Travel Subsistence"/>
    <s v="Legal"/>
    <n v="30000"/>
    <n v="53.481419342674847"/>
    <n v="579.64599999999996"/>
    <s v="Roderlin"/>
    <s v="RO-J-D2"/>
    <s v="PALF"/>
    <x v="1"/>
    <s v="Congo"/>
    <m/>
    <m/>
    <m/>
  </r>
  <r>
    <x v="141"/>
    <s v="Bonus du mois de Mai 2025/Evariste"/>
    <s v="Personnel"/>
    <s v="Media"/>
    <n v="20000"/>
    <n v="35.654279561783227"/>
    <n v="560.94248000000005"/>
    <s v="Evariste"/>
    <s v="CA-J-D4"/>
    <s v="PALF"/>
    <x v="5"/>
    <s v="Congo"/>
    <m/>
    <m/>
    <m/>
  </r>
  <r>
    <x v="141"/>
    <s v="Bonus opération du 27/05/2025 à Impfondo/Evariste"/>
    <s v="Bonus"/>
    <s v="Operations"/>
    <n v="40000"/>
    <n v="71.308559123566454"/>
    <n v="579.64599999999996"/>
    <s v="Evariste"/>
    <s v="CA-J-D5"/>
    <s v="PALF"/>
    <x v="1"/>
    <s v="Congo"/>
    <m/>
    <m/>
    <m/>
  </r>
  <r>
    <x v="141"/>
    <s v="Cumul frais de transport local du mois de Juin 2025/Romain"/>
    <s v="Transport"/>
    <s v="Legal"/>
    <n v="22500"/>
    <n v="40.111064507006134"/>
    <n v="579.64599999999996"/>
    <s v="Romain"/>
    <s v="RM-J-D2"/>
    <s v="PALF"/>
    <x v="1"/>
    <s v="Congo"/>
    <m/>
    <m/>
    <m/>
  </r>
  <r>
    <x v="141"/>
    <s v="Frais de tansfert d'argent à Crépin et Donald-Roméo"/>
    <s v="Transfer Fees"/>
    <s v="Office"/>
    <n v="9600"/>
    <n v="17.114054189655949"/>
    <n v="579.64599999999996"/>
    <s v="Romain"/>
    <s v="CA-J-R14"/>
    <s v="PALF"/>
    <x v="1"/>
    <s v="Congo"/>
    <m/>
    <m/>
    <m/>
  </r>
  <r>
    <x v="141"/>
    <s v="Bonus du mois de Mai 2025/Romain"/>
    <s v="Personnel"/>
    <s v="Legal"/>
    <n v="30000"/>
    <n v="53.481419342674847"/>
    <n v="560.94248000000005"/>
    <s v="Romain"/>
    <s v="CA-J-D6"/>
    <s v="PALF"/>
    <x v="5"/>
    <s v="Congo"/>
    <m/>
    <m/>
    <m/>
  </r>
  <r>
    <x v="141"/>
    <s v="Prime du 13 eme Mois 2024/Romain"/>
    <s v="Personnel"/>
    <s v="Legal"/>
    <n v="127070"/>
    <n v="226.52946519578975"/>
    <n v="560.94248000000005"/>
    <s v="Romain"/>
    <s v="CA-J-D7"/>
    <s v="PALF"/>
    <x v="5"/>
    <s v="Congo"/>
    <m/>
    <m/>
    <m/>
  </r>
  <r>
    <x v="142"/>
    <s v="Achat de 02 petit telephone bureau PALF"/>
    <s v="Equipment"/>
    <s v="Office"/>
    <n v="18000"/>
    <n v="32.088851605604908"/>
    <n v="579.64599999999996"/>
    <s v="Parfaite"/>
    <s v="CA-J-R15"/>
    <s v="PALF"/>
    <x v="1"/>
    <s v="Congo"/>
    <m/>
    <m/>
    <m/>
  </r>
  <r>
    <x v="142"/>
    <s v="Bonus du mois de Mai 2025/Parfaite"/>
    <s v="Personnel"/>
    <s v="Management"/>
    <n v="30000"/>
    <n v="53.481419342674847"/>
    <n v="560.94248000000005"/>
    <s v="Parfaite"/>
    <s v="CA-J-D8"/>
    <s v="PALF"/>
    <x v="5"/>
    <s v="Congo"/>
    <m/>
    <m/>
    <m/>
  </r>
  <r>
    <x v="142"/>
    <s v="Paiement salaire du mois de Mai 2025/LOUNDOU JeanRomain/3654891"/>
    <s v="Personnel"/>
    <s v="Legal"/>
    <n v="220293"/>
    <n v="392.71941037519565"/>
    <n v="560.94248000000005"/>
    <s v="BCI"/>
    <s v="BQ-J-R7"/>
    <s v="PALF"/>
    <x v="5"/>
    <s v="Congo"/>
    <m/>
    <m/>
    <m/>
  </r>
  <r>
    <x v="143"/>
    <s v="Achat billet Impfondo-Brazzaville/Donald-Roméo"/>
    <s v="Transport "/>
    <s v="Legal"/>
    <n v="33000"/>
    <n v="58.829561276942329"/>
    <n v="579.64599999999996"/>
    <s v="Donald-Roméo"/>
    <s v="DR-J-R2"/>
    <s v="PALF"/>
    <x v="1"/>
    <s v="Congo"/>
    <m/>
    <m/>
    <m/>
  </r>
  <r>
    <x v="143"/>
    <s v="Achat Billet Impfondo-Brazzaville/ Crepin"/>
    <s v="Transport"/>
    <s v="Legal"/>
    <n v="33000"/>
    <n v="58.829561276942329"/>
    <n v="579.64599999999996"/>
    <s v="Crépin"/>
    <s v="CR-J-R1"/>
    <s v="PALF"/>
    <x v="1"/>
    <s v="Congo"/>
    <m/>
    <m/>
    <m/>
  </r>
  <r>
    <x v="143"/>
    <s v=" Crepin-CONGO Frais d'hôtel du 27/05 au 13/06 2025  à Impfondo (17 Nuitées)"/>
    <s v="Travel Subsistence"/>
    <s v="Legal"/>
    <n v="255000"/>
    <n v="454.59206441273619"/>
    <n v="579.64599999999996"/>
    <s v="Crépin"/>
    <s v="CR-J-R2"/>
    <s v="PALF"/>
    <x v="1"/>
    <s v="Congo"/>
    <m/>
    <m/>
    <m/>
  </r>
  <r>
    <x v="143"/>
    <s v="Frais de tansfert d'argent à Roderlin et Abraham"/>
    <s v="Transfer Fees"/>
    <s v="Office"/>
    <n v="1600"/>
    <n v="2.8523423649426585"/>
    <n v="579.64599999999996"/>
    <s v="Parfaite"/>
    <s v="CA-J-R16"/>
    <s v="PALF"/>
    <x v="1"/>
    <s v="Congo"/>
    <m/>
    <m/>
    <m/>
  </r>
  <r>
    <x v="143"/>
    <s v="Donald Roméo-CONGO Frais d'hôtel du 16/05 au 13/06/2025 à Impfondo ( 28 Nuitées )"/>
    <s v="Travel Subsistence"/>
    <s v="Legal"/>
    <n v="420000"/>
    <n v="748.73987079744779"/>
    <n v="579.64599999999996"/>
    <s v="Donald-Roméo"/>
    <s v="DR-J-R3"/>
    <s v="PALF"/>
    <x v="1"/>
    <s v="Congo"/>
    <m/>
    <m/>
    <m/>
  </r>
  <r>
    <x v="144"/>
    <s v="Achat billet Owando- Brazzaville "/>
    <s v="Transport"/>
    <s v="Legal"/>
    <n v="7000"/>
    <n v="12.47899784662413"/>
    <n v="579.64599999999996"/>
    <s v="Roderlin"/>
    <s v="RO-J-R6"/>
    <s v="PALF"/>
    <x v="1"/>
    <s v="Congo"/>
    <m/>
    <m/>
    <m/>
  </r>
  <r>
    <x v="144"/>
    <s v="Crépin-CONGO Frais d'hôtel du 13 au 14/06/2025 à Enyele (01 nuitée)"/>
    <s v="Travel Subsistence"/>
    <s v="Legal"/>
    <n v="15000"/>
    <n v="26.740709671337424"/>
    <n v="579.64599999999996"/>
    <s v="Crépin"/>
    <s v="CR-J-R3"/>
    <s v="PALF"/>
    <x v="1"/>
    <s v="Congo"/>
    <m/>
    <m/>
    <m/>
  </r>
  <r>
    <x v="144"/>
    <s v="ABRAHAM - CONGO frais d'Hôtel (Hôtel Le Papyrus) du 11 au 14/06/2025 à Sibiti (03 Nuitées)"/>
    <s v="Travel Subsistence"/>
    <s v="Legal"/>
    <n v="45000"/>
    <n v="80.222129014012268"/>
    <n v="579.64599999999996"/>
    <s v="Abraham"/>
    <s v="AB-J-R3"/>
    <s v="PALF"/>
    <x v="1"/>
    <s v="Congo"/>
    <m/>
    <m/>
    <m/>
  </r>
  <r>
    <x v="144"/>
    <s v="Taxi: Sibiti-Nkayi"/>
    <s v="Transport"/>
    <s v="Legal"/>
    <n v="5000"/>
    <n v="8.9135698904458067"/>
    <n v="579.64599999999996"/>
    <s v="Abraham"/>
    <s v="AB-J-R4"/>
    <s v="PALF"/>
    <x v="1"/>
    <s v="Congo"/>
    <m/>
    <m/>
    <m/>
  </r>
  <r>
    <x v="144"/>
    <s v="Achat Billet Nkayi-Brazzaville"/>
    <s v="Transport"/>
    <s v="Legal"/>
    <n v="7000"/>
    <n v="12.47899784662413"/>
    <n v="579.64599999999996"/>
    <s v="Abraham"/>
    <s v="AB-J-R5"/>
    <s v="PALF"/>
    <x v="1"/>
    <s v="Congo"/>
    <m/>
    <m/>
    <m/>
  </r>
  <r>
    <x v="144"/>
    <s v="RODERLIN-CONGO frais d'hôtel du 11 au 14/06/2025 à Owando (03 nuitées)"/>
    <s v="Travel Subsistence"/>
    <s v="Legal"/>
    <n v="45000"/>
    <n v="80.222129014012268"/>
    <n v="579.64599999999996"/>
    <s v="Roderlin"/>
    <s v="RO-J-R7"/>
    <s v="PALF"/>
    <x v="1"/>
    <s v="Congo"/>
    <m/>
    <m/>
    <m/>
  </r>
  <r>
    <x v="144"/>
    <s v="Donald Roméo- CONGO Frais d'hôtel du 13 au 14/06/2025 à Enyele ( 01 Nuitée)"/>
    <s v="Travel Subsistence"/>
    <s v="Legal"/>
    <n v="15000"/>
    <n v="26.740709671337424"/>
    <n v="579.64599999999996"/>
    <s v="Donald-Roméo"/>
    <s v="DR-J-R4"/>
    <s v="PALF"/>
    <x v="1"/>
    <s v="Congo"/>
    <m/>
    <m/>
    <m/>
  </r>
  <r>
    <x v="145"/>
    <s v="Frais d'Hôtel, Crépin-CONGO Frais d'hôtel du 14 au 15/06/2025 à Oyo (01 Nuitée )"/>
    <s v="Travel Subsistence"/>
    <s v="Legal"/>
    <n v="15000"/>
    <n v="26.740709671337424"/>
    <n v="579.64599999999996"/>
    <s v="Crépin"/>
    <s v="CR-J-R4"/>
    <s v="PALF"/>
    <x v="1"/>
    <s v="Congo"/>
    <m/>
    <m/>
    <m/>
  </r>
  <r>
    <x v="145"/>
    <s v="Donald Roméo- CONGO Frais d'hôtel du 14 au 15/06/2025 à Oyo  01 Nuitée)"/>
    <s v="Travel Subsistence"/>
    <s v="Legal"/>
    <n v="15000"/>
    <n v="26.740709671337424"/>
    <n v="579.64599999999996"/>
    <s v="Donald-Roméo"/>
    <s v="DR-J-R5"/>
    <s v="PALF"/>
    <x v="1"/>
    <s v="Congo"/>
    <m/>
    <m/>
    <m/>
  </r>
  <r>
    <x v="146"/>
    <s v="Credit telephonique MTN PALF/Deuxième partie du mois de Juin 2025/DOVI"/>
    <s v="Telephone"/>
    <s v="Management"/>
    <n v="10000"/>
    <n v="17.827139780891613"/>
    <n v="579.64599999999996"/>
    <s v="DOVI"/>
    <s v="DH-J-R2"/>
    <s v="PALF"/>
    <x v="1"/>
    <s v="Congo"/>
    <m/>
    <m/>
    <m/>
  </r>
  <r>
    <x v="146"/>
    <s v="Bonus du mois de Mai 2025/Crepin"/>
    <s v="Personnel"/>
    <s v="Legal"/>
    <n v="30000"/>
    <n v="53.481419342674847"/>
    <n v="560.94248000000005"/>
    <s v="Crépin"/>
    <s v="CA-J-D9"/>
    <s v="PALF"/>
    <x v="5"/>
    <s v="Congo"/>
    <m/>
    <m/>
    <m/>
  </r>
  <r>
    <x v="146"/>
    <s v="Bonus operation du 27/05/2025 à Impfondo/Crepin"/>
    <s v="Bonus"/>
    <s v="Operations"/>
    <n v="50000"/>
    <n v="89.135698904458081"/>
    <n v="579.64599999999996"/>
    <s v="Crépin"/>
    <s v="CA-J-D10"/>
    <s v="PALF"/>
    <x v="1"/>
    <s v="Congo"/>
    <m/>
    <m/>
    <m/>
  </r>
  <r>
    <x v="146"/>
    <s v="Credit teléphonique MTN PALF/Deuxième partie du mois de Juin 2025/Crepin"/>
    <s v="Telephone"/>
    <s v="Legal"/>
    <n v="5000"/>
    <n v="8.9135698904458067"/>
    <n v="579.64599999999996"/>
    <s v="Crépin"/>
    <s v="CR-J-R5"/>
    <s v="PALF"/>
    <x v="1"/>
    <s v="Congo"/>
    <m/>
    <m/>
    <m/>
  </r>
  <r>
    <x v="146"/>
    <s v="Credit teléphonique AIRTEL PALF/Deuxième partie du mois de Juin 2025/Crepin"/>
    <s v="Telephone"/>
    <s v="Legal"/>
    <n v="5000"/>
    <n v="8.9135698904458067"/>
    <n v="579.64599999999996"/>
    <s v="Crépin"/>
    <s v="CR-J-R6"/>
    <s v="PALF"/>
    <x v="1"/>
    <s v="Congo"/>
    <m/>
    <m/>
    <m/>
  </r>
  <r>
    <x v="146"/>
    <s v="Credit teléphonique MTN PALF/Deuxième partie du mois de Juin 2025/ Parfaite"/>
    <s v="Telephone"/>
    <s v="Management"/>
    <n v="10000"/>
    <n v="17.827139780891613"/>
    <n v="579.64599999999996"/>
    <s v="Parfaite"/>
    <s v="P-J-R1"/>
    <s v="PALF"/>
    <x v="1"/>
    <s v="Congo"/>
    <m/>
    <m/>
    <m/>
  </r>
  <r>
    <x v="146"/>
    <s v="Credit teléphonique MTN PALF/Deuxième partie du mois de Juin 2025/P29"/>
    <s v="Telephone"/>
    <s v="Investigations"/>
    <n v="10000"/>
    <n v="17.827139780891613"/>
    <n v="579.64599999999996"/>
    <s v="P29"/>
    <s v="P19-J-R4"/>
    <s v="PALF"/>
    <x v="1"/>
    <s v="Congo"/>
    <m/>
    <m/>
    <m/>
  </r>
  <r>
    <x v="146"/>
    <s v="credit teléphonique AIRTEL PALF/Deuxième partie du mois de Juin 2025/P29"/>
    <s v="Telephone"/>
    <s v="Investigations"/>
    <n v="5000"/>
    <n v="8.9135698904458067"/>
    <n v="579.64599999999996"/>
    <s v="P29"/>
    <s v="P19-J-R5"/>
    <s v="PALF"/>
    <x v="1"/>
    <s v="Congo"/>
    <m/>
    <m/>
    <m/>
  </r>
  <r>
    <x v="146"/>
    <s v="Crédit teléphonique MTN PALF/Deuxième partie du mois de Juin 2025"/>
    <s v="Telephone"/>
    <s v="Investigations"/>
    <n v="15000"/>
    <n v="26.740709671337424"/>
    <n v="579.64599999999996"/>
    <s v="T73"/>
    <s v="T73-J-R6"/>
    <s v="PALF"/>
    <x v="1"/>
    <s v="Congo"/>
    <m/>
    <m/>
    <m/>
  </r>
  <r>
    <x v="146"/>
    <s v="Credit teléphonique MTN PALF / Deuxième partie du mois de Juin 2025/ IT87"/>
    <s v="Telephone"/>
    <s v="Investigations"/>
    <n v="15000"/>
    <n v="26.740709671337424"/>
    <n v="579.64599999999996"/>
    <s v="IT87"/>
    <s v="IT87-J-R1"/>
    <s v="PALF"/>
    <x v="1"/>
    <s v="Congo"/>
    <m/>
    <m/>
    <m/>
  </r>
  <r>
    <x v="146"/>
    <s v="Credit télephonique MTN PALF/Deuxième partie du mois de Juin 2025/G12"/>
    <s v="Telephone"/>
    <s v="Investigations"/>
    <n v="5000"/>
    <n v="8.9135698904458067"/>
    <n v="579.64599999999996"/>
    <s v="G12"/>
    <s v="G12-J-R1"/>
    <s v="PALF"/>
    <x v="1"/>
    <s v="Congo"/>
    <m/>
    <m/>
    <m/>
  </r>
  <r>
    <x v="146"/>
    <s v="Credit télephonique AIRTEL PALF/Deuxième partie du mois de Juin 2025/G12"/>
    <s v="Telephone"/>
    <s v="Investigations"/>
    <n v="10000"/>
    <n v="17.827139780891613"/>
    <n v="579.64599999999996"/>
    <s v="G12"/>
    <s v="G12-J-R2"/>
    <s v="PALF"/>
    <x v="1"/>
    <s v="Congo"/>
    <m/>
    <m/>
    <m/>
  </r>
  <r>
    <x v="146"/>
    <s v="Credit teléphonique MTN PALF/ Deuxième partie du mois de Juin 2025/ Abraham"/>
    <s v="Telephone"/>
    <s v="Legal"/>
    <n v="5000"/>
    <n v="8.9135698904458067"/>
    <n v="579.64599999999996"/>
    <s v="Abraham"/>
    <s v="AB-J-R6"/>
    <s v="PALF"/>
    <x v="1"/>
    <s v="Congo"/>
    <m/>
    <m/>
    <m/>
  </r>
  <r>
    <x v="146"/>
    <s v="Credit teléphonique AIRTEL PALF/ Deuxième partie du mois de Juin 2025/ Abraham"/>
    <s v="Telephone"/>
    <s v="Legal"/>
    <n v="5000"/>
    <n v="8.9135698904458067"/>
    <n v="579.64599999999996"/>
    <s v="Abraham"/>
    <s v="AB-J-R7"/>
    <s v="PALF"/>
    <x v="1"/>
    <s v="Congo"/>
    <m/>
    <m/>
    <m/>
  </r>
  <r>
    <x v="146"/>
    <s v="Credit teléphonique MTN PALF/Deuxième partie du mois de Juin 2025/Roderlin"/>
    <s v="Telephone"/>
    <s v="Legal"/>
    <n v="10000"/>
    <n v="17.827139780891613"/>
    <n v="579.64599999999996"/>
    <s v="Roderlin"/>
    <s v="RO-J-R8"/>
    <s v="PALF"/>
    <x v="1"/>
    <s v="Congo"/>
    <m/>
    <m/>
    <m/>
  </r>
  <r>
    <x v="146"/>
    <s v="Bonus du mois de Mai 2025/Roderlin"/>
    <s v="Personnel"/>
    <s v="Legal"/>
    <n v="30000"/>
    <n v="53.481419342674847"/>
    <n v="560.94248000000005"/>
    <s v="Roderlin"/>
    <s v="CA-J-D13"/>
    <s v="PALF"/>
    <x v="5"/>
    <s v="Congo"/>
    <m/>
    <m/>
    <m/>
  </r>
  <r>
    <x v="146"/>
    <s v="Credit teléphonique MTN PALF/Dexième partie du mois de Juin 2025/Donald-Roméo"/>
    <s v="Telephone"/>
    <s v="Legal"/>
    <n v="10000"/>
    <n v="17.827139780891613"/>
    <n v="579.64599999999996"/>
    <s v="Donald-Roméo"/>
    <s v="DR-J-R6"/>
    <s v="PALF"/>
    <x v="1"/>
    <s v="Congo"/>
    <m/>
    <m/>
    <m/>
  </r>
  <r>
    <x v="146"/>
    <s v="Bonus du mois de Mai 2025/Donald-Roméo"/>
    <s v="Personnel"/>
    <s v="Legal"/>
    <n v="30000"/>
    <n v="53.481419342674847"/>
    <n v="560.94248000000005"/>
    <s v="Donald-Roméo"/>
    <s v="CA-J-D11"/>
    <s v="PALF"/>
    <x v="5"/>
    <s v="Congo"/>
    <m/>
    <m/>
    <m/>
  </r>
  <r>
    <x v="146"/>
    <s v="Bonus operation du 27/05/2025 à Impfondo/Donald-Roméo"/>
    <s v="Bonus"/>
    <s v="Operations"/>
    <n v="40000"/>
    <n v="71.308559123566454"/>
    <n v="579.64599999999996"/>
    <s v="Donald-Roméo"/>
    <s v="CA-J-D12"/>
    <s v="PALF"/>
    <x v="1"/>
    <s v="Congo"/>
    <m/>
    <m/>
    <m/>
  </r>
  <r>
    <x v="146"/>
    <s v="Credit teléphonique MTN PALF/ Deuxième partie du mois de Juin 2025"/>
    <s v="Telephone"/>
    <s v="Media"/>
    <n v="10000"/>
    <n v="17.827139780891613"/>
    <n v="579.64599999999996"/>
    <s v="Evariste"/>
    <s v="EV-J-R5"/>
    <s v="PALF"/>
    <x v="1"/>
    <s v="Congo"/>
    <m/>
    <m/>
    <m/>
  </r>
  <r>
    <x v="146"/>
    <s v="Acompte honoraire contrat N°84 Impfondo cas MBEKELE, MOUANDOLA et EBOUZI/Maitre Marie Alain BAZOUNZI/ 3654883"/>
    <s v="Lawyer Fees"/>
    <s v="Legal"/>
    <n v="200000"/>
    <n v="356.54279561783233"/>
    <n v="579.64599999999996"/>
    <s v="BCI"/>
    <s v="BQ-J-R8"/>
    <s v="PALF"/>
    <x v="1"/>
    <s v="Congo"/>
    <m/>
    <m/>
    <m/>
  </r>
  <r>
    <x v="146"/>
    <s v="Solde  honoraire contrat n°78 Sibiti cas BOUTSANA et KAMBOU/ Maître BANZOUZI Alain/3654882"/>
    <s v="Lawyer Fees"/>
    <s v="Legal"/>
    <n v="300000"/>
    <n v="534.81419342674849"/>
    <n v="579.64599999999996"/>
    <s v="BCI"/>
    <s v="BQ-J-R9"/>
    <s v="PALF"/>
    <x v="1"/>
    <s v="Congo"/>
    <m/>
    <m/>
    <m/>
  </r>
  <r>
    <x v="147"/>
    <s v="Achat billet Brazzaville-Dolisie/Abraham"/>
    <s v="Transport"/>
    <s v="Legal"/>
    <n v="8000"/>
    <n v="14.261711824713291"/>
    <n v="579.64599999999996"/>
    <s v="Abraham"/>
    <s v="AB-J-R8"/>
    <s v="PALF"/>
    <x v="1"/>
    <s v="Congo"/>
    <m/>
    <m/>
    <m/>
  </r>
  <r>
    <x v="147"/>
    <s v="Frais de transport mission Maitre Alain à Dolisie du 18 au 20/06/2025"/>
    <s v="Transport"/>
    <s v="Legal"/>
    <n v="29000"/>
    <n v="51.698705364585685"/>
    <n v="579.64599999999996"/>
    <s v="Abraham"/>
    <s v="CA-J-R17"/>
    <s v="PALF"/>
    <x v="1"/>
    <s v="Congo"/>
    <m/>
    <m/>
    <m/>
  </r>
  <r>
    <x v="147"/>
    <s v="Ration et frais d'hotel mission maitre Alain à Dolisie du 18 au 20/06/2025"/>
    <s v="Travel Subsistence"/>
    <s v="Legal"/>
    <n v="50000"/>
    <n v="89.135698904458081"/>
    <n v="579.64599999999996"/>
    <s v="Abraham"/>
    <s v="CA-J-R18"/>
    <s v="PALF"/>
    <x v="1"/>
    <s v="Congo"/>
    <m/>
    <m/>
    <m/>
  </r>
  <r>
    <x v="148"/>
    <s v="Cumul frais de transport local du mois de Juin 2025/Crepin"/>
    <s v="Transport"/>
    <s v="Legal"/>
    <n v="15500"/>
    <n v="27.632066660382005"/>
    <n v="579.64599999999996"/>
    <s v="Crépin"/>
    <s v="CR-J-D2"/>
    <s v="PALF"/>
    <x v="1"/>
    <s v="Congo"/>
    <m/>
    <m/>
    <m/>
  </r>
  <r>
    <x v="148"/>
    <s v="ABRAHAM - CONGO Ration du 18 au 20/06/2025 à Dolisie (02 Nuitées)"/>
    <s v="Travel Subsistence"/>
    <s v="Legal"/>
    <n v="20000"/>
    <n v="35.654279561783227"/>
    <n v="579.64599999999996"/>
    <s v="Abraham"/>
    <s v="AB-J-D2"/>
    <s v="PALF"/>
    <x v="1"/>
    <s v="Congo"/>
    <m/>
    <m/>
    <m/>
  </r>
  <r>
    <x v="149"/>
    <s v="Cumul frais de Jail visits du mois de Juin 2025/Abraham"/>
    <s v="Jail visit"/>
    <s v="Legal"/>
    <n v="34500"/>
    <n v="61.503632244076073"/>
    <n v="579.64599999999996"/>
    <s v="Abraham"/>
    <s v="AB-J-D3"/>
    <s v="PALF"/>
    <x v="1"/>
    <s v="Congo"/>
    <m/>
    <m/>
    <m/>
  </r>
  <r>
    <x v="149"/>
    <s v="Bonus media portant sur l'annonce de laudience du 19 Juin 2025 à Brazzaville et à Dolisie( Pièces presse internet, Pièces presse papier et radio)"/>
    <s v="Bonus to media officer"/>
    <s v="Media"/>
    <n v="132000"/>
    <n v="235.31824510776931"/>
    <n v="579.64599999999996"/>
    <s v="Evariste"/>
    <s v="CA-J-D14"/>
    <s v="PALF"/>
    <x v="1"/>
    <s v="Congo"/>
    <m/>
    <m/>
    <m/>
  </r>
  <r>
    <x v="150"/>
    <s v="ABRAHAM - CONGO Frais d'Hôtel (Hôtel La Gloire) du 18 au 20/06/2025 à Dolisie (02 Nuitées)"/>
    <s v="Travel Subsistence"/>
    <s v="Legal"/>
    <n v="30000"/>
    <n v="53.481419342674847"/>
    <n v="579.64599999999996"/>
    <s v="Abraham"/>
    <s v="AB-J-R9"/>
    <s v="PALF"/>
    <x v="1"/>
    <s v="Congo"/>
    <m/>
    <m/>
    <m/>
  </r>
  <r>
    <x v="150"/>
    <s v="Achat eau mineral 10 Litres/Bureau"/>
    <s v="Office Materials"/>
    <s v="Office"/>
    <n v="25000"/>
    <n v="44.567849452229041"/>
    <n v="579.64599999999996"/>
    <s v="Parfaite"/>
    <s v="CA-J-R19"/>
    <s v="PALF"/>
    <x v="1"/>
    <s v="Congo"/>
    <m/>
    <m/>
    <m/>
  </r>
  <r>
    <x v="150"/>
    <s v="Cumul frais de transport local du mois de Juin  2025/P29"/>
    <s v="Transport"/>
    <s v="Investigations"/>
    <n v="32100"/>
    <n v="57.225118696662086"/>
    <n v="579.64599999999996"/>
    <s v="P29"/>
    <s v="P29-J-D1"/>
    <s v="PALF"/>
    <x v="1"/>
    <s v="Congo"/>
    <m/>
    <m/>
    <m/>
  </r>
  <r>
    <x v="150"/>
    <s v="Cumul frais de trust builfing du mois de Juin  2025/P29"/>
    <s v="Trust Building"/>
    <s v="Investigations"/>
    <n v="8500"/>
    <n v="15.153068813757873"/>
    <n v="579.64599999999996"/>
    <s v="P29"/>
    <s v="P29-J-D2"/>
    <s v="PALF"/>
    <x v="1"/>
    <s v="Congo"/>
    <m/>
    <m/>
    <m/>
  </r>
  <r>
    <x v="150"/>
    <s v="Cumul frais de transport local du mois de Juin 2025/IT87"/>
    <s v="Transport"/>
    <s v="Investigations"/>
    <n v="50500"/>
    <n v="90.027055893502663"/>
    <n v="579.64599999999996"/>
    <s v="IT87"/>
    <s v="IT87-J-D2"/>
    <s v="PALF"/>
    <x v="1"/>
    <s v="Congo"/>
    <m/>
    <m/>
    <m/>
  </r>
  <r>
    <x v="150"/>
    <s v="Cumul frais de transport local du mois Juin 2025/G12"/>
    <s v="Transport"/>
    <s v="Investigations"/>
    <n v="29000"/>
    <n v="51.698705364585685"/>
    <n v="579.64599999999996"/>
    <s v="G12"/>
    <s v="G12-J-D1"/>
    <s v="PALF"/>
    <x v="1"/>
    <s v="Congo"/>
    <m/>
    <m/>
    <m/>
  </r>
  <r>
    <x v="150"/>
    <s v="Frais de transport mission Maitre Alain à Impfondo du 22 au 29/06/2025"/>
    <s v="Transport"/>
    <s v="Legal"/>
    <n v="82000"/>
    <n v="146.18254620331123"/>
    <n v="579.64599999999996"/>
    <s v="Donald-Roméo"/>
    <s v="CA-J-R20"/>
    <s v="PALF"/>
    <x v="1"/>
    <s v="Congo"/>
    <m/>
    <m/>
    <m/>
  </r>
  <r>
    <x v="150"/>
    <s v="Ration et frais d'hotel mission maitre Alain à Impfondo du 22 au 29/06/2025"/>
    <s v="Travel Subsistence"/>
    <s v="Legal"/>
    <n v="175000"/>
    <n v="311.97494616560328"/>
    <n v="579.64599999999996"/>
    <s v="Donald-Roméo"/>
    <s v="CA-J-R21"/>
    <s v="PALF"/>
    <x v="1"/>
    <s v="Congo"/>
    <m/>
    <m/>
    <m/>
  </r>
  <r>
    <x v="150"/>
    <s v="Cumul frais de transport local du mois de Juin 2025/ Evariste"/>
    <s v="Transport"/>
    <s v="Media"/>
    <n v="22500"/>
    <n v="40.111064507006134"/>
    <n v="579.64599999999996"/>
    <s v="Evariste"/>
    <s v="EV-J-D2"/>
    <s v="PALF"/>
    <x v="1"/>
    <s v="Congo"/>
    <m/>
    <m/>
    <m/>
  </r>
  <r>
    <x v="151"/>
    <s v="Achat billet Brazzaville-Imfondo/Donald-Roméo"/>
    <s v="Transport "/>
    <s v="Legal"/>
    <n v="33000"/>
    <n v="58.829561276942329"/>
    <n v="579.64599999999996"/>
    <s v="Donald-Roméo"/>
    <s v="DR-J-R7"/>
    <s v="PALF"/>
    <x v="1"/>
    <s v="Congo"/>
    <m/>
    <m/>
    <m/>
  </r>
  <r>
    <x v="151"/>
    <s v="Donald Roméo-CONGO Ration  du  22 au 29/06/2025 à Impfondo"/>
    <s v="Travel Subsistence"/>
    <s v="Legal"/>
    <n v="70000"/>
    <n v="124.78997846624131"/>
    <n v="579.64599999999996"/>
    <s v="Donald-Roméo"/>
    <s v="DR-J-D2"/>
    <s v="PALF"/>
    <x v="1"/>
    <s v="Congo"/>
    <m/>
    <m/>
    <m/>
  </r>
  <r>
    <x v="152"/>
    <s v="Maintenance groupe electrogène bureau PALF"/>
    <s v="Services"/>
    <s v="Office"/>
    <n v="10000"/>
    <n v="17.827139780891613"/>
    <n v="579.64599999999996"/>
    <s v="Parfaite"/>
    <s v="CA-J-R22"/>
    <s v="PALF"/>
    <x v="1"/>
    <s v="Congo"/>
    <m/>
    <m/>
    <m/>
  </r>
  <r>
    <x v="152"/>
    <s v="cumul frais de trust building du mois de Juin 2025/T73"/>
    <s v="Trust Building"/>
    <s v="Investigations"/>
    <n v="12500"/>
    <n v="22.28392472611452"/>
    <n v="579.64599999999996"/>
    <s v="T73"/>
    <s v="T73-J-D1"/>
    <s v="PALF"/>
    <x v="1"/>
    <s v="Congo"/>
    <m/>
    <m/>
    <m/>
  </r>
  <r>
    <x v="152"/>
    <s v="Donald Roméo-CONGO Frais d'hôtel du 22 au 23/06/2025 à Ouesso (  01 Nuitée)"/>
    <s v="Travel Subsistence"/>
    <s v="Legal"/>
    <n v="15000"/>
    <n v="26.740709671337424"/>
    <n v="579.64599999999996"/>
    <s v="Donald-Roméo"/>
    <s v="DR-J-R8"/>
    <s v="PALF"/>
    <x v="1"/>
    <s v="Congo"/>
    <m/>
    <m/>
    <m/>
  </r>
  <r>
    <x v="153"/>
    <s v="Cumul frais de transport local du mois de Juin 2025/T73"/>
    <s v="Transport"/>
    <s v="Investigations"/>
    <n v="61800"/>
    <n v="110.17172384591018"/>
    <n v="579.64599999999996"/>
    <s v="T73"/>
    <s v="T73-J-D2"/>
    <s v="PALF"/>
    <x v="1"/>
    <s v="Congo"/>
    <m/>
    <m/>
    <m/>
  </r>
  <r>
    <x v="153"/>
    <s v="Frais de tansfert d'argent à Donald roméo"/>
    <s v="Transfer Fees"/>
    <s v="Office"/>
    <n v="2000"/>
    <n v="3.5654279561783229"/>
    <n v="579.64599999999996"/>
    <s v="Abraham"/>
    <s v="CA-J-R25"/>
    <s v="PALF"/>
    <x v="1"/>
    <s v="Congo"/>
    <m/>
    <m/>
    <m/>
  </r>
  <r>
    <x v="153"/>
    <s v="Achat billet Brazzaville-Owando"/>
    <s v="Transport"/>
    <s v="Legal"/>
    <n v="7000"/>
    <n v="12.47899784662413"/>
    <n v="579.64599999999996"/>
    <s v="Roderlin"/>
    <s v="RO-J-R9"/>
    <s v="PALF"/>
    <x v="1"/>
    <s v="Congo"/>
    <m/>
    <m/>
    <m/>
  </r>
  <r>
    <x v="153"/>
    <s v="Frais de transport mission Maitre Hélene  du 25 au 27/06/2025 à Owando"/>
    <s v="Transport"/>
    <s v="Legal"/>
    <n v="20000"/>
    <n v="35.654279561783227"/>
    <n v="579.64599999999996"/>
    <s v="Roderlin"/>
    <s v="CA-J-R23"/>
    <s v="PALF"/>
    <x v="1"/>
    <s v="Congo"/>
    <m/>
    <m/>
    <m/>
  </r>
  <r>
    <x v="153"/>
    <s v="Ration et frais d'hotel mission maitre Hélène  du 25 au 27/06/2025 à Owando"/>
    <s v="Travel Subsistence"/>
    <s v="Legal"/>
    <n v="50000"/>
    <n v="89.135698904458081"/>
    <n v="579.64599999999996"/>
    <s v="Roderlin"/>
    <s v="CA-J-R24"/>
    <s v="PALF"/>
    <x v="1"/>
    <s v="Congo"/>
    <m/>
    <m/>
    <m/>
  </r>
  <r>
    <x v="153"/>
    <s v="Donald Roméo-CONGO Frais d'hôtedu 23 au 24/06/2025 à Enyele (  01 Nuitée)"/>
    <s v="Travel Subsistence"/>
    <s v="Legal"/>
    <n v="15000"/>
    <n v="26.740709671337424"/>
    <n v="579.64599999999996"/>
    <s v="Donald-Roméo"/>
    <s v="DR-J-R9"/>
    <s v="PALF"/>
    <x v="1"/>
    <s v="Congo"/>
    <m/>
    <m/>
    <m/>
  </r>
  <r>
    <x v="153"/>
    <s v="Acompte honoraire contrat N°60_Brazzaville cas NZETSI BIMOKO et Consorts/Maitre Marie Hélène NANITELAMIO MALONGA/ 3654884"/>
    <s v="Lawyer Fees"/>
    <s v="Legal"/>
    <n v="300000"/>
    <n v="534.81419342674849"/>
    <n v="579.64599999999996"/>
    <s v="BCI"/>
    <s v="BQ-J-R10"/>
    <s v="PALF"/>
    <x v="1"/>
    <s v="Congo"/>
    <m/>
    <m/>
    <m/>
  </r>
  <r>
    <x v="154"/>
    <s v="RODERLIN-CONGO Ration du 24 au 26/06/2025 à Owando (02 nuitées)"/>
    <s v="Travel Subsistence"/>
    <s v="Legal"/>
    <n v="20000"/>
    <n v="35.654279561783227"/>
    <n v="579.64599999999996"/>
    <s v="Roderlin"/>
    <s v="RO-J-D3"/>
    <s v="PALF"/>
    <x v="1"/>
    <s v="Congo"/>
    <m/>
    <m/>
    <m/>
  </r>
  <r>
    <x v="155"/>
    <s v="cumul frais de Jail visits du mois de Juin 2025/Roderlin"/>
    <s v="Jail visit"/>
    <s v="Legal"/>
    <n v="21000"/>
    <n v="37.43699353987239"/>
    <n v="579.64599999999996"/>
    <s v="Roderlin"/>
    <s v="RO-J-D4"/>
    <s v="PALF"/>
    <x v="1"/>
    <s v="Congo"/>
    <m/>
    <m/>
    <m/>
  </r>
  <r>
    <x v="155"/>
    <s v="Cumul frais de Jail visits du mois de Juin 2025/Donald-Romeo"/>
    <s v="Jail visit"/>
    <s v="Legal"/>
    <n v="40500"/>
    <n v="72.199916112611035"/>
    <n v="579.64599999999996"/>
    <s v="Donald-Roméo"/>
    <s v="DR-J-D3"/>
    <s v="PALF"/>
    <x v="1"/>
    <s v="Congo"/>
    <m/>
    <m/>
    <m/>
  </r>
  <r>
    <x v="156"/>
    <s v="Achat billet Owando- Brazzaville "/>
    <s v="Transport"/>
    <s v="Legal"/>
    <n v="7000"/>
    <n v="12.47899784662413"/>
    <n v="579.64599999999996"/>
    <s v="Roderlin"/>
    <s v="RO-J-R10"/>
    <s v="PALF"/>
    <x v="1"/>
    <s v="Congo"/>
    <m/>
    <m/>
    <m/>
  </r>
  <r>
    <x v="156"/>
    <s v="Achat billet Imfondo-Brazzaville"/>
    <s v="Transport "/>
    <s v="Legal"/>
    <n v="33000"/>
    <n v="58.829561276942329"/>
    <n v="579.64599999999996"/>
    <s v="Donald-Roméo"/>
    <s v="DR-J-R10"/>
    <s v="PALF"/>
    <x v="1"/>
    <s v="Congo"/>
    <m/>
    <m/>
    <m/>
  </r>
  <r>
    <x v="156"/>
    <s v="Frais de ramassage Ordure Juin 2025"/>
    <s v="Rent &amp; Utilities"/>
    <s v="Office"/>
    <n v="8000"/>
    <n v="14.261711824713291"/>
    <n v="579.64599999999996"/>
    <s v="Parfaite"/>
    <s v="CA-J-R26"/>
    <s v="PALF"/>
    <x v="1"/>
    <s v="Congo"/>
    <m/>
    <m/>
    <m/>
  </r>
  <r>
    <x v="156"/>
    <s v="Reglement prestation de nettoyage  PALF du mois de Juin 2025"/>
    <s v="Services"/>
    <s v="Office"/>
    <n v="75625"/>
    <n v="134.81774459299285"/>
    <n v="579.64599999999996"/>
    <s v="Parfaite"/>
    <s v="CA-J-R27"/>
    <s v="PALF"/>
    <x v="1"/>
    <s v="Congo"/>
    <m/>
    <m/>
    <m/>
  </r>
  <r>
    <x v="156"/>
    <s v="RODERLIN-CONGO Frais d'hôtel du 25 au 27/06/2025 à Owando (02 nuitées)"/>
    <s v="Travel Subsistence"/>
    <s v="Legal"/>
    <n v="30000"/>
    <n v="53.481419342674847"/>
    <n v="579.64599999999996"/>
    <s v="Roderlin"/>
    <s v="RO-J-R11"/>
    <s v="PALF"/>
    <x v="1"/>
    <s v="Congo"/>
    <m/>
    <m/>
    <m/>
  </r>
  <r>
    <x v="156"/>
    <s v="Donald Roméo-CONGO Frais d'hôtel du 24 au 27/06/2025 à Impfondo ( 03 Nuitées )"/>
    <s v="Travel Subsistence"/>
    <s v="Legal"/>
    <n v="45000"/>
    <n v="80.222129014012268"/>
    <n v="579.64599999999996"/>
    <s v="Donald-Roméo"/>
    <s v="DR-J-R11"/>
    <s v="PALF"/>
    <x v="1"/>
    <s v="Congo"/>
    <m/>
    <m/>
    <m/>
  </r>
  <r>
    <x v="157"/>
    <s v="Donald Roméo- CONGO Frais d'hôtel du 27 au 28/06/2025 à Enyele (01 Nuitée)"/>
    <s v="Travel Subsistence"/>
    <s v="Legal"/>
    <n v="15000"/>
    <n v="26.740709671337424"/>
    <n v="579.64599999999996"/>
    <s v="Donald-Roméo"/>
    <s v="DR-J-R12"/>
    <s v="PALF"/>
    <x v="1"/>
    <s v="Congo"/>
    <m/>
    <m/>
    <m/>
  </r>
  <r>
    <x v="158"/>
    <s v="Donald Roméo-CONGO Frais d'hôtel du 28 au 29/06/2025 à Oyo ( 01 Nuitée)"/>
    <s v="Travel Subsistence"/>
    <s v="Legal"/>
    <n v="15000"/>
    <n v="26.740709671337424"/>
    <n v="579.64599999999996"/>
    <s v="Donald-Roméo"/>
    <s v="DR-J-R13"/>
    <s v="PALF"/>
    <x v="1"/>
    <s v="Congo"/>
    <m/>
    <m/>
    <m/>
  </r>
  <r>
    <x v="158"/>
    <s v="Cumul frais de transport local du mois de Juin 2025/Donald-Romeo"/>
    <s v="Transport "/>
    <s v="Legal"/>
    <n v="39000"/>
    <n v="69.525845145477305"/>
    <n v="579.64599999999996"/>
    <s v="Donald-Roméo"/>
    <s v="DR-J-D4"/>
    <s v="PALF"/>
    <x v="1"/>
    <s v="Congo"/>
    <m/>
    <m/>
    <m/>
  </r>
  <r>
    <x v="159"/>
    <s v="Cumul frais de transport local du mois de Juin 2025/DOVI"/>
    <s v="Transport"/>
    <s v="Management"/>
    <n v="49000"/>
    <n v="87.352984926368919"/>
    <n v="579.64599999999996"/>
    <s v="DOVI"/>
    <s v="DH-J-D1"/>
    <s v="PALF"/>
    <x v="1"/>
    <s v="Congo"/>
    <m/>
    <m/>
    <m/>
  </r>
  <r>
    <x v="159"/>
    <s v="Maintenance groupe electrogène bureau PALF"/>
    <s v="Services"/>
    <s v="Office"/>
    <n v="50000"/>
    <n v="89.135698904458081"/>
    <n v="579.64599999999996"/>
    <s v="Parfaite"/>
    <s v="CA-J-R28"/>
    <s v="PALF"/>
    <x v="1"/>
    <s v="Congo"/>
    <m/>
    <m/>
    <m/>
  </r>
  <r>
    <x v="159"/>
    <s v="Reglement facture internet periode du 01/07 au 31/07/2025 bureau PALF"/>
    <s v="Internet"/>
    <s v="Office"/>
    <n v="45050"/>
    <n v="80.311264712916724"/>
    <n v="579.64599999999996"/>
    <s v="Parfaite"/>
    <s v="CA-J-R29"/>
    <s v="PALF"/>
    <x v="1"/>
    <s v="Congo"/>
    <m/>
    <m/>
    <m/>
  </r>
  <r>
    <x v="159"/>
    <s v="Cumul frais de transport local du mois de Juin 2025/Parfaite"/>
    <s v="Transport"/>
    <s v="Office"/>
    <n v="26000"/>
    <n v="46.350563430318196"/>
    <n v="579.64599999999996"/>
    <s v="Parfaite"/>
    <s v="P-J-D1"/>
    <s v="PALF"/>
    <x v="1"/>
    <s v="Congo"/>
    <m/>
    <m/>
    <m/>
  </r>
  <r>
    <x v="159"/>
    <s v="Cumul frais de transport local du mois de Juin 2025/ Abraham"/>
    <s v="Transport"/>
    <s v="Legal"/>
    <n v="45700"/>
    <n v="81.470028798674676"/>
    <n v="579.64599999999996"/>
    <s v="Abraham"/>
    <s v="AB-J-D4"/>
    <s v="PALF"/>
    <x v="1"/>
    <s v="Congo"/>
    <m/>
    <m/>
    <m/>
  </r>
  <r>
    <x v="159"/>
    <s v="Cumul frais de transport local du mois de Juin 2025/Roderlin"/>
    <s v="Transport"/>
    <s v="Legal"/>
    <n v="53000"/>
    <n v="94.483840838725555"/>
    <n v="579.64599999999996"/>
    <s v="Roderlin"/>
    <s v="RO-J-D5"/>
    <s v="PALF"/>
    <x v="1"/>
    <s v="Congo"/>
    <m/>
    <m/>
    <m/>
  </r>
  <r>
    <x v="160"/>
    <s v="Maison-Bureau"/>
    <s v="Transport"/>
    <s v="Management"/>
    <n v="1000"/>
    <n v="1.7827139780891614"/>
    <n v="560.94248000000005"/>
    <s v="DOVI"/>
    <s v="DH-JU-D1"/>
    <s v="PALF"/>
    <x v="5"/>
    <s v="Congo"/>
    <m/>
    <m/>
    <m/>
  </r>
  <r>
    <x v="160"/>
    <s v="Bureau-Maison"/>
    <s v="Transport"/>
    <s v="Management"/>
    <n v="1000"/>
    <n v="1.7827139780891614"/>
    <n v="560.94248000000005"/>
    <s v="DOVI"/>
    <s v="DH-JU-D1"/>
    <s v="PALF"/>
    <x v="5"/>
    <s v="Congo"/>
    <m/>
    <m/>
    <m/>
  </r>
  <r>
    <x v="161"/>
    <s v="Maison-Bureau"/>
    <s v="Transport"/>
    <s v="Management"/>
    <n v="1000"/>
    <n v="1.7827139780891614"/>
    <n v="560.94248000000005"/>
    <s v="DOVI"/>
    <s v="DH-JU-D1"/>
    <s v="PALF"/>
    <x v="5"/>
    <s v="Congo"/>
    <m/>
    <m/>
    <m/>
  </r>
  <r>
    <x v="161"/>
    <s v="Bureau-Maison"/>
    <s v="Transport"/>
    <s v="Management"/>
    <n v="1000"/>
    <n v="1.7827139780891614"/>
    <n v="560.94248000000005"/>
    <s v="DOVI"/>
    <s v="DH-JU-D1"/>
    <s v="PALF"/>
    <x v="5"/>
    <s v="Congo"/>
    <m/>
    <m/>
    <m/>
  </r>
  <r>
    <x v="161"/>
    <s v="Taxi:  Bureau-Banque BCI/ Retrait relevé de compte bancaire du mois de Juin 2025"/>
    <s v="Transport"/>
    <s v="Office"/>
    <n v="1000"/>
    <n v="1.7827139780891614"/>
    <n v="560.94248000000005"/>
    <s v="Parfaite"/>
    <s v="P-JU-D1"/>
    <s v="PALF"/>
    <x v="5"/>
    <s v="Congo"/>
    <m/>
    <m/>
    <m/>
  </r>
  <r>
    <x v="161"/>
    <s v="Taxi:  Banque BCI - Bureau/ Retrait relevé de compte bancaire du mois de Juin 2025"/>
    <s v="Transport"/>
    <s v="Office"/>
    <n v="1000"/>
    <n v="1.7827139780891614"/>
    <n v="560.94248000000005"/>
    <s v="Parfaite"/>
    <s v="P-JU-D1"/>
    <s v="PALF"/>
    <x v="5"/>
    <s v="Congo"/>
    <m/>
    <m/>
    <m/>
  </r>
  <r>
    <x v="161"/>
    <s v=" Frais de prestation de nettoyage du jardin PALF/ Juin 2025"/>
    <s v="Services"/>
    <s v="Office"/>
    <n v="20000"/>
    <n v="35.654279561783227"/>
    <n v="560.94248000000005"/>
    <s v="Parfaite"/>
    <s v="CA-JU-R1"/>
    <s v="PALF"/>
    <x v="5"/>
    <s v="Congo"/>
    <m/>
    <m/>
    <m/>
  </r>
  <r>
    <x v="162"/>
    <s v="Maison-Bureau"/>
    <s v="Transport"/>
    <s v="Management"/>
    <n v="1000"/>
    <n v="1.7827139780891614"/>
    <n v="560.94248000000005"/>
    <s v="DOVI"/>
    <s v="DH-JU-D1"/>
    <s v="PALF"/>
    <x v="5"/>
    <s v="Congo"/>
    <m/>
    <m/>
    <m/>
  </r>
  <r>
    <x v="162"/>
    <s v="Bureau-Maison"/>
    <s v="Transport"/>
    <s v="Management"/>
    <n v="1000"/>
    <n v="1.7827139780891614"/>
    <n v="560.94248000000005"/>
    <s v="DOVI"/>
    <s v="DH-JU-D1"/>
    <s v="PALF"/>
    <x v="5"/>
    <s v="Congo"/>
    <m/>
    <m/>
    <m/>
  </r>
  <r>
    <x v="162"/>
    <s v="Taxi:  Bureau- Société de gardiennage/remis de chèque du mois de Juin 2025"/>
    <s v="Transport"/>
    <s v="Office"/>
    <n v="1000"/>
    <n v="1.7827139780891614"/>
    <n v="560.94248000000005"/>
    <s v="Parfaite"/>
    <s v="P-JU-D1"/>
    <s v="PALF"/>
    <x v="5"/>
    <s v="Congo"/>
    <m/>
    <m/>
    <m/>
  </r>
  <r>
    <x v="162"/>
    <s v="Taxi:  Societé de gardiennage  - Bureau/remis de chèque du mois de Juin 2025"/>
    <s v="Transport"/>
    <s v="Office"/>
    <n v="1000"/>
    <n v="1.7827139780891614"/>
    <n v="560.94248000000005"/>
    <s v="Parfaite"/>
    <s v="P-JU-D1"/>
    <s v="PALF"/>
    <x v="5"/>
    <s v="Congo"/>
    <m/>
    <m/>
    <m/>
  </r>
  <r>
    <x v="162"/>
    <s v="Taxi:Bureau-Centre ville pour la rencontrer maître Hélene"/>
    <s v="Transport"/>
    <s v="Legal"/>
    <n v="1000"/>
    <n v="1.7827139780891614"/>
    <n v="560.94248000000005"/>
    <s v="Roderlin"/>
    <s v="RO-JU-D1"/>
    <s v="PALF"/>
    <x v="5"/>
    <s v="Congo"/>
    <m/>
    <m/>
    <m/>
  </r>
  <r>
    <x v="162"/>
    <s v="Taxi:Centre ville-Bureau"/>
    <s v="Transport"/>
    <s v="Legal"/>
    <n v="1000"/>
    <n v="1.7827139780891614"/>
    <n v="560.94248000000005"/>
    <s v="Roderlin"/>
    <s v="RO-JU-D1"/>
    <s v="PALF"/>
    <x v="5"/>
    <s v="Congo"/>
    <m/>
    <m/>
    <m/>
  </r>
  <r>
    <x v="162"/>
    <s v="Taxi:Bureau-Cabinet BANZOUZI pour la rémise du chèque "/>
    <s v="Transport"/>
    <s v="Legal"/>
    <n v="1000"/>
    <n v="1.7827139780891614"/>
    <n v="560.94248000000005"/>
    <s v="Roderlin"/>
    <s v="RO-JU-D1"/>
    <s v="PALF"/>
    <x v="5"/>
    <s v="Congo"/>
    <m/>
    <m/>
    <m/>
  </r>
  <r>
    <x v="162"/>
    <s v="Taxi:Cabinet BANZOUZI-Domicile"/>
    <s v="Transport"/>
    <s v="Legal"/>
    <n v="1000"/>
    <n v="1.7827139780891614"/>
    <n v="560.94248000000005"/>
    <s v="Roderlin"/>
    <s v="RO-JU-D1"/>
    <s v="PALF"/>
    <x v="5"/>
    <s v="Congo"/>
    <m/>
    <m/>
    <m/>
  </r>
  <r>
    <x v="162"/>
    <s v="Solde  honoraire contrat n°84 Impfondo cas MBEKELE ET CONSORTS/ Maître BANZOUZI Alain/3654886"/>
    <s v="Lawyer Fees"/>
    <s v="Legal"/>
    <n v="300000"/>
    <n v="534.81419342674849"/>
    <n v="560.94248000000005"/>
    <s v="BCI"/>
    <s v="BQ-JU-R1"/>
    <s v="PALF"/>
    <x v="5"/>
    <s v="Congo"/>
    <m/>
    <m/>
    <m/>
  </r>
  <r>
    <x v="162"/>
    <s v="Solde honoraire contrat N°49_Brazzaville cas BIHONDA Jean-LeBOUCK/Maitre Marie Hélène NANITELAMIO MALONGA/ 3654887"/>
    <s v="Lawyer Fees"/>
    <s v="Legal"/>
    <n v="300000"/>
    <n v="534.81419342674849"/>
    <n v="560.94248000000005"/>
    <s v="BCI"/>
    <s v="BQ-JU-R2"/>
    <s v="PALF"/>
    <x v="5"/>
    <s v="Congo"/>
    <m/>
    <m/>
    <m/>
  </r>
  <r>
    <x v="162"/>
    <s v="Reglement Facture Gardiennage Mois de Juin 2025/3654888"/>
    <s v="Services"/>
    <s v="Office"/>
    <n v="260000"/>
    <n v="463.50563430318198"/>
    <n v="560.94248000000005"/>
    <s v="BCI"/>
    <s v="BQ-JU-R3"/>
    <s v="PALF"/>
    <x v="5"/>
    <s v="Congo"/>
    <m/>
    <m/>
    <m/>
  </r>
  <r>
    <x v="163"/>
    <s v="Maison-Bureau"/>
    <s v="Transport"/>
    <s v="Management"/>
    <n v="1000"/>
    <n v="1.7827139780891614"/>
    <n v="560.94248000000005"/>
    <s v="DOVI"/>
    <s v="DH-JU-D1"/>
    <s v="PALF"/>
    <x v="5"/>
    <s v="Congo"/>
    <m/>
    <m/>
    <m/>
  </r>
  <r>
    <x v="163"/>
    <s v="Bureau-Maison"/>
    <s v="Transport"/>
    <s v="Management"/>
    <n v="1000"/>
    <n v="1.7827139780891614"/>
    <n v="560.94248000000005"/>
    <s v="DOVI"/>
    <s v="DH-JU-D1"/>
    <s v="PALF"/>
    <x v="5"/>
    <s v="Congo"/>
    <m/>
    <m/>
    <m/>
  </r>
  <r>
    <x v="164"/>
    <s v="Maison-Bureau"/>
    <s v="Transport"/>
    <s v="Management"/>
    <n v="1000"/>
    <n v="1.7827139780891614"/>
    <n v="560.94248000000005"/>
    <s v="DOVI"/>
    <s v="DH-JU-D1"/>
    <s v="PALF"/>
    <x v="5"/>
    <s v="Congo"/>
    <m/>
    <m/>
    <m/>
  </r>
  <r>
    <x v="164"/>
    <s v="Bureau-Maison"/>
    <s v="Transport"/>
    <s v="Management"/>
    <n v="1000"/>
    <n v="1.7827139780891614"/>
    <n v="560.94248000000005"/>
    <s v="DOVI"/>
    <s v="DH-JU-D1"/>
    <s v="PALF"/>
    <x v="5"/>
    <s v="Congo"/>
    <m/>
    <m/>
    <m/>
  </r>
  <r>
    <x v="165"/>
    <s v="Maison-Bureau"/>
    <s v="Transport"/>
    <s v="Management"/>
    <n v="1000"/>
    <n v="1.7827139780891614"/>
    <n v="560.94248000000005"/>
    <s v="DOVI"/>
    <s v="DH-JU-D1"/>
    <s v="PALF"/>
    <x v="5"/>
    <s v="Congo"/>
    <m/>
    <m/>
    <m/>
  </r>
  <r>
    <x v="165"/>
    <s v="Bureau-Maison"/>
    <s v="Transport"/>
    <s v="Management"/>
    <n v="1000"/>
    <n v="1.7827139780891614"/>
    <n v="560.94248000000005"/>
    <s v="DOVI"/>
    <s v="DH-JU-D1"/>
    <s v="PALF"/>
    <x v="5"/>
    <s v="Congo"/>
    <m/>
    <m/>
    <m/>
  </r>
  <r>
    <x v="166"/>
    <s v="Maison-Bureau"/>
    <s v="Transport"/>
    <s v="Management"/>
    <n v="1000"/>
    <n v="1.7827139780891614"/>
    <n v="560.94248000000005"/>
    <s v="DOVI"/>
    <s v="DH-JU-D1"/>
    <s v="PALF"/>
    <x v="5"/>
    <s v="Congo"/>
    <m/>
    <m/>
    <m/>
  </r>
  <r>
    <x v="166"/>
    <s v="Bureau-Maison"/>
    <s v="Transport"/>
    <s v="Management"/>
    <n v="1000"/>
    <n v="1.7827139780891614"/>
    <n v="560.94248000000005"/>
    <s v="DOVI"/>
    <s v="DH-JU-D1"/>
    <s v="PALF"/>
    <x v="5"/>
    <s v="Congo"/>
    <m/>
    <m/>
    <m/>
  </r>
  <r>
    <x v="167"/>
    <s v="Règlement loyer Juin 2025/Coordinateur"/>
    <s v="Personnel"/>
    <s v="Management"/>
    <n v="174625"/>
    <n v="311.30642842381985"/>
    <n v="560.94248000000005"/>
    <s v="DOVI"/>
    <s v="DH-JU-R1"/>
    <s v="PALF"/>
    <x v="5"/>
    <s v="Congo"/>
    <m/>
    <m/>
    <m/>
  </r>
  <r>
    <x v="167"/>
    <s v="Maison- Bureau"/>
    <s v="Transport"/>
    <s v="Management"/>
    <n v="1000"/>
    <n v="1.7827139780891614"/>
    <n v="560.94248000000005"/>
    <s v="DOVI"/>
    <s v="DH-JU-D1"/>
    <s v="PALF"/>
    <x v="5"/>
    <s v="Congo"/>
    <m/>
    <m/>
    <m/>
  </r>
  <r>
    <x v="167"/>
    <s v="Bureau-Maison"/>
    <s v="Transport"/>
    <s v="Management"/>
    <n v="1000"/>
    <n v="1.7827139780891614"/>
    <n v="560.94248000000005"/>
    <s v="DOVI"/>
    <s v="DH-JU-D1"/>
    <s v="PALF"/>
    <x v="5"/>
    <s v="Congo"/>
    <m/>
    <m/>
    <m/>
  </r>
  <r>
    <x v="167"/>
    <s v="Achat eau mineral 10 Petite bouteille 0,6L/Bureau"/>
    <s v="Office Materiels"/>
    <s v="Office"/>
    <n v="2000"/>
    <n v="3.5654279561783229"/>
    <n v="560.94248000000005"/>
    <s v="Roderlin"/>
    <s v="CA-JU-R2"/>
    <s v="PALF"/>
    <x v="5"/>
    <s v="Congo"/>
    <m/>
    <m/>
    <m/>
  </r>
  <r>
    <x v="168"/>
    <s v="Maison-Cabinet d'huissier"/>
    <s v="Transport"/>
    <s v="Management"/>
    <n v="1000"/>
    <n v="1.7827139780891614"/>
    <n v="560.94248000000005"/>
    <s v="DOVI"/>
    <s v="DH-JU-D1"/>
    <s v="PALF"/>
    <x v="5"/>
    <s v="Congo"/>
    <m/>
    <m/>
    <m/>
  </r>
  <r>
    <x v="168"/>
    <s v="Cabinet - Bureau"/>
    <s v="Transport"/>
    <s v="Management"/>
    <n v="1000"/>
    <n v="1.7827139780891614"/>
    <n v="560.94248000000005"/>
    <s v="DOVI"/>
    <s v="DH-JU-D1"/>
    <s v="PALF"/>
    <x v="5"/>
    <s v="Congo"/>
    <m/>
    <m/>
    <m/>
  </r>
  <r>
    <x v="168"/>
    <s v="Bureau-Maison"/>
    <s v="Transport"/>
    <s v="Management"/>
    <n v="1000"/>
    <n v="1.7827139780891614"/>
    <n v="560.94248000000005"/>
    <s v="DOVI"/>
    <s v="DH-JU-D1"/>
    <s v="PALF"/>
    <x v="5"/>
    <s v="Congo"/>
    <m/>
    <m/>
    <m/>
  </r>
  <r>
    <x v="168"/>
    <s v="Taxi: Domicile-Bureau pour signature des pièces comptables/crépin"/>
    <s v="Transport"/>
    <s v="Legal"/>
    <n v="1000"/>
    <n v="1.7827139780891614"/>
    <n v="560.94248000000005"/>
    <s v="Crépin"/>
    <s v="CR-JU-D1"/>
    <s v="PALF"/>
    <x v="5"/>
    <s v="Congo"/>
    <m/>
    <m/>
    <m/>
  </r>
  <r>
    <x v="168"/>
    <s v="Taxi: Bureau-Domicile/crépin"/>
    <s v="Transport"/>
    <s v="Legal"/>
    <n v="1000"/>
    <n v="1.7827139780891614"/>
    <n v="560.94248000000005"/>
    <s v="Crépin"/>
    <s v="CR-JU-D1"/>
    <s v="PALF"/>
    <x v="5"/>
    <s v="Congo"/>
    <m/>
    <m/>
    <m/>
  </r>
  <r>
    <x v="169"/>
    <s v="Maison-Bureau"/>
    <s v="Transport"/>
    <s v="Management"/>
    <n v="1000"/>
    <n v="1.7827139780891614"/>
    <n v="560.94248000000005"/>
    <s v="DOVI"/>
    <s v="DH-JU-D1"/>
    <s v="PALF"/>
    <x v="5"/>
    <s v="Congo"/>
    <m/>
    <m/>
    <m/>
  </r>
  <r>
    <x v="169"/>
    <s v="Bureau-Maison"/>
    <s v="Transport"/>
    <s v="Management"/>
    <n v="1000"/>
    <n v="1.7827139780891614"/>
    <n v="560.94248000000005"/>
    <s v="DOVI"/>
    <s v="DH-JU-D1"/>
    <s v="PALF"/>
    <x v="5"/>
    <s v="Congo"/>
    <m/>
    <m/>
    <m/>
  </r>
  <r>
    <x v="169"/>
    <s v="Remboursement frais de certificat d'Hébergement(Valentina et Martina) du 27/06/2025"/>
    <s v="Travel Expenses"/>
    <s v="Investigations"/>
    <n v="-60000"/>
    <n v="-106.96283868534969"/>
    <n v="560.94248000000005"/>
    <s v="Parfaite"/>
    <s v="CA-JU-D1"/>
    <s v="PALF"/>
    <x v="5"/>
    <s v="Congo"/>
    <m/>
    <m/>
    <m/>
  </r>
  <r>
    <x v="170"/>
    <s v="Maison-Bureau"/>
    <s v="Transport"/>
    <s v="Management"/>
    <n v="1000"/>
    <n v="1.7827139780891614"/>
    <n v="560.94248000000005"/>
    <s v="DOVI"/>
    <s v="DH-JU-D1"/>
    <s v="PALF"/>
    <x v="5"/>
    <s v="Congo"/>
    <m/>
    <m/>
    <m/>
  </r>
  <r>
    <x v="170"/>
    <s v="Bureau-Maison"/>
    <s v="Transport"/>
    <s v="Management"/>
    <n v="1000"/>
    <n v="1.7827139780891614"/>
    <n v="560.94248000000005"/>
    <s v="DOVI"/>
    <s v="DH-JU-D1"/>
    <s v="PALF"/>
    <x v="5"/>
    <s v="Congo"/>
    <m/>
    <m/>
    <m/>
  </r>
  <r>
    <x v="170"/>
    <s v="Taxi: Domicile-Bureau pour la signature des chèques des salaires/crépin"/>
    <s v="Transport"/>
    <s v="Legal"/>
    <n v="1000"/>
    <n v="1.7827139780891614"/>
    <n v="560.94248000000005"/>
    <s v="Crépin"/>
    <s v="CR-JU-D1"/>
    <s v="PALF"/>
    <x v="5"/>
    <s v="Congo"/>
    <m/>
    <m/>
    <m/>
  </r>
  <r>
    <x v="170"/>
    <s v="Taxi: Bureau-Domicile/crépin"/>
    <s v="Transport"/>
    <s v="Legal"/>
    <n v="1000"/>
    <n v="1.7827139780891614"/>
    <n v="560.94248000000005"/>
    <s v="Crépin"/>
    <s v="CR-JU-D1"/>
    <s v="PALF"/>
    <x v="5"/>
    <s v="Congo"/>
    <m/>
    <m/>
    <m/>
  </r>
  <r>
    <x v="170"/>
    <s v="Taxi:  Domicile-Banque BCI/ Vérification des fonds dans le compte "/>
    <s v="Transport"/>
    <s v="Office"/>
    <n v="1000"/>
    <n v="1.7827139780891614"/>
    <n v="560.94248000000005"/>
    <s v="Parfaite"/>
    <s v="P-JU-D1"/>
    <s v="PALF"/>
    <x v="5"/>
    <s v="Congo"/>
    <m/>
    <m/>
    <m/>
  </r>
  <r>
    <x v="170"/>
    <s v="Taxi:  Banque BCI - Bureau/  Vérification des fonds dans le compte "/>
    <s v="Transport"/>
    <s v="Office"/>
    <n v="1000"/>
    <n v="1.7827139780891614"/>
    <n v="560.94248000000005"/>
    <s v="Parfaite"/>
    <s v="P-JU-D1"/>
    <s v="PALF"/>
    <x v="5"/>
    <s v="Congo"/>
    <m/>
    <m/>
    <m/>
  </r>
  <r>
    <x v="170"/>
    <s v="Taxi:  Bureau-Banque BCI/ Dépôt ordre de virement salaire du mois de Juin 2025"/>
    <s v="Transport"/>
    <s v="Office"/>
    <n v="1000"/>
    <n v="1.7827139780891614"/>
    <n v="560.94248000000005"/>
    <s v="Parfaite"/>
    <s v="P-JU-D1"/>
    <s v="PALF"/>
    <x v="5"/>
    <s v="Congo"/>
    <m/>
    <m/>
    <m/>
  </r>
  <r>
    <x v="170"/>
    <s v="Taxi:  Banque BCI - Bureau/ Dépôt ordre de virement salaire du mois de Juin 2025"/>
    <s v="Transport"/>
    <s v="Office"/>
    <n v="1000"/>
    <n v="1.7827139780891614"/>
    <n v="560.94248000000005"/>
    <s v="Parfaite"/>
    <s v="P-JU-D1"/>
    <s v="PALF"/>
    <x v="5"/>
    <s v="Congo"/>
    <m/>
    <m/>
    <m/>
  </r>
  <r>
    <x v="170"/>
    <s v="Reglement loyer du mois de Juin 2025/3654885"/>
    <s v="Rent &amp; Utilities"/>
    <s v="Office"/>
    <n v="500000"/>
    <n v="891.3569890445807"/>
    <n v="560.94248000000005"/>
    <s v="BCI"/>
    <s v="BQ-JU-R4"/>
    <s v="PALF"/>
    <x v="5"/>
    <s v="Congo"/>
    <m/>
    <m/>
    <m/>
  </r>
  <r>
    <x v="170"/>
    <s v="RAPATRIEME01100 RAO00010859/OAT"/>
    <s v="Grant"/>
    <m/>
    <m/>
    <m/>
    <n v="534.23810000000003"/>
    <s v="BCI"/>
    <s v="BQ-JU-G1"/>
    <s v="PALF"/>
    <x v="3"/>
    <s v="Congo"/>
    <n v="5342381"/>
    <n v="10000"/>
    <m/>
  </r>
  <r>
    <x v="170"/>
    <s v="Reglement honoraire du mois de de Juin 2025/P29/36548890"/>
    <s v="Personnel"/>
    <s v="Investigations"/>
    <n v="400000"/>
    <n v="748.72982664471135"/>
    <n v="534.23810000000003"/>
    <s v="BCI"/>
    <s v="BQ-JU-R5"/>
    <s v="PALF"/>
    <x v="3"/>
    <s v="Congo"/>
    <m/>
    <m/>
    <m/>
  </r>
  <r>
    <x v="170"/>
    <s v="Reglement honoraire du mois de Juin 2025/T73/3654892"/>
    <s v="Personnel"/>
    <s v="Investigations"/>
    <n v="255000"/>
    <n v="477.31526448600351"/>
    <n v="534.23810000000003"/>
    <s v="BCI"/>
    <s v="BQ-JU-R6"/>
    <s v="PALF"/>
    <x v="3"/>
    <s v="Congo"/>
    <m/>
    <m/>
    <m/>
  </r>
  <r>
    <x v="170"/>
    <s v="Reglement honoraire du mois de Juin 2025/IT87/3654895"/>
    <s v="Personnel"/>
    <s v="Investigations"/>
    <n v="255000"/>
    <n v="477.31526448600351"/>
    <n v="534.23810000000003"/>
    <s v="BCI"/>
    <s v="BQ-JU-R7"/>
    <s v="PALF"/>
    <x v="3"/>
    <s v="Congo"/>
    <m/>
    <m/>
    <m/>
  </r>
  <r>
    <x v="170"/>
    <s v="Reglement honoraire du mois de Juin 2025/G12/3654894"/>
    <s v="Personnel"/>
    <s v="Investigations"/>
    <n v="255000"/>
    <n v="477.31526448600351"/>
    <n v="534.23810000000003"/>
    <s v="BCI"/>
    <s v="BQ-JU-R8"/>
    <s v="PALF"/>
    <x v="3"/>
    <s v="Congo"/>
    <m/>
    <m/>
    <m/>
  </r>
  <r>
    <x v="170"/>
    <s v="Paiement salaire du mois de Juin 2025/BAVOUMINA NZOUSSI Dina Parfaite/365897"/>
    <s v="Personnel"/>
    <s v="Office"/>
    <n v="230000"/>
    <n v="430.51965032070905"/>
    <n v="534.23810000000003"/>
    <s v="BCI"/>
    <s v="BQ-JU-R9"/>
    <s v="PALF"/>
    <x v="3"/>
    <s v="Congo"/>
    <m/>
    <m/>
    <m/>
  </r>
  <r>
    <x v="170"/>
    <s v="Paiement salaire du mois de Juin 2025/BOUNGOU MAKOSSO Abraham/3654896"/>
    <s v="Personnel"/>
    <s v="Legal"/>
    <n v="200000"/>
    <n v="374.36491332235568"/>
    <n v="534.23810000000003"/>
    <s v="BCI"/>
    <s v="BQ-JU-R10"/>
    <s v="PALF"/>
    <x v="3"/>
    <s v="Congo"/>
    <m/>
    <m/>
    <m/>
  </r>
  <r>
    <x v="170"/>
    <s v="Paiement salaire du mois de Juin 2025/Crepin IBOUILI-IBOUILI"/>
    <s v="Personnel"/>
    <s v="Legal"/>
    <n v="551482"/>
    <n v="1032.2775556441968"/>
    <n v="534.23810000000003"/>
    <s v="BCI"/>
    <s v="BQ-JU-R11"/>
    <s v="PALF"/>
    <x v="3"/>
    <s v="Congo"/>
    <m/>
    <m/>
    <m/>
  </r>
  <r>
    <x v="170"/>
    <s v="Paiement salaire du mois de Juin 2025/PINDI BINGA Donald- Roméo"/>
    <s v="Personnel"/>
    <s v="Legal"/>
    <n v="300000"/>
    <n v="561.54736998353349"/>
    <n v="534.23810000000003"/>
    <s v="BCI"/>
    <s v="BQ-JU-R12"/>
    <s v="PALF"/>
    <x v="3"/>
    <s v="Congo"/>
    <m/>
    <m/>
    <m/>
  </r>
  <r>
    <x v="170"/>
    <s v="Paiement salaire du mois de  Juin 2025/Evariste LELOUSSI"/>
    <s v="Personnel"/>
    <s v="Media"/>
    <n v="238140"/>
    <n v="445.75630229292892"/>
    <n v="534.23810000000003"/>
    <s v="BCI"/>
    <s v="BQ-JU-R13"/>
    <s v="PALF"/>
    <x v="3"/>
    <s v="Congo"/>
    <m/>
    <m/>
    <m/>
  </r>
  <r>
    <x v="170"/>
    <s v="Paiement salaire du  01 au 18 Juin 2025/Homéfa DOVI/3654898"/>
    <s v="Personnel"/>
    <s v="Management"/>
    <n v="786600"/>
    <n v="1472.3772040968249"/>
    <n v="534.23810000000003"/>
    <s v="BCI"/>
    <s v="BQ-JU-R14"/>
    <s v="PALF"/>
    <x v="3"/>
    <s v="Congo"/>
    <m/>
    <m/>
    <m/>
  </r>
  <r>
    <x v="170"/>
    <s v="Paiement salaire du 19 au 30 Juin 2025/Homéfa DOVI/3654898"/>
    <s v="Personnel"/>
    <s v="Management"/>
    <n v="524400"/>
    <n v="981.58480273121666"/>
    <n v="534.23810000000003"/>
    <s v="BCI"/>
    <s v="BQ-JU-R15"/>
    <s v="PALF"/>
    <x v="3"/>
    <s v="Congo"/>
    <m/>
    <m/>
    <m/>
  </r>
  <r>
    <x v="170"/>
    <s v="Frais de virement des salaire du mois Juin 2025"/>
    <s v="Bank fees"/>
    <s v="Office"/>
    <n v="10665"/>
    <n v="19.963009002914617"/>
    <n v="534.23810000000003"/>
    <s v="BCI"/>
    <s v="BQ-JU-R16"/>
    <s v="PALF"/>
    <x v="3"/>
    <s v="Congo"/>
    <m/>
    <m/>
    <m/>
  </r>
  <r>
    <x v="171"/>
    <s v="Maison-Bureau"/>
    <s v="Transport"/>
    <s v="Management"/>
    <n v="1000"/>
    <n v="1.8718245666117783"/>
    <n v="534.23810000000003"/>
    <s v="DOVI"/>
    <s v="DH-JU-D1"/>
    <s v="PALF"/>
    <x v="3"/>
    <s v="Congo"/>
    <m/>
    <m/>
    <m/>
  </r>
  <r>
    <x v="171"/>
    <s v="Bureau-Maison"/>
    <s v="Transport"/>
    <s v="Management"/>
    <n v="1000"/>
    <n v="1.8718245666117783"/>
    <n v="534.23810000000003"/>
    <s v="DOVI"/>
    <s v="DH-JU-D1"/>
    <s v="PALF"/>
    <x v="3"/>
    <s v="Congo"/>
    <m/>
    <m/>
    <m/>
  </r>
  <r>
    <x v="171"/>
    <s v="Paiement salaire du mois de Juin 2025/FOUMBA Roderlin/3654900"/>
    <s v="Personnel"/>
    <s v="Legal"/>
    <n v="200000"/>
    <n v="374.36491332235568"/>
    <n v="534.23810000000003"/>
    <s v="BCI"/>
    <s v="BQ-JU-R17"/>
    <s v="PALF"/>
    <x v="3"/>
    <s v="Congo"/>
    <m/>
    <m/>
    <m/>
  </r>
  <r>
    <x v="172"/>
    <s v="Maison- Cabinet d'huissier"/>
    <s v="Transport"/>
    <s v="Management"/>
    <n v="1000"/>
    <n v="1.8718245666117783"/>
    <n v="534.23810000000003"/>
    <s v="DOVI"/>
    <s v="DH-JU-D1"/>
    <s v="PALF"/>
    <x v="3"/>
    <s v="Congo"/>
    <m/>
    <m/>
    <m/>
  </r>
  <r>
    <x v="172"/>
    <s v="Cabinet - Bureau"/>
    <s v="Transport"/>
    <s v="Management"/>
    <n v="1000"/>
    <n v="1.8718245666117783"/>
    <n v="534.23810000000003"/>
    <s v="DOVI"/>
    <s v="DH-JU-D1"/>
    <s v="PALF"/>
    <x v="3"/>
    <s v="Congo"/>
    <m/>
    <m/>
    <m/>
  </r>
  <r>
    <x v="172"/>
    <s v="Bureau-Maison"/>
    <s v="Transport"/>
    <s v="Management"/>
    <n v="1000"/>
    <n v="1.8718245666117783"/>
    <n v="534.23810000000003"/>
    <s v="DOVI"/>
    <s v="DH-JU-D1"/>
    <s v="PALF"/>
    <x v="3"/>
    <s v="Congo"/>
    <m/>
    <m/>
    <m/>
  </r>
  <r>
    <x v="172"/>
    <s v="Taxi:  Bureau-Banque BCI"/>
    <s v="Transport"/>
    <s v="Office"/>
    <n v="1000"/>
    <n v="1.8718245666117783"/>
    <n v="534.23810000000003"/>
    <s v="Parfaite"/>
    <s v="P-JU-D1"/>
    <s v="PALF"/>
    <x v="3"/>
    <s v="Congo"/>
    <m/>
    <m/>
    <m/>
  </r>
  <r>
    <x v="172"/>
    <s v="Taxi:  Banque BCI - CNSS/Paiement CNSS deuxième  trimestre de l'année 2025"/>
    <s v="Transport"/>
    <s v="Office"/>
    <n v="1000"/>
    <n v="1.8718245666117783"/>
    <n v="534.23810000000003"/>
    <s v="Parfaite"/>
    <s v="P-JU-D1"/>
    <s v="PALF"/>
    <x v="3"/>
    <s v="Congo"/>
    <m/>
    <m/>
    <m/>
  </r>
  <r>
    <x v="172"/>
    <s v="Taxi: CNSS-Bureau"/>
    <s v="Transport"/>
    <s v="Office"/>
    <n v="1000"/>
    <n v="1.8718245666117783"/>
    <n v="534.23810000000003"/>
    <s v="Parfaite"/>
    <s v="P-JU-D1"/>
    <s v="PALF"/>
    <x v="3"/>
    <s v="Congo"/>
    <m/>
    <m/>
    <m/>
  </r>
  <r>
    <x v="172"/>
    <s v="Paiement CNSS deuxième trimestre/Avril, Mai et Juin 2025/Crepin /3654899"/>
    <s v="Personnel"/>
    <s v="Legal"/>
    <n v="368700"/>
    <n v="690.1417177097627"/>
    <n v="534.23810000000003"/>
    <s v="BCI"/>
    <s v="BQ-JU-R18"/>
    <s v="PALF"/>
    <x v="3"/>
    <s v="Congo"/>
    <m/>
    <m/>
    <m/>
  </r>
  <r>
    <x v="172"/>
    <s v="Paiement CNSS deuxième trimestre/Avril, Mai et Juin 2025/Donald-Roméo/3654899"/>
    <s v="Personnel"/>
    <s v="Legal"/>
    <n v="177789"/>
    <n v="332.78981787334146"/>
    <n v="534.23810000000003"/>
    <s v="BCI"/>
    <s v="BQ-JU-R19"/>
    <s v="PALF"/>
    <x v="3"/>
    <s v="Congo"/>
    <m/>
    <m/>
    <m/>
  </r>
  <r>
    <x v="172"/>
    <s v="Paiement CNSS deuxième trimestre/Avril, Mai et Juin 2025/Romain/3654899"/>
    <s v="Personnel"/>
    <s v="Legal"/>
    <n v="118814"/>
    <n v="222.39896405741183"/>
    <n v="534.23810000000003"/>
    <s v="BCI"/>
    <s v="BQ-JU-R20"/>
    <s v="PALF"/>
    <x v="3"/>
    <s v="Congo"/>
    <m/>
    <m/>
    <m/>
  </r>
  <r>
    <x v="172"/>
    <s v="Paiement CNSS deuxième trimestre/Avril, Mai et Juin 2025/Roderlin/3654899"/>
    <s v="Personnel"/>
    <s v="Legal"/>
    <n v="103494"/>
    <n v="193.72261169691939"/>
    <n v="534.23810000000003"/>
    <s v="BCI"/>
    <s v="BQ-JU-R21"/>
    <s v="PALF"/>
    <x v="3"/>
    <s v="Congo"/>
    <m/>
    <m/>
    <m/>
  </r>
  <r>
    <x v="172"/>
    <s v="Paiement CNSS deuxième trimestre/Avril, Mai et Juin 2025/Abraham/3654899"/>
    <s v="Personnel"/>
    <s v="Legal"/>
    <n v="103494"/>
    <n v="193.72261169691939"/>
    <n v="534.23810000000003"/>
    <s v="BCI"/>
    <s v="BQ-JU-R22"/>
    <s v="PALF"/>
    <x v="3"/>
    <s v="Congo"/>
    <m/>
    <m/>
    <m/>
  </r>
  <r>
    <x v="172"/>
    <s v="Paiement CNSS deuxième trimestre/Avril, Mai et Juin 2025/Parfaite/3654899"/>
    <s v="Personnel"/>
    <s v="Office"/>
    <n v="124433"/>
    <n v="232.91674629720342"/>
    <n v="534.23810000000003"/>
    <s v="BCI"/>
    <s v="BQ-JU-R23"/>
    <s v="PALF"/>
    <x v="3"/>
    <s v="Congo"/>
    <m/>
    <m/>
    <m/>
  </r>
  <r>
    <x v="172"/>
    <s v="Paiement CNSS deuxième trimestre/Avril, Mai et Juin 2025/Evariste/3654899"/>
    <s v="Personnel"/>
    <s v="Media"/>
    <n v="155330"/>
    <n v="276.90896221658943"/>
    <n v="560.94248000000005"/>
    <s v="BCI"/>
    <s v="BQ-JU-R24"/>
    <s v="PALF"/>
    <x v="5"/>
    <s v="Congo"/>
    <m/>
    <m/>
    <m/>
  </r>
  <r>
    <x v="173"/>
    <s v="Maison-Bureau"/>
    <s v="Transport"/>
    <s v="Management"/>
    <n v="1000"/>
    <n v="1.8718245666117783"/>
    <n v="534.23810000000003"/>
    <s v="DOVI"/>
    <s v="DH-JU-D1"/>
    <s v="PALF"/>
    <x v="3"/>
    <s v="Congo"/>
    <m/>
    <m/>
    <m/>
  </r>
  <r>
    <x v="173"/>
    <s v="Bureau-Maison"/>
    <s v="Transport"/>
    <s v="Management"/>
    <n v="1000"/>
    <n v="1.8718245666117783"/>
    <n v="534.23810000000003"/>
    <s v="DOVI"/>
    <s v="DH-JU-D1"/>
    <s v="PALF"/>
    <x v="3"/>
    <s v="Congo"/>
    <m/>
    <m/>
    <m/>
  </r>
  <r>
    <x v="173"/>
    <s v="Taxi:  Bureau- Direction MTN/Achat crédits  departement management"/>
    <s v="Transport"/>
    <s v="Office"/>
    <n v="1000"/>
    <n v="1.8718245666117783"/>
    <n v="534.23810000000003"/>
    <s v="Parfaite"/>
    <s v="P-JU-D1"/>
    <s v="PALF"/>
    <x v="3"/>
    <s v="Congo"/>
    <m/>
    <m/>
    <m/>
  </r>
  <r>
    <x v="173"/>
    <s v="Taxi:   Direction MTN- Domicile/Achat crédits  departement management"/>
    <s v="Transport"/>
    <s v="Office"/>
    <n v="1000"/>
    <n v="1.8718245666117783"/>
    <n v="534.23810000000003"/>
    <s v="Parfaite"/>
    <s v="P-JU-D1"/>
    <s v="PALF"/>
    <x v="3"/>
    <s v="Congo"/>
    <m/>
    <m/>
    <m/>
  </r>
  <r>
    <x v="173"/>
    <s v="Credit téléphonique MTN PALF/ du 16 au 31 Juillet 2025/ Parfaite"/>
    <s v="Telephone"/>
    <s v="Management"/>
    <n v="5000"/>
    <n v="9.3591228330588923"/>
    <n v="534.23810000000003"/>
    <s v="Parfaite"/>
    <s v="P-JU-R1"/>
    <s v="PALF"/>
    <x v="3"/>
    <s v="Congo"/>
    <m/>
    <m/>
    <m/>
  </r>
  <r>
    <x v="173"/>
    <s v="Credit teléphonique MTN PALF/ du 16 au 31 Juillet 2025/ DOVI"/>
    <s v="Telephone"/>
    <s v="Management"/>
    <n v="20000"/>
    <n v="35.654279561783227"/>
    <n v="560.94248000000005"/>
    <s v="DOVI"/>
    <s v="DH-JU-R2"/>
    <s v="PALF"/>
    <x v="5"/>
    <s v="Congo"/>
    <m/>
    <m/>
    <m/>
  </r>
  <r>
    <x v="174"/>
    <s v="Maison-Bureau"/>
    <s v="Transport"/>
    <s v="Management"/>
    <n v="1000"/>
    <n v="1.8718245666117783"/>
    <n v="534.23810000000003"/>
    <s v="DOVI"/>
    <s v="DH-JU-D1"/>
    <s v="PALF"/>
    <x v="3"/>
    <s v="Congo"/>
    <m/>
    <m/>
    <m/>
  </r>
  <r>
    <x v="174"/>
    <s v="Bureau- Interpol"/>
    <s v="Transport"/>
    <s v="Management"/>
    <n v="1000"/>
    <n v="1.8718245666117783"/>
    <n v="534.23810000000003"/>
    <s v="DOVI"/>
    <s v="DH-JU-D1"/>
    <s v="PALF"/>
    <x v="3"/>
    <s v="Congo"/>
    <m/>
    <m/>
    <m/>
  </r>
  <r>
    <x v="174"/>
    <s v="Interpol-Bureau"/>
    <s v="Transport"/>
    <s v="Management"/>
    <n v="1000"/>
    <n v="1.8718245666117783"/>
    <n v="534.23810000000003"/>
    <s v="DOVI"/>
    <s v="DH-JU-D1"/>
    <s v="PALF"/>
    <x v="3"/>
    <s v="Congo"/>
    <m/>
    <m/>
    <m/>
  </r>
  <r>
    <x v="174"/>
    <s v="Bureau-Maison"/>
    <s v="Transport"/>
    <s v="Management"/>
    <n v="1000"/>
    <n v="1.8718245666117783"/>
    <n v="534.23810000000003"/>
    <s v="DOVI"/>
    <s v="DH-JU-D1"/>
    <s v="PALF"/>
    <x v="3"/>
    <s v="Congo"/>
    <m/>
    <m/>
    <m/>
  </r>
  <r>
    <x v="174"/>
    <s v="Taxi: Ecole de police-Bureau/crépin"/>
    <s v="Transport"/>
    <s v="Legal"/>
    <n v="1000"/>
    <n v="1.8718245666117783"/>
    <n v="534.23810000000003"/>
    <s v="Crépin"/>
    <s v="CR-JU-D1"/>
    <s v="PALF"/>
    <x v="3"/>
    <s v="Congo"/>
    <m/>
    <m/>
    <m/>
  </r>
  <r>
    <x v="175"/>
    <s v="Maison- Bureau"/>
    <s v="Transport"/>
    <s v="Management"/>
    <n v="1000"/>
    <n v="1.8718245666117783"/>
    <n v="534.23810000000003"/>
    <s v="DOVI"/>
    <s v="DH-JU-D1"/>
    <s v="PALF"/>
    <x v="3"/>
    <s v="Congo"/>
    <m/>
    <m/>
    <m/>
  </r>
  <r>
    <x v="175"/>
    <s v="Bureau-Cabinet d'huissier"/>
    <s v="Transport"/>
    <s v="Management"/>
    <n v="1000"/>
    <n v="1.8718245666117783"/>
    <n v="534.23810000000003"/>
    <s v="DOVI"/>
    <s v="DH-JU-D1"/>
    <s v="PALF"/>
    <x v="3"/>
    <s v="Congo"/>
    <m/>
    <m/>
    <m/>
  </r>
  <r>
    <x v="175"/>
    <s v="Cabinet d'huissier - Bureau"/>
    <s v="Transport"/>
    <s v="Management"/>
    <n v="1000"/>
    <n v="1.8718245666117783"/>
    <n v="534.23810000000003"/>
    <s v="DOVI"/>
    <s v="DH-JU-D1"/>
    <s v="PALF"/>
    <x v="3"/>
    <s v="Congo"/>
    <m/>
    <m/>
    <m/>
  </r>
  <r>
    <x v="175"/>
    <s v="Bureau-Hôtel PEFACO (rendez vous)"/>
    <s v="Transport"/>
    <s v="Management"/>
    <n v="1000"/>
    <n v="1.8718245666117783"/>
    <n v="534.23810000000003"/>
    <s v="DOVI"/>
    <s v="DH-JU-D1"/>
    <s v="PALF"/>
    <x v="3"/>
    <s v="Congo"/>
    <m/>
    <m/>
    <m/>
  </r>
  <r>
    <x v="175"/>
    <s v="Hôtel PEFACO -Bureau"/>
    <s v="Transport"/>
    <s v="Management"/>
    <n v="1000"/>
    <n v="1.8718245666117783"/>
    <n v="534.23810000000003"/>
    <s v="DOVI"/>
    <s v="DH-JU-D1"/>
    <s v="PALF"/>
    <x v="3"/>
    <s v="Congo"/>
    <m/>
    <m/>
    <m/>
  </r>
  <r>
    <x v="175"/>
    <s v="Bureau-Maison"/>
    <s v="Transport"/>
    <s v="Management"/>
    <n v="1000"/>
    <n v="1.8718245666117783"/>
    <n v="534.23810000000003"/>
    <s v="DOVI"/>
    <s v="DH-JU-D1"/>
    <s v="PALF"/>
    <x v="3"/>
    <s v="Congo"/>
    <m/>
    <m/>
    <m/>
  </r>
  <r>
    <x v="176"/>
    <s v="Maison-Bureau"/>
    <s v="Transport"/>
    <s v="Management"/>
    <n v="1000"/>
    <n v="1.8718245666117783"/>
    <n v="534.23810000000003"/>
    <s v="DOVI"/>
    <s v="DH-JU-D1"/>
    <s v="PALF"/>
    <x v="3"/>
    <s v="Congo"/>
    <m/>
    <m/>
    <m/>
  </r>
  <r>
    <x v="176"/>
    <s v="Bureau-Maison"/>
    <s v="Transport"/>
    <s v="Management"/>
    <n v="1000"/>
    <n v="1.8718245666117783"/>
    <n v="534.23810000000003"/>
    <s v="DOVI"/>
    <s v="DH-JU-D1"/>
    <s v="PALF"/>
    <x v="3"/>
    <s v="Congo"/>
    <m/>
    <m/>
    <m/>
  </r>
  <r>
    <x v="176"/>
    <s v="Taxi:Bureau-Station SNPC Total/Achat carburant/Abraham"/>
    <s v="Transport"/>
    <s v="Legal"/>
    <n v="2000"/>
    <n v="3.7436491332235566"/>
    <n v="534.23810000000003"/>
    <s v="Abraham"/>
    <s v="AB-JU-D1"/>
    <s v="PALF"/>
    <x v="3"/>
    <s v="Congo"/>
    <m/>
    <m/>
    <m/>
  </r>
  <r>
    <x v="176"/>
    <s v="Taxi:Station SNPC Total-Station X-oil Plateau Ville/Achat carburant/Abraham"/>
    <s v="Transport"/>
    <s v="Legal"/>
    <n v="1500"/>
    <n v="2.8077368499176676"/>
    <n v="534.23810000000003"/>
    <s v="Abraham"/>
    <s v="AB-JU-D1"/>
    <s v="PALF"/>
    <x v="3"/>
    <s v="Congo"/>
    <m/>
    <m/>
    <m/>
  </r>
  <r>
    <x v="176"/>
    <s v="Taxi:Station X-oil Plateau Ville-Station SNPC Centre Ville/Achat carburant/Abraham"/>
    <s v="Transport"/>
    <s v="Legal"/>
    <n v="1500"/>
    <n v="2.8077368499176676"/>
    <n v="534.23810000000003"/>
    <s v="Abraham"/>
    <s v="AB-JU-D1"/>
    <s v="PALF"/>
    <x v="3"/>
    <s v="Congo"/>
    <m/>
    <m/>
    <m/>
  </r>
  <r>
    <x v="176"/>
    <s v="Taxi:Station SNPC Ville-Station Total Matsoua/Achat carburant/Abraham"/>
    <s v="Transport"/>
    <s v="Legal"/>
    <n v="2000"/>
    <n v="3.7436491332235566"/>
    <n v="534.23810000000003"/>
    <s v="Abraham"/>
    <s v="AB-JU-D1"/>
    <s v="PALF"/>
    <x v="3"/>
    <s v="Congo"/>
    <m/>
    <m/>
    <m/>
  </r>
  <r>
    <x v="176"/>
    <s v="Taxi:Station Total Matsoua-Station X-oil Patte d'oie/Achat carburant/Abraham"/>
    <s v="Transport"/>
    <s v="Legal"/>
    <n v="2000"/>
    <n v="3.7436491332235566"/>
    <n v="534.23810000000003"/>
    <s v="Abraham"/>
    <s v="AB-JU-D1"/>
    <s v="PALF"/>
    <x v="3"/>
    <s v="Congo"/>
    <m/>
    <m/>
    <m/>
  </r>
  <r>
    <x v="176"/>
    <s v="Taxi: Station X-oil Patte d'oie-Bureau/Achat carburant/Abraham"/>
    <s v="Transport"/>
    <s v="Legal"/>
    <n v="1000"/>
    <n v="1.8718245666117783"/>
    <n v="534.23810000000003"/>
    <s v="Abraham"/>
    <s v="AB-JU-D1"/>
    <s v="PALF"/>
    <x v="3"/>
    <s v="Congo"/>
    <m/>
    <m/>
    <m/>
  </r>
  <r>
    <x v="176"/>
    <s v="Achat carburant groupe electrogène Bureau"/>
    <s v="Office Materiels"/>
    <s v="Office"/>
    <n v="31250"/>
    <n v="58.494517706618076"/>
    <n v="534.23810000000003"/>
    <s v="Abraham"/>
    <s v="CA-JU-R3"/>
    <s v="PALF"/>
    <x v="3"/>
    <s v="Congo"/>
    <m/>
    <m/>
    <m/>
  </r>
  <r>
    <x v="176"/>
    <s v="Taxi:Station marché total-Station rond-point moungali"/>
    <s v="Transport"/>
    <s v="Legal"/>
    <n v="2000"/>
    <n v="3.7436491332235566"/>
    <n v="534.23810000000003"/>
    <s v="Roderlin"/>
    <s v="RO-JU-D1"/>
    <s v="PALF"/>
    <x v="3"/>
    <s v="Congo"/>
    <m/>
    <m/>
    <m/>
  </r>
  <r>
    <x v="176"/>
    <s v="Taxi:Station rond point Moungali-Station 31 juillet Marché Moungali"/>
    <s v="Transport"/>
    <s v="Legal"/>
    <n v="2000"/>
    <n v="3.7436491332235566"/>
    <n v="534.23810000000003"/>
    <s v="Roderlin"/>
    <s v="RO-JU-D1"/>
    <s v="PALF"/>
    <x v="3"/>
    <s v="Congo"/>
    <m/>
    <m/>
    <m/>
  </r>
  <r>
    <x v="176"/>
    <s v="Taxi:Station marché moungali-Station 10 maisons"/>
    <s v="Transport"/>
    <s v="Legal"/>
    <n v="3000"/>
    <n v="5.6154736998353352"/>
    <n v="534.23810000000003"/>
    <s v="Roderlin"/>
    <s v="RO-JU-D1"/>
    <s v="PALF"/>
    <x v="3"/>
    <s v="Congo"/>
    <m/>
    <m/>
    <m/>
  </r>
  <r>
    <x v="176"/>
    <s v="Achat carburant groupe electrogène Bureau"/>
    <s v="Office Materiels"/>
    <s v="Office"/>
    <n v="31250"/>
    <n v="58.494517706618076"/>
    <n v="534.23810000000003"/>
    <s v="Roderlin"/>
    <s v="CA-JU-R4"/>
    <s v="PALF"/>
    <x v="3"/>
    <s v="Congo"/>
    <m/>
    <m/>
    <m/>
  </r>
  <r>
    <x v="177"/>
    <s v="Maison-Bureau"/>
    <s v="Transport"/>
    <s v="Management"/>
    <n v="1000"/>
    <n v="1.8718245666117783"/>
    <n v="534.23810000000003"/>
    <s v="DOVI"/>
    <s v="DH-JU-D1"/>
    <s v="PALF"/>
    <x v="3"/>
    <s v="Congo"/>
    <m/>
    <m/>
    <m/>
  </r>
  <r>
    <x v="177"/>
    <s v="Bureau - Maison"/>
    <s v="Transport"/>
    <s v="Management"/>
    <n v="1000"/>
    <n v="1.8718245666117783"/>
    <n v="534.23810000000003"/>
    <s v="DOVI"/>
    <s v="DH-JU-D1"/>
    <s v="PALF"/>
    <x v="3"/>
    <s v="Congo"/>
    <m/>
    <m/>
    <m/>
  </r>
  <r>
    <x v="177"/>
    <s v="Taxi:  Bureau-Banque BCI/ Verification de fonds dans le compte"/>
    <s v="Transport"/>
    <s v="Office"/>
    <n v="1000"/>
    <n v="1.8718245666117783"/>
    <n v="534.23810000000003"/>
    <s v="Parfaite"/>
    <s v="P-JU-D1"/>
    <s v="PALF"/>
    <x v="3"/>
    <s v="Congo"/>
    <m/>
    <m/>
    <m/>
  </r>
  <r>
    <x v="177"/>
    <s v="Taxi:  Banque BCI - CNSS/ vérification des cotisations dans les comptes des agents PALF"/>
    <s v="Transport"/>
    <s v="Office"/>
    <n v="1000"/>
    <n v="1.8718245666117783"/>
    <n v="534.23810000000003"/>
    <s v="Parfaite"/>
    <s v="P-JU-D1"/>
    <s v="PALF"/>
    <x v="3"/>
    <s v="Congo"/>
    <m/>
    <m/>
    <m/>
  </r>
  <r>
    <x v="177"/>
    <s v="Taxi: CNSS- Bureau/Pour les cours Banque et CNSS"/>
    <s v="Transport"/>
    <s v="Office"/>
    <n v="1000"/>
    <n v="1.8718245666117783"/>
    <n v="534.23810000000003"/>
    <s v="Parfaite"/>
    <s v="P-JU-D1"/>
    <s v="PALF"/>
    <x v="3"/>
    <s v="Congo"/>
    <m/>
    <m/>
    <m/>
  </r>
  <r>
    <x v="177"/>
    <s v="Taxi:  Bureau- Direction MTN/Achat crédits  departement legal/ Donald-Roméo"/>
    <s v="Transport"/>
    <s v="Office"/>
    <n v="1000"/>
    <n v="1.8718245666117783"/>
    <n v="534.23810000000003"/>
    <s v="Parfaite"/>
    <s v="P-JU-D1"/>
    <s v="PALF"/>
    <x v="3"/>
    <s v="Congo"/>
    <m/>
    <m/>
    <m/>
  </r>
  <r>
    <x v="177"/>
    <s v="Taxi:   Direction MTN- Domicile/Achat crédits  departement Legal/Donald-Roméo"/>
    <s v="Transport"/>
    <s v="Office"/>
    <n v="1000"/>
    <n v="1.8718245666117783"/>
    <n v="534.23810000000003"/>
    <s v="Parfaite"/>
    <s v="P-JU-D1"/>
    <s v="PALF"/>
    <x v="3"/>
    <s v="Congo"/>
    <m/>
    <m/>
    <m/>
  </r>
  <r>
    <x v="177"/>
    <s v="Credit téléphonique MTN PALF/du 22 au 31 Juillet 2025/Donald-Roméo"/>
    <s v="Telephone"/>
    <s v="Legal"/>
    <n v="5000"/>
    <n v="9.3591228330588923"/>
    <n v="534.23810000000003"/>
    <s v="Donald-Roméo"/>
    <s v="DR-JU-R1"/>
    <s v="PALF"/>
    <x v="3"/>
    <s v="Congo"/>
    <m/>
    <m/>
    <m/>
  </r>
  <r>
    <x v="177"/>
    <s v="Taxi Bureau-Agence trans Bony/ Reservation du billet"/>
    <s v="Transport "/>
    <s v="Legal"/>
    <n v="1000"/>
    <n v="1.8718245666117783"/>
    <n v="534.23810000000003"/>
    <s v="Donald-Roméo"/>
    <s v="DR-JU-D2"/>
    <s v="PALF"/>
    <x v="3"/>
    <s v="Congo"/>
    <m/>
    <m/>
    <m/>
  </r>
  <r>
    <x v="177"/>
    <s v="Achat billet Brazzaville-Owando/ Donald-Roméo"/>
    <s v="Transport "/>
    <s v="Legal"/>
    <n v="7000"/>
    <n v="13.102771966282448"/>
    <n v="534.23810000000003"/>
    <s v="Donald-Roméo"/>
    <s v="DR-JU-R2"/>
    <s v="PALF"/>
    <x v="3"/>
    <s v="Congo"/>
    <m/>
    <m/>
    <m/>
  </r>
  <r>
    <x v="177"/>
    <s v="Taxi agence Trans Bony-Domicile"/>
    <s v="Transport "/>
    <s v="Legal"/>
    <n v="1000"/>
    <n v="1.8718245666117783"/>
    <n v="534.23810000000003"/>
    <s v="Donald-Roméo"/>
    <s v="DR-JU-D2"/>
    <s v="PALF"/>
    <x v="3"/>
    <s v="Congo"/>
    <m/>
    <m/>
    <m/>
  </r>
  <r>
    <x v="177"/>
    <s v="Taxi, Bureau PALF-CNSS"/>
    <s v="Transport"/>
    <s v="Media"/>
    <n v="1000"/>
    <n v="1.8718245666117783"/>
    <n v="534.23810000000003"/>
    <s v="Evariste"/>
    <s v="EV-JU-D1"/>
    <s v="PALF"/>
    <x v="3"/>
    <s v="Congo"/>
    <m/>
    <m/>
    <m/>
  </r>
  <r>
    <x v="177"/>
    <s v="RAPATRIEME01100 RAO00010768/Fondation Elonga"/>
    <s v="Grant"/>
    <m/>
    <m/>
    <m/>
    <n v="537.75419999999997"/>
    <s v="BCI"/>
    <s v="BQ-JU-G2"/>
    <s v="PALF"/>
    <x v="6"/>
    <s v="Congo"/>
    <n v="5377542"/>
    <n v="10000"/>
    <m/>
  </r>
  <r>
    <x v="178"/>
    <s v="Maison-Bureau"/>
    <s v="Transport"/>
    <s v="Management"/>
    <n v="1000"/>
    <n v="1.8595856619994786"/>
    <n v="537.75419999999997"/>
    <s v="DOVI"/>
    <s v="DH-JU-D1"/>
    <s v="PALF"/>
    <x v="6"/>
    <s v="Congo"/>
    <m/>
    <m/>
    <m/>
  </r>
  <r>
    <x v="178"/>
    <s v="Bureau-Maison"/>
    <s v="Transport"/>
    <s v="Management"/>
    <n v="1000"/>
    <n v="1.8595856619994786"/>
    <n v="537.75419999999997"/>
    <s v="DOVI"/>
    <s v="DH-JU-D1"/>
    <s v="PALF"/>
    <x v="6"/>
    <s v="Congo"/>
    <m/>
    <m/>
    <m/>
  </r>
  <r>
    <x v="178"/>
    <s v="Taxi Domicile-Agence trans Bony/ Pour Owando"/>
    <s v="Transport "/>
    <s v="Legal"/>
    <n v="1000"/>
    <n v="1.8595856619994786"/>
    <n v="537.75419999999997"/>
    <s v="Donald-Roméo"/>
    <s v="DR-JU-D2"/>
    <s v="PALF"/>
    <x v="6"/>
    <s v="Congo"/>
    <m/>
    <m/>
    <m/>
  </r>
  <r>
    <x v="178"/>
    <s v="Taxi Agence Trans Bony d'Owando-Hôtel case mbali"/>
    <s v="Transport "/>
    <s v="Legal"/>
    <n v="500"/>
    <n v="0.92979283099973931"/>
    <n v="537.75419999999997"/>
    <s v="Donald-Roméo"/>
    <s v="DR-JU-D2"/>
    <s v="PALF"/>
    <x v="6"/>
    <s v="Congo"/>
    <m/>
    <m/>
    <m/>
  </r>
  <r>
    <x v="178"/>
    <s v="Donald-Roméo CONGO Ration  du  23 au 25/07/2025 à Owando"/>
    <s v="Travel Subsistence"/>
    <s v="Legal"/>
    <n v="20000"/>
    <n v="37.191713239989575"/>
    <n v="537.75419999999997"/>
    <s v="Donald-Roméo"/>
    <s v="DR-JU-D1"/>
    <s v="PALF"/>
    <x v="6"/>
    <s v="Congo"/>
    <m/>
    <m/>
    <m/>
  </r>
  <r>
    <x v="179"/>
    <s v="Maison-Bureau"/>
    <s v="Transport"/>
    <s v="Management"/>
    <n v="1000"/>
    <n v="1.8595856619994786"/>
    <n v="537.75419999999997"/>
    <s v="DOVI"/>
    <s v="DH-JU-D1"/>
    <s v="PALF"/>
    <x v="6"/>
    <s v="Congo"/>
    <m/>
    <m/>
    <m/>
  </r>
  <r>
    <x v="179"/>
    <s v="Bureau-Maison"/>
    <s v="Transport"/>
    <s v="Management"/>
    <n v="1000"/>
    <n v="1.8595856619994786"/>
    <n v="537.75419999999997"/>
    <s v="DOVI"/>
    <s v="DH-JU-D1"/>
    <s v="PALF"/>
    <x v="6"/>
    <s v="Congo"/>
    <m/>
    <m/>
    <m/>
  </r>
  <r>
    <x v="179"/>
    <s v="Taxi: Domicile Mayanga-Marché Total pour le bureau après l'appel du Coordinateur/crépin"/>
    <s v="Transport"/>
    <s v="Legal"/>
    <n v="1000"/>
    <n v="1.8595856619994786"/>
    <n v="537.75419999999997"/>
    <s v="Crépin"/>
    <s v="CR-JU-D1"/>
    <s v="PALF"/>
    <x v="6"/>
    <s v="Congo"/>
    <m/>
    <m/>
    <m/>
  </r>
  <r>
    <x v="179"/>
    <s v="Taxi: Marché Total-Bureau/crépin"/>
    <s v="Transport"/>
    <s v="Legal"/>
    <n v="1000"/>
    <n v="1.8595856619994786"/>
    <n v="537.75419999999997"/>
    <s v="Crépin"/>
    <s v="CR-JU-D1"/>
    <s v="PALF"/>
    <x v="6"/>
    <s v="Congo"/>
    <m/>
    <m/>
    <m/>
  </r>
  <r>
    <x v="179"/>
    <s v="Taxi: Bureau-Marché Total/crépin"/>
    <s v="Transport"/>
    <s v="Legal"/>
    <n v="1000"/>
    <n v="1.8595856619994786"/>
    <n v="537.75419999999997"/>
    <s v="Crépin"/>
    <s v="CR-JU-D1"/>
    <s v="PALF"/>
    <x v="6"/>
    <s v="Congo"/>
    <m/>
    <m/>
    <m/>
  </r>
  <r>
    <x v="179"/>
    <s v="Marché Total-Domicile Mayanga/crépin"/>
    <s v="Transport"/>
    <s v="Legal"/>
    <n v="1000"/>
    <n v="1.8595856619994786"/>
    <n v="537.75419999999997"/>
    <s v="Crépin"/>
    <s v="CR-JU-D1"/>
    <s v="PALF"/>
    <x v="6"/>
    <s v="Congo"/>
    <m/>
    <m/>
    <m/>
  </r>
  <r>
    <x v="179"/>
    <s v="Taxi:  Banque BCI - Bureau/ Aprro caisse"/>
    <s v="Transport"/>
    <s v="Office"/>
    <n v="1000"/>
    <n v="1.8595856619994786"/>
    <n v="537.75419999999997"/>
    <s v="Parfaite"/>
    <s v="P-JU-D1"/>
    <s v="PALF"/>
    <x v="6"/>
    <s v="Congo"/>
    <m/>
    <m/>
    <m/>
  </r>
  <r>
    <x v="179"/>
    <s v="Taxi:  Bureau- Direction MTN/Transfert d'argent à Donald-Roméo"/>
    <s v="Transport"/>
    <s v="Office"/>
    <n v="1000"/>
    <n v="1.8595856619994786"/>
    <n v="537.75419999999997"/>
    <s v="Parfaite"/>
    <s v="P-JU-D1"/>
    <s v="PALF"/>
    <x v="6"/>
    <s v="Congo"/>
    <m/>
    <m/>
    <m/>
  </r>
  <r>
    <x v="179"/>
    <s v="Taxi:   Direction MTN- Bureau/ Transfert d'argent et Appros caisse"/>
    <s v="Transport"/>
    <s v="Office"/>
    <n v="1000"/>
    <n v="1.8595856619994786"/>
    <n v="537.75419999999997"/>
    <s v="Parfaite"/>
    <s v="P-JU-D1"/>
    <s v="PALF"/>
    <x v="6"/>
    <s v="Congo"/>
    <m/>
    <m/>
    <m/>
  </r>
  <r>
    <x v="179"/>
    <s v="Frais de transfert d'argent à  Donald-Roméo"/>
    <s v="Transfert fees"/>
    <s v="Office"/>
    <n v="700"/>
    <n v="1.3017099633996352"/>
    <n v="537.75419999999997"/>
    <s v="Parfaite"/>
    <s v="CA-JU-R5"/>
    <s v="PALF"/>
    <x v="6"/>
    <s v="Congo"/>
    <m/>
    <m/>
    <m/>
  </r>
  <r>
    <x v="179"/>
    <s v="Taxi moto Hôtel Case Mbali-TGI"/>
    <s v="Transport "/>
    <s v="Legal"/>
    <n v="500"/>
    <n v="0.92979283099973931"/>
    <n v="537.75419999999997"/>
    <s v="Donald-Roméo"/>
    <s v="DR-JU-D2"/>
    <s v="PALF"/>
    <x v="6"/>
    <s v="Congo"/>
    <m/>
    <m/>
    <m/>
  </r>
  <r>
    <x v="179"/>
    <s v="Taxi moto TGI- Agence Trans Bony/ Reserver les billets retour"/>
    <s v="Transport "/>
    <s v="Legal"/>
    <n v="500"/>
    <n v="0.92979283099973931"/>
    <n v="537.75419999999997"/>
    <s v="Donald-Roméo"/>
    <s v="DR-JU-D2"/>
    <s v="PALF"/>
    <x v="6"/>
    <s v="Congo"/>
    <m/>
    <m/>
    <m/>
  </r>
  <r>
    <x v="179"/>
    <s v="Taxi moto Agence trans Bony- Hôtel Case Mbali"/>
    <s v="Transport "/>
    <s v="Legal"/>
    <n v="500"/>
    <n v="0.92979283099973931"/>
    <n v="537.75419999999997"/>
    <s v="Donald-Roméo"/>
    <s v="DR-JU-D2"/>
    <s v="PALF"/>
    <x v="6"/>
    <s v="Congo"/>
    <m/>
    <m/>
    <m/>
  </r>
  <r>
    <x v="179"/>
    <s v="Achat billet Owando-Brazzaville/Donald-Roméo"/>
    <s v="Transport "/>
    <s v="Legal"/>
    <n v="7000"/>
    <n v="13.017099633996351"/>
    <n v="537.75419999999997"/>
    <s v="Donald-Roméo"/>
    <s v="DR-JU-R3"/>
    <s v="PALF"/>
    <x v="6"/>
    <s v="Congo"/>
    <m/>
    <m/>
    <m/>
  </r>
  <r>
    <x v="180"/>
    <s v="Maison-Bureau"/>
    <s v="Transport"/>
    <s v="Management"/>
    <n v="1000"/>
    <n v="1.8595856619994786"/>
    <n v="537.75419999999997"/>
    <s v="DOVI"/>
    <s v="DH-JU-D1"/>
    <s v="PALF"/>
    <x v="6"/>
    <s v="Congo"/>
    <m/>
    <m/>
    <m/>
  </r>
  <r>
    <x v="180"/>
    <s v="Bureau-Maison"/>
    <s v="Transport"/>
    <s v="Management"/>
    <n v="1000"/>
    <n v="1.8595856619994786"/>
    <n v="537.75419999999997"/>
    <s v="DOVI"/>
    <s v="DH-JU-D1"/>
    <s v="PALF"/>
    <x v="6"/>
    <s v="Congo"/>
    <m/>
    <m/>
    <m/>
  </r>
  <r>
    <x v="180"/>
    <s v="Taxi: Domicile-Marché Total pour rencontre avec la comptable/crépin"/>
    <s v="Transport"/>
    <s v="Legal"/>
    <n v="1000"/>
    <n v="1.8595856619994786"/>
    <n v="537.75419999999997"/>
    <s v="Crépin"/>
    <s v="CR-JU-D1"/>
    <s v="PALF"/>
    <x v="6"/>
    <s v="Congo"/>
    <m/>
    <m/>
    <m/>
  </r>
  <r>
    <x v="180"/>
    <s v="Taxi: Marché Total-Domicile/crépin"/>
    <s v="Transport"/>
    <s v="Legal"/>
    <n v="1000"/>
    <n v="1.8595856619994786"/>
    <n v="537.75419999999997"/>
    <s v="Crépin"/>
    <s v="CR-JU-D1"/>
    <s v="PALF"/>
    <x v="6"/>
    <s v="Congo"/>
    <m/>
    <m/>
    <m/>
  </r>
  <r>
    <x v="180"/>
    <s v="Taxi:  Bureau- Cabinet d'avocat/Paiement des frais de notification cas Mervielle"/>
    <s v="Transport"/>
    <s v="Office"/>
    <n v="1000"/>
    <n v="1.8595856619994786"/>
    <n v="537.75419999999997"/>
    <s v="Parfaite"/>
    <s v="P-JU-D1"/>
    <s v="PALF"/>
    <x v="6"/>
    <s v="Congo"/>
    <m/>
    <m/>
    <m/>
  </r>
  <r>
    <x v="180"/>
    <s v="Taxi:  Cabinet d'Avocat - Bureau/Paiement des frais de notification cas Mervielle"/>
    <s v="Transport"/>
    <s v="Office"/>
    <n v="1000"/>
    <n v="1.8595856619994786"/>
    <n v="537.75419999999997"/>
    <s v="Parfaite"/>
    <s v="P-JU-D1"/>
    <s v="PALF"/>
    <x v="6"/>
    <s v="Congo"/>
    <m/>
    <m/>
    <m/>
  </r>
  <r>
    <x v="180"/>
    <s v="Taxi:  Bureau-Banque BCI/ Dépôt ordre de virement salaire du mois de Juillet 2025"/>
    <s v="Transport"/>
    <s v="Office"/>
    <n v="1000"/>
    <n v="1.8595856619994786"/>
    <n v="537.75419999999997"/>
    <s v="Parfaite"/>
    <s v="P-JU-D1"/>
    <s v="PALF"/>
    <x v="6"/>
    <s v="Congo"/>
    <m/>
    <m/>
    <m/>
  </r>
  <r>
    <x v="180"/>
    <s v="Taxi:  Banque BCI - Direction Energie Electrique du congo / Paiement facture d'Electricité du mois de Mai et Juin 2025"/>
    <s v="Transport"/>
    <s v="Office"/>
    <n v="1000"/>
    <n v="1.8595856619994786"/>
    <n v="537.75419999999997"/>
    <s v="Parfaite"/>
    <s v="P-JU-D1"/>
    <s v="PALF"/>
    <x v="6"/>
    <s v="Congo"/>
    <m/>
    <m/>
    <m/>
  </r>
  <r>
    <x v="180"/>
    <s v="Taxi: Direction Energie Electrique du congo-Bureau/ Paiement facture d'Electricité du mois de Mai et Juin 2025 "/>
    <s v="Transport"/>
    <s v="Office"/>
    <n v="1000"/>
    <n v="1.8595856619994786"/>
    <n v="537.75419999999997"/>
    <s v="Parfaite"/>
    <s v="P-JU-D1"/>
    <s v="PALF"/>
    <x v="6"/>
    <s v="Congo"/>
    <m/>
    <m/>
    <m/>
  </r>
  <r>
    <x v="180"/>
    <s v="Taxi:  Bureau- Cabinet maitre LOCKO/remis de chèque du mois de Juin 2025"/>
    <s v="Transport"/>
    <s v="Office"/>
    <n v="1000"/>
    <n v="1.8595856619994786"/>
    <n v="537.75419999999997"/>
    <s v="Parfaite"/>
    <s v="P-JU-D1"/>
    <s v="PALF"/>
    <x v="6"/>
    <s v="Congo"/>
    <m/>
    <m/>
    <m/>
  </r>
  <r>
    <x v="180"/>
    <s v="Taxi:  Cabinet maitre LOCKO - Domicile/remis de chèque du mois de Juin  2025"/>
    <s v="Transport"/>
    <s v="Office"/>
    <n v="1000"/>
    <n v="1.8595856619994786"/>
    <n v="537.75419999999997"/>
    <s v="Parfaite"/>
    <s v="P-JU-D1"/>
    <s v="PALF"/>
    <x v="6"/>
    <s v="Congo"/>
    <m/>
    <m/>
    <m/>
  </r>
  <r>
    <x v="180"/>
    <s v="Réglement facture électricité de la période Mai-Juin 2025/bureau PALF"/>
    <s v="Rent &amp; Utilities"/>
    <s v="Office"/>
    <n v="71274"/>
    <n v="132.54010847335084"/>
    <n v="537.75419999999997"/>
    <s v="Parfaite"/>
    <s v="CA-JU-R6"/>
    <s v="PALF"/>
    <x v="6"/>
    <s v="Congo"/>
    <m/>
    <m/>
    <m/>
  </r>
  <r>
    <x v="180"/>
    <s v="Donald Roméo-CONGO Frais d'hôtel du  23 au 25/07/2025 à Owando (02 Nuitées)"/>
    <s v="Travel Subsistence"/>
    <s v="Legal"/>
    <n v="30000"/>
    <n v="55.787569859984359"/>
    <n v="537.75419999999997"/>
    <s v="Donald-Roméo"/>
    <s v="DR-JU-R4"/>
    <s v="PALF"/>
    <x v="6"/>
    <s v="Congo"/>
    <m/>
    <m/>
    <m/>
  </r>
  <r>
    <x v="180"/>
    <s v="Taxi moto Hôtel Case mbali-Agens trans Bony "/>
    <s v="Transport "/>
    <s v="Legal"/>
    <n v="500"/>
    <n v="0.92979283099973931"/>
    <n v="537.75419999999997"/>
    <s v="Donald-Roméo"/>
    <s v="DR-JU-D2"/>
    <s v="PALF"/>
    <x v="6"/>
    <s v="Congo"/>
    <m/>
    <m/>
    <m/>
  </r>
  <r>
    <x v="180"/>
    <s v="Taxi agence Trans Bony-Domicile"/>
    <s v="Transport "/>
    <s v="Legal"/>
    <n v="1000"/>
    <n v="1.8595856619994786"/>
    <n v="537.75419999999997"/>
    <s v="Donald-Roméo"/>
    <s v="DR-JU-D2"/>
    <s v="PALF"/>
    <x v="6"/>
    <s v="Congo"/>
    <m/>
    <m/>
    <m/>
  </r>
  <r>
    <x v="180"/>
    <s v="Paiement salaire du mois de Juillet 2025/BAVOUMINA NZOUSSI Dina Parfaite/3654406"/>
    <s v="Personnel"/>
    <s v="Office"/>
    <n v="230000"/>
    <n v="427.70470225988009"/>
    <n v="537.75419999999997"/>
    <s v="BCI"/>
    <s v="BQ-JU-R26"/>
    <s v="PALF"/>
    <x v="6"/>
    <s v="Congo"/>
    <m/>
    <m/>
    <m/>
  </r>
  <r>
    <x v="180"/>
    <s v="Paiement salaire du mois de Juillet 2025/FOUMBA Roderlin/3654404"/>
    <s v="Personnel"/>
    <s v="Legal"/>
    <n v="200000"/>
    <n v="371.91713239989576"/>
    <n v="537.75419999999997"/>
    <s v="BCI"/>
    <s v="BQ-JU-R27"/>
    <s v="PALF"/>
    <x v="6"/>
    <s v="Congo"/>
    <m/>
    <m/>
    <m/>
  </r>
  <r>
    <x v="180"/>
    <s v="Paiement salaire du mois de Juillet 2025/BOUNGOU MAKOSSO Abraham/3654403"/>
    <s v="Personnel"/>
    <s v="Legal"/>
    <n v="200000"/>
    <n v="371.91713239989576"/>
    <n v="537.75419999999997"/>
    <s v="BCI"/>
    <s v="BQ-JU-R28"/>
    <s v="PALF"/>
    <x v="6"/>
    <s v="Congo"/>
    <m/>
    <m/>
    <m/>
  </r>
  <r>
    <x v="180"/>
    <s v="Paiement salaire du mois de Juillet 2025/Crepin IBOUILI-IBOUILI"/>
    <s v="Personnel"/>
    <s v="Legal"/>
    <n v="1037411"/>
    <n v="1929.1546212005412"/>
    <n v="537.75419999999997"/>
    <s v="BCI"/>
    <s v="BQ-JU-R29"/>
    <s v="PALF"/>
    <x v="6"/>
    <s v="Congo"/>
    <m/>
    <m/>
    <m/>
  </r>
  <r>
    <x v="180"/>
    <s v="Paiement salaire du mois de Juillet 2025/PINDI BINGA Donald- Roméo"/>
    <s v="Personnel"/>
    <s v="Legal"/>
    <n v="300000"/>
    <n v="557.87569859984364"/>
    <n v="537.75419999999997"/>
    <s v="BCI"/>
    <s v="BQ-JU-R30"/>
    <s v="PALF"/>
    <x v="6"/>
    <s v="Congo"/>
    <m/>
    <m/>
    <m/>
  </r>
  <r>
    <x v="180"/>
    <s v="Paiement salaire du mois de  Juillet 2025/Evariste LELOUSSI"/>
    <s v="Personnel"/>
    <s v="Media"/>
    <n v="238140"/>
    <n v="442.84172954855586"/>
    <n v="537.75419999999997"/>
    <s v="BCI"/>
    <s v="BQ-JU-R31"/>
    <s v="PALF"/>
    <x v="6"/>
    <s v="Congo"/>
    <m/>
    <m/>
    <m/>
  </r>
  <r>
    <x v="180"/>
    <s v="Paiement salaire du mois de Juillet 2025/LOUNDOU JeanRomain/3654405"/>
    <s v="Personnel"/>
    <s v="Legal"/>
    <n v="70968"/>
    <n v="131.971075260779"/>
    <n v="537.75419999999997"/>
    <s v="BCI"/>
    <s v="BQ-JU-R32"/>
    <s v="PALF"/>
    <x v="6"/>
    <s v="Congo"/>
    <m/>
    <m/>
    <m/>
  </r>
  <r>
    <x v="180"/>
    <s v="Frais de virement des salaire du mois Juillet 2025"/>
    <s v="Bank fees"/>
    <s v="Office"/>
    <n v="10665"/>
    <n v="19.83248108522444"/>
    <n v="537.75419999999997"/>
    <s v="BCI"/>
    <s v="BQ-JU-R33"/>
    <s v="PALF"/>
    <x v="6"/>
    <s v="Congo"/>
    <m/>
    <m/>
    <m/>
  </r>
  <r>
    <x v="181"/>
    <s v="Maison-Bureau"/>
    <s v="Transport"/>
    <s v="Management"/>
    <n v="1000"/>
    <n v="1.8595856619994786"/>
    <n v="537.75419999999997"/>
    <s v="DOVI"/>
    <s v="DH-JU-D1"/>
    <s v="PALF"/>
    <x v="6"/>
    <s v="Congo"/>
    <m/>
    <m/>
    <m/>
  </r>
  <r>
    <x v="181"/>
    <s v="Bureau-Hyppocampe"/>
    <s v="Transport"/>
    <s v="Management"/>
    <n v="1000"/>
    <n v="1.8595856619994786"/>
    <n v="537.75419999999997"/>
    <s v="DOVI"/>
    <s v="DH-JU-D1"/>
    <s v="PALF"/>
    <x v="6"/>
    <s v="Congo"/>
    <m/>
    <m/>
    <m/>
  </r>
  <r>
    <x v="181"/>
    <s v="Aspinall-Bureau"/>
    <s v="Transport"/>
    <s v="Management"/>
    <n v="1000"/>
    <n v="1.8595856619994786"/>
    <n v="537.75419999999997"/>
    <s v="DOVI"/>
    <s v="DH-JU-D1"/>
    <s v="PALF"/>
    <x v="6"/>
    <s v="Congo"/>
    <m/>
    <m/>
    <m/>
  </r>
  <r>
    <x v="181"/>
    <s v="Bureau-Maison"/>
    <s v="Transport"/>
    <s v="Management"/>
    <n v="1000"/>
    <n v="1.8595856619994786"/>
    <n v="537.75419999999997"/>
    <s v="DOVI"/>
    <s v="DH-JU-D1"/>
    <s v="PALF"/>
    <x v="6"/>
    <s v="Congo"/>
    <m/>
    <m/>
    <m/>
  </r>
  <r>
    <x v="181"/>
    <s v="Frais de ramassage d' ordures Juillet 2025"/>
    <s v="Rent et Utilities"/>
    <s v="Office"/>
    <n v="6000"/>
    <n v="11.157513971996872"/>
    <n v="537.75419999999997"/>
    <s v="Parfaite"/>
    <s v="CA-JU-R7"/>
    <s v="PALF"/>
    <x v="6"/>
    <s v="Congo"/>
    <m/>
    <m/>
    <m/>
  </r>
  <r>
    <x v="181"/>
    <s v=" Frais de prestation de nettoyage du jardin PALF Juillet 2025"/>
    <s v="Services"/>
    <s v="Office"/>
    <n v="20000"/>
    <n v="37.191713239989575"/>
    <n v="537.75419999999997"/>
    <s v="Parfaite"/>
    <s v="CA-JU-R8"/>
    <s v="PALF"/>
    <x v="6"/>
    <s v="Congo"/>
    <m/>
    <m/>
    <m/>
  </r>
  <r>
    <x v="181"/>
    <s v="Reglement prestation de nettoyage  PALF du mois de Juillet 2025"/>
    <s v="Services"/>
    <s v="Office"/>
    <n v="75625"/>
    <n v="140.63116568871058"/>
    <n v="537.75419999999997"/>
    <s v="Parfaite"/>
    <s v="CA-JU-R9"/>
    <s v="PALF"/>
    <x v="6"/>
    <s v="Congo"/>
    <m/>
    <m/>
    <m/>
  </r>
  <r>
    <x v="181"/>
    <s v="Achat de 05 ampoules à crochet"/>
    <s v="Office Materiels"/>
    <s v="Office"/>
    <n v="12500"/>
    <n v="23.244820774993485"/>
    <n v="537.75419999999997"/>
    <s v="Parfaite"/>
    <s v="CA-JU-R10"/>
    <s v="PALF"/>
    <x v="6"/>
    <s v="Congo"/>
    <m/>
    <m/>
    <m/>
  </r>
  <r>
    <x v="181"/>
    <s v="Taxi bureau-Section de Recherches"/>
    <s v="Transport "/>
    <s v="Legal"/>
    <n v="1000"/>
    <n v="1.8595856619994786"/>
    <n v="537.75419999999997"/>
    <s v="Donald-Roméo"/>
    <s v="DR-JU-D2"/>
    <s v="PALF"/>
    <x v="6"/>
    <s v="Congo"/>
    <m/>
    <m/>
    <m/>
  </r>
  <r>
    <x v="181"/>
    <s v="Taxi Section de Recherches-bureau"/>
    <s v="Transport "/>
    <s v="Legal"/>
    <n v="1000"/>
    <n v="1.8595856619994786"/>
    <n v="537.75419999999997"/>
    <s v="Donald-Roméo"/>
    <s v="DR-JU-D2"/>
    <s v="PALF"/>
    <x v="6"/>
    <s v="Congo"/>
    <m/>
    <m/>
    <m/>
  </r>
  <r>
    <x v="181"/>
    <s v="Taxi, Bureau PALF-Les Dépêches de Brazzaville"/>
    <s v="Transport"/>
    <s v="Media"/>
    <n v="1000"/>
    <n v="1.8595856619994786"/>
    <n v="537.75419999999997"/>
    <s v="Evariste"/>
    <s v="EV-JU-D1"/>
    <s v="PALF"/>
    <x v="6"/>
    <s v="Congo"/>
    <m/>
    <m/>
    <m/>
  </r>
  <r>
    <x v="181"/>
    <s v="Taxi, Les Dépêches de Brazzaville-Radio Citoyenne des Jeunes"/>
    <s v="Transport"/>
    <s v="Media"/>
    <n v="1000"/>
    <n v="1.8595856619994786"/>
    <n v="537.75419999999997"/>
    <s v="Evariste"/>
    <s v="EV-JU-D1"/>
    <s v="PALF"/>
    <x v="6"/>
    <s v="Congo"/>
    <m/>
    <m/>
    <m/>
  </r>
  <r>
    <x v="181"/>
    <s v="Bonus média portant sur la condamnation ferme de 03 trafiquants de produits de la faune le 26 Juin 2025 à Impfondo pièces presse Internet"/>
    <s v="Bonus to media officer"/>
    <s v="Media"/>
    <n v="66000"/>
    <n v="122.7326536919656"/>
    <n v="537.75419999999997"/>
    <s v="Evariste"/>
    <s v="CA-JU-D2"/>
    <s v="PALF"/>
    <x v="6"/>
    <s v="Congo"/>
    <m/>
    <m/>
    <m/>
  </r>
  <r>
    <x v="181"/>
    <s v="Bonus média portant sur la condamnation ferme de 03 trafiquants de produits de la faune le 26 Juin 2025 à Impfondo pièces presse papier(les depêches de brazzaville, l'horizon africain, l'agence congolaise de l'information"/>
    <s v="Bonus to media officer"/>
    <s v="Media"/>
    <n v="30000"/>
    <n v="55.787569859984359"/>
    <n v="537.75419999999997"/>
    <s v="Evariste"/>
    <s v="CA-JU-D3"/>
    <s v="PALF"/>
    <x v="6"/>
    <s v="Congo"/>
    <m/>
    <m/>
    <m/>
  </r>
  <r>
    <x v="181"/>
    <s v="Bonus media portant sur la condamnation ferme de 03 trafiquants de produits de la faune le 26 Juin 2025 à Impfondo presse Radio citoyenne des jeunes"/>
    <s v="Bonus to media officer"/>
    <s v="Media"/>
    <n v="6000"/>
    <n v="11.157513971996872"/>
    <n v="537.75419999999997"/>
    <s v="Evariste"/>
    <s v="CA-JU-D4"/>
    <s v="PALF"/>
    <x v="6"/>
    <s v="Congo"/>
    <m/>
    <m/>
    <m/>
  </r>
  <r>
    <x v="181"/>
    <s v="Taxi: Bureau-marché Total/ à la rencontre de maître Hélène"/>
    <s v="Transport"/>
    <s v="Legal"/>
    <n v="1000"/>
    <n v="1.8595856619994786"/>
    <n v="537.75419999999997"/>
    <s v="Romain"/>
    <s v="RM-JU-D1"/>
    <s v="PALF"/>
    <x v="6"/>
    <s v="Congo"/>
    <m/>
    <m/>
    <m/>
  </r>
  <r>
    <x v="181"/>
    <s v="Taxi: Marché Total-Domicile"/>
    <s v="Transport"/>
    <s v="Legal"/>
    <n v="1000"/>
    <n v="1.8595856619994786"/>
    <n v="537.75419999999997"/>
    <s v="Romain"/>
    <s v="RM-JU-D1"/>
    <s v="PALF"/>
    <x v="6"/>
    <s v="Congo"/>
    <m/>
    <m/>
    <m/>
  </r>
  <r>
    <x v="181"/>
    <s v="Solde honoraire contrat N°76_Owando cas EBI Aimé brichly/Maitre Marie Hélène NANITELAMIO MALONGA/ 3654408"/>
    <s v="Lawyer Fees"/>
    <s v="Legal"/>
    <n v="300000"/>
    <n v="557.87569859984364"/>
    <n v="537.75419999999997"/>
    <s v="BCI"/>
    <s v="BQ-JU-R34"/>
    <s v="PALF"/>
    <x v="6"/>
    <s v="Congo"/>
    <m/>
    <m/>
    <m/>
  </r>
  <r>
    <x v="182"/>
    <s v="Maison-Bureau"/>
    <s v="Transport"/>
    <s v="Management"/>
    <n v="1000"/>
    <n v="1.8595856619994786"/>
    <n v="537.75419999999997"/>
    <s v="DOVI"/>
    <s v="DH-JU-D1"/>
    <s v="PALF"/>
    <x v="6"/>
    <s v="Congo"/>
    <m/>
    <m/>
    <m/>
  </r>
  <r>
    <x v="182"/>
    <s v="Bureau-Maison"/>
    <s v="Transport"/>
    <s v="Management"/>
    <n v="1000"/>
    <n v="1.8595856619994786"/>
    <n v="537.75419999999997"/>
    <s v="DOVI"/>
    <s v="DH-JU-D1"/>
    <s v="PALF"/>
    <x v="6"/>
    <s v="Congo"/>
    <m/>
    <m/>
    <m/>
  </r>
  <r>
    <x v="182"/>
    <s v="Taxi: Bureau -Marché / Achat des Ampoules bureau PALF"/>
    <s v="Transport"/>
    <s v="Office"/>
    <n v="1000"/>
    <n v="1.8595856619994786"/>
    <n v="537.75419999999997"/>
    <s v="Parfaite"/>
    <s v="P-JU-D1"/>
    <s v="PALF"/>
    <x v="6"/>
    <s v="Congo"/>
    <m/>
    <m/>
    <m/>
  </r>
  <r>
    <x v="182"/>
    <s v="Taxi: Marché  - Bureau/ Achat de Ampoules bureau PALF"/>
    <s v="Transport"/>
    <s v="Office"/>
    <n v="1000"/>
    <n v="1.8595856619994786"/>
    <n v="537.75419999999997"/>
    <s v="Parfaite"/>
    <s v="P-JU-D1"/>
    <s v="PALF"/>
    <x v="6"/>
    <s v="Congo"/>
    <m/>
    <m/>
    <m/>
  </r>
  <r>
    <x v="182"/>
    <s v="Frais de notification affaire de merveille/ Maître OKEMBA NGABOMBA"/>
    <s v="Lawyer Fees"/>
    <s v="Legal"/>
    <n v="115000"/>
    <n v="213.85235112994005"/>
    <n v="537.75419999999997"/>
    <s v="Parfaite"/>
    <s v="CA-JU-R11"/>
    <s v="PALF"/>
    <x v="6"/>
    <s v="Congo"/>
    <m/>
    <m/>
    <m/>
  </r>
  <r>
    <x v="182"/>
    <s v="Achat encre HP Laser noir et couleur 216A"/>
    <s v="Office Materiels"/>
    <s v="Office"/>
    <n v="300000"/>
    <n v="557.87569859984364"/>
    <n v="537.75419999999997"/>
    <s v="Parfaite"/>
    <s v="CA-JU-R12"/>
    <s v="PALF"/>
    <x v="6"/>
    <s v="Congo"/>
    <m/>
    <m/>
    <m/>
  </r>
  <r>
    <x v="182"/>
    <s v="Achat eau mineral 16 LITRES/Bureau"/>
    <s v="Office Materiels"/>
    <s v="Office"/>
    <n v="25000"/>
    <n v="46.48964154998697"/>
    <n v="537.75419999999997"/>
    <s v="Abraham"/>
    <s v="CA-JU-R13"/>
    <s v="PALF"/>
    <x v="6"/>
    <s v="Congo"/>
    <m/>
    <m/>
    <m/>
  </r>
  <r>
    <x v="182"/>
    <s v="Taxi, groupecongomedias.com-panoramik-atu.com"/>
    <s v="Transport"/>
    <s v="Media"/>
    <n v="1000"/>
    <n v="1.8595856619994786"/>
    <n v="537.75419999999997"/>
    <s v="Evariste"/>
    <s v="EV-JU-D1"/>
    <s v="PALF"/>
    <x v="6"/>
    <s v="Congo"/>
    <m/>
    <m/>
    <m/>
  </r>
  <r>
    <x v="182"/>
    <s v="Taxi, panoramik-actu.com-tribune-eco.com"/>
    <s v="Transport"/>
    <s v="Media"/>
    <n v="1000"/>
    <n v="1.8595856619994786"/>
    <n v="537.75419999999997"/>
    <s v="Evariste"/>
    <s v="EV-JU-D1"/>
    <s v="PALF"/>
    <x v="6"/>
    <s v="Congo"/>
    <m/>
    <m/>
    <m/>
  </r>
  <r>
    <x v="182"/>
    <s v="Taxi, tribune-eco.com-firstmediac.com"/>
    <s v="Transport"/>
    <s v="Media"/>
    <n v="1000"/>
    <n v="1.8595856619994786"/>
    <n v="537.75419999999997"/>
    <s v="Evariste"/>
    <s v="EV-JU-D1"/>
    <s v="PALF"/>
    <x v="6"/>
    <s v="Congo"/>
    <m/>
    <m/>
    <m/>
  </r>
  <r>
    <x v="182"/>
    <s v="Taxi, firstmediac.com-lesechos-congobrazza.com"/>
    <s v="Transport"/>
    <s v="Media"/>
    <n v="1000"/>
    <n v="1.8595856619994786"/>
    <n v="537.75419999999997"/>
    <s v="Evariste"/>
    <s v="EV-JU-D1"/>
    <s v="PALF"/>
    <x v="6"/>
    <s v="Congo"/>
    <m/>
    <m/>
    <m/>
  </r>
  <r>
    <x v="182"/>
    <s v="Taxi, lesechos-congobrazza.com-Agence Congolaise de l'Information"/>
    <s v="Transport"/>
    <s v="Media"/>
    <n v="1000"/>
    <n v="1.8595856619994786"/>
    <n v="537.75419999999997"/>
    <s v="Evariste"/>
    <s v="EV-JU-D1"/>
    <s v="PALF"/>
    <x v="6"/>
    <s v="Congo"/>
    <m/>
    <m/>
    <m/>
  </r>
  <r>
    <x v="182"/>
    <s v="Taxi, Agence Congolaise de l'Information-opinionpublique.cg"/>
    <s v="Transport"/>
    <s v="Media"/>
    <n v="1000"/>
    <n v="1.8595856619994786"/>
    <n v="537.75419999999997"/>
    <s v="Evariste"/>
    <s v="EV-JU-D1"/>
    <s v="PALF"/>
    <x v="6"/>
    <s v="Congo"/>
    <m/>
    <m/>
    <m/>
  </r>
  <r>
    <x v="182"/>
    <s v="Taxi, opinionpublique.cg-Bureau PALF"/>
    <s v="Transport"/>
    <s v="Media"/>
    <n v="1000"/>
    <n v="1.8595856619994786"/>
    <n v="537.75419999999997"/>
    <s v="Evariste"/>
    <s v="EV-JU-D1"/>
    <s v="PALF"/>
    <x v="6"/>
    <s v="Congo"/>
    <m/>
    <m/>
    <m/>
  </r>
  <r>
    <x v="183"/>
    <s v="Maison-Bureau"/>
    <s v="Transport"/>
    <s v="Management"/>
    <n v="1000"/>
    <n v="1.8595856619994786"/>
    <n v="537.75419999999997"/>
    <s v="DOVI"/>
    <s v="DH-JU-D1"/>
    <s v="PALF"/>
    <x v="6"/>
    <s v="Congo"/>
    <m/>
    <m/>
    <m/>
  </r>
  <r>
    <x v="183"/>
    <s v="Bureau-Maison"/>
    <s v="Transport"/>
    <s v="Management"/>
    <n v="1000"/>
    <n v="1.8595856619994786"/>
    <n v="537.75419999999997"/>
    <s v="DOVI"/>
    <s v="DH-JU-D1"/>
    <s v="PALF"/>
    <x v="6"/>
    <s v="Congo"/>
    <m/>
    <m/>
    <m/>
  </r>
  <r>
    <x v="183"/>
    <s v="Taxi:Bureau- Direction Canal Box/ Paiement internet du mois de Juin 2025"/>
    <s v="Transport"/>
    <s v="Office"/>
    <n v="1000"/>
    <n v="1.8595856619994786"/>
    <n v="537.75419999999997"/>
    <s v="Parfaite"/>
    <s v="P-JU-D1"/>
    <s v="PALF"/>
    <x v="6"/>
    <s v="Congo"/>
    <m/>
    <m/>
    <m/>
  </r>
  <r>
    <x v="183"/>
    <s v="Taxi: Direction Canal Box-Bureau/ Paiement internet du mois de Juin 2025"/>
    <s v="Transport"/>
    <s v="Office"/>
    <n v="1000"/>
    <n v="1.8595856619994786"/>
    <n v="537.75419999999997"/>
    <s v="Parfaite"/>
    <s v="P-JU-D1"/>
    <s v="PALF"/>
    <x v="6"/>
    <s v="Congo"/>
    <m/>
    <m/>
    <m/>
  </r>
  <r>
    <x v="183"/>
    <s v="Reglement facture internet periode du 01/08 au 31/08/2025 bureau PALF"/>
    <s v="Internet"/>
    <s v="Office"/>
    <n v="45050"/>
    <n v="83.774334073076517"/>
    <n v="537.75419999999997"/>
    <s v="Parfaite"/>
    <s v="CA-JU-R14"/>
    <s v="PALF"/>
    <x v="6"/>
    <s v="Congo"/>
    <m/>
    <m/>
    <m/>
  </r>
  <r>
    <x v="183"/>
    <s v="Reglement honoraire du mois de de Juin 2025/P29/3654409"/>
    <s v="Personnel"/>
    <s v="Investigations"/>
    <n v="370000"/>
    <n v="688.04669493980714"/>
    <n v="537.75419999999997"/>
    <s v="BCI"/>
    <s v="BQ-JU-R35"/>
    <s v="PALF"/>
    <x v="6"/>
    <s v="Congo"/>
    <m/>
    <m/>
    <m/>
  </r>
  <r>
    <x v="183"/>
    <s v="Reglement honoraire du mois de Juin 2025/T73/3654410"/>
    <m/>
    <s v="Investigations"/>
    <n v="225000"/>
    <n v="418.40677394988268"/>
    <n v="537.75419999999997"/>
    <s v="BCI"/>
    <s v="BQ-JU-R36"/>
    <s v="PALF"/>
    <x v="6"/>
    <s v="Congo"/>
    <m/>
    <m/>
    <m/>
  </r>
  <r>
    <x v="184"/>
    <s v="Maison-Bureau"/>
    <s v="Transport"/>
    <s v="Management"/>
    <n v="1000"/>
    <n v="1.8595856619994786"/>
    <n v="537.75419999999997"/>
    <s v="DOVI"/>
    <s v="DH-JU-D1"/>
    <s v="PALF"/>
    <x v="6"/>
    <s v="Congo"/>
    <m/>
    <m/>
    <m/>
  </r>
  <r>
    <x v="184"/>
    <s v="Bureau-Maison"/>
    <s v="Transport"/>
    <s v="Management"/>
    <n v="1000"/>
    <n v="1.8595856619994786"/>
    <n v="537.75419999999997"/>
    <s v="DOVI"/>
    <s v="DH-JU-D1"/>
    <s v="PALF"/>
    <x v="6"/>
    <s v="Congo"/>
    <m/>
    <m/>
    <m/>
  </r>
  <r>
    <x v="184"/>
    <s v="Taxi:  Bureau- Direction MTN/Achat crédits  departement legal/ Romain; Roderlin et Abraham"/>
    <s v="Transport"/>
    <s v="Office"/>
    <n v="1000"/>
    <n v="1.8595856619994786"/>
    <n v="537.75419999999997"/>
    <s v="Parfaite"/>
    <s v="P-JU-D1"/>
    <s v="PALF"/>
    <x v="6"/>
    <s v="Congo"/>
    <m/>
    <m/>
    <m/>
  </r>
  <r>
    <x v="184"/>
    <s v="Taxi:   Direction MTN- Domicile/Achat crédits  departement Legal/Romain, Roderlin et Abraham"/>
    <s v="Transport"/>
    <s v="Office"/>
    <n v="1000"/>
    <n v="1.8595856619994786"/>
    <n v="537.75419999999997"/>
    <s v="Parfaite"/>
    <s v="P-JU-D1"/>
    <s v="PALF"/>
    <x v="6"/>
    <s v="Congo"/>
    <m/>
    <m/>
    <m/>
  </r>
  <r>
    <x v="184"/>
    <s v="Credit teléphonique MTN PALF/ du 01 au 15 Août 2025/ Abraham"/>
    <s v="Telephone"/>
    <s v="Legal"/>
    <n v="5000"/>
    <n v="9.2979283099973937"/>
    <n v="537.75419999999997"/>
    <s v="Abraham"/>
    <s v="AB-JU-R1"/>
    <s v="PALF"/>
    <x v="6"/>
    <s v="Congo"/>
    <m/>
    <m/>
    <m/>
  </r>
  <r>
    <x v="184"/>
    <s v="Credit teléphonique MTN PALF du 01 au 15/Août 2025 /Roderlin"/>
    <s v="Telephone"/>
    <s v="Legal"/>
    <n v="5000"/>
    <n v="9.2979283099973937"/>
    <n v="537.75419999999997"/>
    <s v="Roderlin"/>
    <s v="RO-JU-R1"/>
    <s v="PALF"/>
    <x v="6"/>
    <s v="Congo"/>
    <m/>
    <m/>
    <m/>
  </r>
  <r>
    <x v="184"/>
    <s v="Taxi:Bureau-TGI pour le suivi d'audience "/>
    <s v="Transport"/>
    <s v="Legal"/>
    <n v="1000"/>
    <n v="1.8595856619994786"/>
    <n v="537.75419999999997"/>
    <s v="Roderlin"/>
    <s v="RO-JU-D1"/>
    <s v="PALF"/>
    <x v="6"/>
    <s v="Congo"/>
    <m/>
    <m/>
    <m/>
  </r>
  <r>
    <x v="184"/>
    <s v="Taxii:TGI-Bureau"/>
    <s v="Transport"/>
    <s v="Legal"/>
    <n v="1000"/>
    <n v="1.8595856619994786"/>
    <n v="537.75419999999997"/>
    <s v="Roderlin"/>
    <s v="RO-JU-D1"/>
    <s v="PALF"/>
    <x v="6"/>
    <s v="Congo"/>
    <m/>
    <m/>
    <m/>
  </r>
  <r>
    <x v="184"/>
    <s v="Credit teléphonique MTN PALF/du 01au 08 Août  2025/Romain"/>
    <s v="Telephone"/>
    <s v="Legal"/>
    <n v="5000"/>
    <n v="9.2979283099973937"/>
    <n v="537.75419999999997"/>
    <s v="Romain"/>
    <s v="RM-JU-R1"/>
    <s v="PALF"/>
    <x v="6"/>
    <s v="Congo"/>
    <m/>
    <m/>
    <m/>
  </r>
  <r>
    <x v="185"/>
    <s v="Maison - Bureau"/>
    <s v="Transport"/>
    <s v="Management"/>
    <n v="1000"/>
    <n v="1.7827155035636482"/>
    <n v="560.94200000000001"/>
    <s v="DOVI"/>
    <s v="DH-AU-D1"/>
    <s v="PALF"/>
    <x v="5"/>
    <s v="Congo"/>
    <m/>
    <m/>
    <m/>
  </r>
  <r>
    <x v="185"/>
    <s v="Bureau-Maison"/>
    <s v="Transport"/>
    <s v="Management"/>
    <n v="1000"/>
    <n v="1.7827155035636482"/>
    <n v="560.94200000000001"/>
    <s v="DOVI"/>
    <s v="DH-AU-D1"/>
    <s v="PALF"/>
    <x v="5"/>
    <s v="Congo"/>
    <m/>
    <m/>
    <m/>
  </r>
  <r>
    <x v="185"/>
    <s v="Taxi:  Bureau-Banque BCI/ Retrait relevé de compte bancaire du mois de Juillet 2025"/>
    <s v="Transport"/>
    <s v="Office"/>
    <n v="1000"/>
    <n v="1.7827155035636482"/>
    <n v="560.94200000000001"/>
    <s v="Parfaite"/>
    <s v="P-AU-D1"/>
    <s v="PALF"/>
    <x v="5"/>
    <s v="Congo"/>
    <m/>
    <m/>
    <m/>
  </r>
  <r>
    <x v="185"/>
    <s v="Taxi:  Banque BCI - Bureau/ Retrait relevé de compte bancaire du mois de Juillet 2025"/>
    <s v="Transport"/>
    <s v="Office"/>
    <n v="1000"/>
    <n v="1.7827155035636482"/>
    <n v="560.94200000000001"/>
    <s v="Parfaite"/>
    <s v="P-AU-D1"/>
    <s v="PALF"/>
    <x v="5"/>
    <s v="Congo"/>
    <m/>
    <m/>
    <m/>
  </r>
  <r>
    <x v="185"/>
    <s v="Reglement loyer du mois de Juillet 2025/3654407+C31C21CC3:C27"/>
    <s v="Rent &amp; Utilities"/>
    <s v="Office"/>
    <n v="500000"/>
    <n v="891.35775178182416"/>
    <n v="560.94200000000001"/>
    <s v="BCI"/>
    <s v="BQ-AU-R2"/>
    <s v="PALF"/>
    <x v="5"/>
    <s v="Congo"/>
    <m/>
    <m/>
    <m/>
  </r>
  <r>
    <x v="186"/>
    <s v="Maison-Bureau"/>
    <s v="Transport"/>
    <s v="Management"/>
    <n v="1000"/>
    <n v="1.7827155035636482"/>
    <n v="560.94200000000001"/>
    <s v="DOVI"/>
    <s v="DH-AU-D1"/>
    <s v="PALF"/>
    <x v="5"/>
    <s v="Congo"/>
    <m/>
    <m/>
    <m/>
  </r>
  <r>
    <x v="186"/>
    <s v="Bureau -Maison"/>
    <s v="Transport"/>
    <s v="Management"/>
    <n v="1000"/>
    <n v="1.7827155035636482"/>
    <n v="560.94200000000001"/>
    <s v="DOVI"/>
    <s v="DH-AU-D1"/>
    <s v="PALF"/>
    <x v="5"/>
    <s v="Congo"/>
    <m/>
    <m/>
    <m/>
  </r>
  <r>
    <x v="186"/>
    <s v="Reglement honoraire du mois de Juillet 2025/IT87/3654411"/>
    <s v="Personnel"/>
    <s v="Investigations"/>
    <n v="159677"/>
    <n v="284.65866346253267"/>
    <n v="560.94200000000001"/>
    <s v="BCI"/>
    <s v="BQ-AU-R3"/>
    <s v="PALF"/>
    <x v="5"/>
    <s v="Congo"/>
    <m/>
    <m/>
    <m/>
  </r>
  <r>
    <x v="187"/>
    <s v="Maison-Bureau"/>
    <s v="Transport"/>
    <s v="Management"/>
    <n v="1000"/>
    <n v="1.7827155035636482"/>
    <n v="560.94200000000001"/>
    <s v="DOVI"/>
    <s v="DH-AU-D1"/>
    <s v="PALF"/>
    <x v="5"/>
    <s v="Congo"/>
    <m/>
    <m/>
    <m/>
  </r>
  <r>
    <x v="187"/>
    <s v="Bureau-Maison"/>
    <s v="Transport"/>
    <s v="Management"/>
    <n v="1000"/>
    <n v="1.7827155035636482"/>
    <n v="560.94200000000001"/>
    <s v="DOVI"/>
    <s v="DH-AU-D1"/>
    <s v="PALF"/>
    <x v="5"/>
    <s v="Congo"/>
    <m/>
    <m/>
    <m/>
  </r>
  <r>
    <x v="187"/>
    <s v="Taxi:  Bureau-Banque BCI/ Vérification des fonds dans le compte bancaire PALF"/>
    <s v="Transport"/>
    <s v="Office"/>
    <n v="1000"/>
    <n v="1.7827155035636482"/>
    <n v="560.94200000000001"/>
    <s v="Parfaite"/>
    <s v="P-AU-D1"/>
    <s v="PALF"/>
    <x v="5"/>
    <s v="Congo"/>
    <m/>
    <m/>
    <m/>
  </r>
  <r>
    <x v="187"/>
    <s v="Taxi:  Banque BCI - Bureau/Verification des fonds dans le compte bancaire PALF"/>
    <s v="Transport"/>
    <s v="Office"/>
    <n v="1000"/>
    <n v="1.7827155035636482"/>
    <n v="560.94200000000001"/>
    <s v="Parfaite"/>
    <s v="P-AU-D1"/>
    <s v="PALF"/>
    <x v="5"/>
    <s v="Congo"/>
    <m/>
    <m/>
    <m/>
  </r>
  <r>
    <x v="188"/>
    <s v="Maison-Bureau"/>
    <s v="Transport"/>
    <s v="Management"/>
    <n v="1000"/>
    <n v="1.7827155035636482"/>
    <n v="560.94200000000001"/>
    <s v="DOVI"/>
    <s v="DH-AU-D1"/>
    <s v="PALF"/>
    <x v="5"/>
    <s v="Congo"/>
    <m/>
    <m/>
    <m/>
  </r>
  <r>
    <x v="188"/>
    <s v="Bureau-Maison"/>
    <s v="Transport"/>
    <s v="Management"/>
    <n v="1000"/>
    <n v="1.7827155035636482"/>
    <n v="560.94200000000001"/>
    <s v="DOVI"/>
    <s v="DH-AU-D1"/>
    <s v="PALF"/>
    <x v="5"/>
    <s v="Congo"/>
    <m/>
    <m/>
    <m/>
  </r>
  <r>
    <x v="188"/>
    <s v="Taxi:  Bureau-Banque BCI/ Vérification des fonds dans le compte bancaire PALF"/>
    <s v="Transport"/>
    <s v="Office"/>
    <n v="1000"/>
    <n v="1.7827155035636482"/>
    <n v="560.94200000000001"/>
    <s v="Parfaite"/>
    <s v="P-AU-D1"/>
    <s v="PALF"/>
    <x v="5"/>
    <s v="Congo"/>
    <m/>
    <m/>
    <m/>
  </r>
  <r>
    <x v="188"/>
    <s v="Taxi:  Banque BCI - Bureau/Verification des fonds dans le compte bancaire PALF"/>
    <s v="Transport"/>
    <s v="Office"/>
    <n v="1000"/>
    <n v="1.7827155035636482"/>
    <n v="560.94200000000001"/>
    <s v="Parfaite"/>
    <s v="P-AU-D1"/>
    <s v="PALF"/>
    <x v="5"/>
    <s v="Congo"/>
    <m/>
    <m/>
    <m/>
  </r>
  <r>
    <x v="189"/>
    <s v="Maison- Bureau"/>
    <s v="Transport"/>
    <s v="Management"/>
    <n v="1000"/>
    <n v="1.7827155035636482"/>
    <n v="560.94200000000001"/>
    <s v="DOVI"/>
    <s v="DH-AU-D1"/>
    <s v="PALF"/>
    <x v="5"/>
    <s v="Congo"/>
    <m/>
    <m/>
    <m/>
  </r>
  <r>
    <x v="189"/>
    <s v="Bureau-Maison"/>
    <s v="Transport"/>
    <s v="Management"/>
    <n v="1000"/>
    <n v="1.7827155035636482"/>
    <n v="560.94200000000001"/>
    <s v="DOVI"/>
    <s v="DH-AU-D1"/>
    <s v="PALF"/>
    <x v="5"/>
    <s v="Congo"/>
    <m/>
    <m/>
    <m/>
  </r>
  <r>
    <x v="189"/>
    <s v="Règlement loyer Juillet 2025/Coordinateur"/>
    <s v="Personnel"/>
    <s v="Management"/>
    <n v="174625"/>
    <n v="311.30669480980208"/>
    <n v="560.94200000000001"/>
    <s v="DOVI"/>
    <s v="DH-AU-R1"/>
    <s v="PALF"/>
    <x v="5"/>
    <s v="Congo"/>
    <m/>
    <m/>
    <m/>
  </r>
  <r>
    <x v="189"/>
    <s v="Taxi:  Bureau- Société de gardiennage/remis de chèque du mois de Juillet 2025"/>
    <s v="Transport"/>
    <s v="Office"/>
    <n v="1000"/>
    <n v="1.7827155035636482"/>
    <n v="560.94200000000001"/>
    <s v="Parfaite"/>
    <s v="P-AU-D1"/>
    <s v="PALF"/>
    <x v="5"/>
    <s v="Congo"/>
    <m/>
    <m/>
    <m/>
  </r>
  <r>
    <x v="189"/>
    <s v="Taxi:  Societé de gardiennage  - Bureau/remis de chèque du mois de Juillet 2025"/>
    <s v="Transport"/>
    <s v="Office"/>
    <n v="1000"/>
    <n v="1.7827155035636482"/>
    <n v="560.94200000000001"/>
    <s v="Parfaite"/>
    <s v="P-AU-D1"/>
    <s v="PALF"/>
    <x v="5"/>
    <s v="Congo"/>
    <m/>
    <m/>
    <m/>
  </r>
  <r>
    <x v="189"/>
    <s v="Taxi:  Bureau- Direction MTN/Achat crédits  departement Investigation"/>
    <s v="Transport"/>
    <s v="Office"/>
    <n v="1000"/>
    <n v="1.7827155035636482"/>
    <n v="560.94200000000001"/>
    <s v="Parfaite"/>
    <s v="P-AU-D1"/>
    <s v="PALF"/>
    <x v="5"/>
    <s v="Congo"/>
    <m/>
    <m/>
    <m/>
  </r>
  <r>
    <x v="189"/>
    <s v="Taxi:   Direction MTN- Domicile/Achat crédits  departement Investigation"/>
    <s v="Transport"/>
    <s v="Office"/>
    <n v="1000"/>
    <n v="1.7827155035636482"/>
    <n v="560.94200000000001"/>
    <s v="Parfaite"/>
    <s v="P-AU-D1"/>
    <s v="PALF"/>
    <x v="5"/>
    <s v="Congo"/>
    <m/>
    <m/>
    <m/>
  </r>
  <r>
    <x v="189"/>
    <s v="Credit telephonique MTN PALF/ du 07 au 10 Août 2025/ Investigation/P29"/>
    <s v="Telephone"/>
    <s v="Investigations"/>
    <n v="5000"/>
    <n v="8.9135775178182417"/>
    <n v="560.94200000000001"/>
    <s v="P29"/>
    <s v="P29-AU-R1"/>
    <s v="PALF"/>
    <x v="5"/>
    <s v="Congo"/>
    <m/>
    <m/>
    <m/>
  </r>
  <r>
    <x v="189"/>
    <s v="Credit telephonique MTN PALF/ du 07 au 10 Août 2025/ Investigation/T73"/>
    <s v="Telephone"/>
    <s v="Investigations"/>
    <n v="5000"/>
    <n v="8.9135775178182417"/>
    <n v="560.94200000000001"/>
    <s v="T73"/>
    <s v="T73-AU-R1"/>
    <s v="PALF"/>
    <x v="5"/>
    <s v="Congo"/>
    <m/>
    <m/>
    <m/>
  </r>
  <r>
    <x v="189"/>
    <s v="Credit telephonique MTN PALF/du 07au 10 Aout 2025/IT87"/>
    <s v="Telephone"/>
    <s v="Investigations"/>
    <n v="5000"/>
    <n v="8.9135775178182417"/>
    <n v="560.94200000000001"/>
    <s v="IT87"/>
    <s v="IT87-AU-R1"/>
    <s v="PALF"/>
    <x v="5"/>
    <s v="Congo"/>
    <m/>
    <m/>
    <m/>
  </r>
  <r>
    <x v="189"/>
    <s v="Credit telephonique MTN PALF/du 07au 10 Aout 2025/G12"/>
    <s v="Telephone"/>
    <s v="Investigations"/>
    <n v="5000"/>
    <n v="8.9135775178182417"/>
    <n v="560.94200000000001"/>
    <s v="G12"/>
    <s v="G12-AU-R1"/>
    <s v="PALF"/>
    <x v="5"/>
    <s v="Congo"/>
    <m/>
    <m/>
    <m/>
  </r>
  <r>
    <x v="189"/>
    <s v="Reglement Facture Gardiennage Mois Juillet 2025/3654414"/>
    <s v="Services"/>
    <s v="Office"/>
    <n v="260000"/>
    <n v="463.50603092654853"/>
    <n v="560.94200000000001"/>
    <s v="BCI"/>
    <s v="BQ-AU-R4"/>
    <s v="PALF"/>
    <x v="5"/>
    <s v="Congo"/>
    <m/>
    <m/>
    <m/>
  </r>
  <r>
    <x v="190"/>
    <s v="Maison-Bureau"/>
    <s v="Transport"/>
    <s v="Management"/>
    <n v="1000"/>
    <n v="1.7827155035636482"/>
    <n v="560.94200000000001"/>
    <s v="DOVI"/>
    <s v="DH-AU-D1"/>
    <s v="PALF"/>
    <x v="5"/>
    <s v="Congo"/>
    <m/>
    <m/>
    <m/>
  </r>
  <r>
    <x v="190"/>
    <s v="Bureau-Maison"/>
    <s v="Transport"/>
    <s v="Management"/>
    <n v="1000"/>
    <n v="1.7827155035636482"/>
    <n v="560.94200000000001"/>
    <s v="DOVI"/>
    <s v="DH-AU-D1"/>
    <s v="PALF"/>
    <x v="5"/>
    <s v="Congo"/>
    <m/>
    <m/>
    <m/>
  </r>
  <r>
    <x v="190"/>
    <s v="Taxi:  Bureau-Banque BCI/ Vérification des fonds dans le compte bancaire PALF"/>
    <s v="Transport"/>
    <s v="Office"/>
    <n v="1000"/>
    <n v="1.7827155035636482"/>
    <n v="560.94200000000001"/>
    <s v="Parfaite"/>
    <s v="P-AU-D1"/>
    <s v="PALF"/>
    <x v="5"/>
    <s v="Congo"/>
    <m/>
    <m/>
    <m/>
  </r>
  <r>
    <x v="190"/>
    <s v="Taxi:  Banque BCI - Bureau/Verification des fonds dans le compte bancaire PALF"/>
    <s v="Transport"/>
    <s v="Office"/>
    <n v="1500"/>
    <n v="2.6740732553454722"/>
    <n v="560.94200000000001"/>
    <s v="Parfaite"/>
    <s v="P-AU-D1"/>
    <s v="PALF"/>
    <x v="5"/>
    <s v="Congo"/>
    <m/>
    <m/>
    <m/>
  </r>
  <r>
    <x v="191"/>
    <s v="Maison-Bureau"/>
    <s v="Transport"/>
    <s v="Management"/>
    <n v="1000"/>
    <n v="1.7827155035636482"/>
    <n v="560.94200000000001"/>
    <s v="DOVI"/>
    <s v="DH-AU-D1"/>
    <s v="PALF"/>
    <x v="5"/>
    <s v="Congo"/>
    <m/>
    <m/>
    <m/>
  </r>
  <r>
    <x v="191"/>
    <s v="Bureau-Maison"/>
    <s v="Transport"/>
    <s v="Management"/>
    <n v="1000"/>
    <n v="1.7827155035636482"/>
    <n v="560.94200000000001"/>
    <s v="DOVI"/>
    <s v="DH-AU-D1"/>
    <s v="PALF"/>
    <x v="5"/>
    <s v="Congo"/>
    <m/>
    <m/>
    <m/>
  </r>
  <r>
    <x v="191"/>
    <s v="Taxi:  Bureau-Banque BCI/ Vérification des fonds dans le compte bancaire PALF"/>
    <s v="Transport"/>
    <s v="Office"/>
    <n v="1500"/>
    <n v="2.6740732553454722"/>
    <n v="560.94200000000001"/>
    <s v="Parfaite"/>
    <s v="P-AU-D1"/>
    <s v="PALF"/>
    <x v="5"/>
    <s v="Congo"/>
    <m/>
    <m/>
    <m/>
  </r>
  <r>
    <x v="191"/>
    <s v="Taxi:  Banque BCI - Bureau/Verification des fonds dans le compte bancaire PALF"/>
    <s v="Transport"/>
    <s v="Office"/>
    <n v="2000"/>
    <n v="3.5654310071272963"/>
    <n v="560.94200000000001"/>
    <s v="Parfaite"/>
    <s v="P-AU-D1"/>
    <s v="PALF"/>
    <x v="5"/>
    <s v="Congo"/>
    <m/>
    <m/>
    <m/>
  </r>
  <r>
    <x v="191"/>
    <s v="Taxi bureau-moungali,prospection"/>
    <s v="Transport"/>
    <s v="Investigations"/>
    <n v="1000"/>
    <n v="1.7827155035636482"/>
    <n v="560.94200000000001"/>
    <s v="P29"/>
    <s v="P29-AU-D1"/>
    <s v="PALF"/>
    <x v="5"/>
    <s v="Congo"/>
    <m/>
    <m/>
    <m/>
  </r>
  <r>
    <x v="191"/>
    <s v="Taxi moungali-mapassi,prospection"/>
    <s v="Transport"/>
    <s v="Investigations"/>
    <n v="1000"/>
    <n v="1.7827155035636482"/>
    <n v="560.94200000000001"/>
    <s v="P29"/>
    <s v="P29-AU-D1"/>
    <s v="PALF"/>
    <x v="5"/>
    <s v="Congo"/>
    <m/>
    <m/>
    <m/>
  </r>
  <r>
    <x v="191"/>
    <s v="Taxi mapassi-la fleur,prospection"/>
    <s v="Transport"/>
    <s v="Investigations"/>
    <n v="1000"/>
    <n v="1.7827155035636482"/>
    <n v="560.94200000000001"/>
    <s v="P29"/>
    <s v="P29-AU-D1"/>
    <s v="PALF"/>
    <x v="5"/>
    <s v="Congo"/>
    <m/>
    <m/>
    <m/>
  </r>
  <r>
    <x v="191"/>
    <s v="Taxi la fleur -domicile"/>
    <s v="Transport"/>
    <s v="Investigations"/>
    <n v="1500"/>
    <n v="2.6740732553454722"/>
    <n v="560.94200000000001"/>
    <s v="P29"/>
    <s v="P29-AU-D1"/>
    <s v="PALF"/>
    <x v="5"/>
    <s v="Congo"/>
    <m/>
    <m/>
    <m/>
  </r>
  <r>
    <x v="191"/>
    <s v="Achat boisson à un cible"/>
    <s v="Trust Building"/>
    <s v="Investigations"/>
    <n v="1000"/>
    <n v="1.7827155035636482"/>
    <n v="560.94200000000001"/>
    <s v="P29"/>
    <s v="P29-AU-D2"/>
    <s v="PALF"/>
    <x v="5"/>
    <s v="Congo"/>
    <m/>
    <m/>
    <m/>
  </r>
  <r>
    <x v="191"/>
    <s v="Taxi : bureau - centre ville (prospection à Brazzaville)"/>
    <s v="Transport"/>
    <s v="Investigations"/>
    <n v="1000"/>
    <n v="1.7827155035636482"/>
    <n v="560.94200000000001"/>
    <s v="T73"/>
    <s v="T73-AU-D1"/>
    <s v="PALF"/>
    <x v="5"/>
    <s v="Congo"/>
    <m/>
    <m/>
    <m/>
  </r>
  <r>
    <x v="191"/>
    <s v="Taxi : centre ville - moungali (prospection à Brazzaville)"/>
    <s v="Transport"/>
    <s v="Investigations"/>
    <n v="1000"/>
    <n v="1.7827155035636482"/>
    <n v="560.94200000000001"/>
    <s v="T73"/>
    <s v="T73-AU-D1"/>
    <s v="PALF"/>
    <x v="5"/>
    <s v="Congo"/>
    <m/>
    <m/>
    <m/>
  </r>
  <r>
    <x v="191"/>
    <s v="taxi : moungali - domicile (prospection à Brazzaville)"/>
    <s v="Transport"/>
    <s v="Investigations"/>
    <n v="1000"/>
    <n v="1.7827155035636482"/>
    <n v="560.94200000000001"/>
    <s v="T73"/>
    <s v="T73-AU-D1"/>
    <s v="PALF"/>
    <x v="5"/>
    <s v="Congo"/>
    <m/>
    <m/>
    <m/>
  </r>
  <r>
    <x v="191"/>
    <s v="Taxi : Bureau - Diata/ Prospection"/>
    <s v="Transport"/>
    <s v="Investigations"/>
    <n v="1000"/>
    <n v="1.7827155035636482"/>
    <n v="560.94200000000001"/>
    <s v="IT87"/>
    <s v="IT87-AU-D1"/>
    <s v="PALF"/>
    <x v="5"/>
    <s v="Congo"/>
    <m/>
    <m/>
    <m/>
  </r>
  <r>
    <x v="191"/>
    <s v="Taxi : Diata - Bifouiti/ Rencontre avec la cible"/>
    <s v="Transport"/>
    <s v="Investigations"/>
    <n v="2000"/>
    <n v="3.5654310071272963"/>
    <n v="560.94200000000001"/>
    <s v="IT87"/>
    <s v="IT87-AU-D1"/>
    <s v="PALF"/>
    <x v="5"/>
    <s v="Congo"/>
    <m/>
    <m/>
    <m/>
  </r>
  <r>
    <x v="191"/>
    <s v="Taxi : Bifouiti - Domicile/ Retour de prospection"/>
    <s v="Transport"/>
    <s v="Investigations"/>
    <n v="2500"/>
    <n v="4.4567887589091209"/>
    <n v="560.94200000000001"/>
    <s v="IT87"/>
    <s v="IT87-AU-D1"/>
    <s v="PALF"/>
    <x v="5"/>
    <s v="Congo"/>
    <m/>
    <m/>
    <m/>
  </r>
  <r>
    <x v="191"/>
    <s v="Taxi: Bureau- mikalou /prospection"/>
    <s v="Transport"/>
    <s v="Investigations"/>
    <n v="1000"/>
    <n v="1.7827155035636482"/>
    <n v="560.94200000000001"/>
    <s v="G12"/>
    <s v="G12-AU-D1"/>
    <s v="PALF"/>
    <x v="5"/>
    <s v="Congo"/>
    <m/>
    <m/>
    <m/>
  </r>
  <r>
    <x v="191"/>
    <s v="Taxi :Mikalou - domicile"/>
    <s v="Transport"/>
    <s v="Investigations"/>
    <n v="1000"/>
    <n v="1.7827155035636482"/>
    <n v="560.94200000000001"/>
    <s v="G12"/>
    <s v="G12-AU-D1"/>
    <s v="PALF"/>
    <x v="5"/>
    <s v="Congo"/>
    <m/>
    <m/>
    <m/>
  </r>
  <r>
    <x v="192"/>
    <s v="Maison-Bureau"/>
    <s v="Transport"/>
    <s v="Management"/>
    <n v="1000"/>
    <n v="1.7827155035636482"/>
    <n v="560.94200000000001"/>
    <s v="DOVI"/>
    <s v="DH-AU-D1"/>
    <s v="PALF"/>
    <x v="5"/>
    <s v="Congo"/>
    <m/>
    <m/>
    <m/>
  </r>
  <r>
    <x v="192"/>
    <s v="Bureau-Maison"/>
    <s v="Transport"/>
    <s v="Management"/>
    <n v="1000"/>
    <n v="1.7827155035636482"/>
    <n v="560.94200000000001"/>
    <s v="DOVI"/>
    <s v="DH-AU-D1"/>
    <s v="PALF"/>
    <x v="5"/>
    <s v="Congo"/>
    <m/>
    <m/>
    <m/>
  </r>
  <r>
    <x v="192"/>
    <s v="Taxi : bureau - zone campus (prospection à Brazzaville)"/>
    <s v="Transport"/>
    <s v="Investigations"/>
    <n v="1000"/>
    <n v="1.7827155035636482"/>
    <n v="560.94200000000001"/>
    <s v="T73"/>
    <s v="T73-AU-D1"/>
    <s v="PALF"/>
    <x v="5"/>
    <s v="Congo"/>
    <m/>
    <m/>
    <m/>
  </r>
  <r>
    <x v="192"/>
    <s v="Taxi : zone campus - quartier Mfoa (prospection à Brazzaville)"/>
    <s v="Transport"/>
    <s v="Investigations"/>
    <n v="1000"/>
    <n v="1.7827155035636482"/>
    <n v="560.94200000000001"/>
    <s v="T73"/>
    <s v="T73-AU-D1"/>
    <s v="PALF"/>
    <x v="5"/>
    <s v="Congo"/>
    <m/>
    <m/>
    <m/>
  </r>
  <r>
    <x v="192"/>
    <s v="Taxi : quartier Mfoa - poto poto (prospection à Brazzaville)"/>
    <s v="Transport"/>
    <s v="Investigations"/>
    <n v="1000"/>
    <n v="1.7827155035636482"/>
    <n v="560.94200000000001"/>
    <s v="T73"/>
    <s v="T73-AU-D1"/>
    <s v="PALF"/>
    <x v="5"/>
    <s v="Congo"/>
    <m/>
    <m/>
    <m/>
  </r>
  <r>
    <x v="192"/>
    <s v="Taxi : poto poto - domicile (prospection à Brazzaville)"/>
    <s v="Transport"/>
    <s v="Investigations"/>
    <n v="1000"/>
    <n v="1.7827155035636482"/>
    <n v="560.94200000000001"/>
    <s v="T73"/>
    <s v="T73-AU-D1"/>
    <s v="PALF"/>
    <x v="5"/>
    <s v="Congo"/>
    <m/>
    <m/>
    <m/>
  </r>
  <r>
    <x v="192"/>
    <s v="achat boisson ( une cible)"/>
    <s v="Trust Building"/>
    <s v="Investigations"/>
    <n v="2000"/>
    <n v="3.5654310071272963"/>
    <n v="560.94200000000001"/>
    <s v="T73"/>
    <s v="T73-AU-D2"/>
    <s v="PALF"/>
    <x v="5"/>
    <s v="Congo"/>
    <m/>
    <m/>
    <m/>
  </r>
  <r>
    <x v="192"/>
    <s v="Taxi : Bureau - Marché Diata/ Prospection"/>
    <s v="Transport"/>
    <s v="Investigations"/>
    <n v="1000"/>
    <n v="1.7827155035636482"/>
    <n v="560.94200000000001"/>
    <s v="IT87"/>
    <s v="IT87-AU-D1"/>
    <s v="PALF"/>
    <x v="5"/>
    <s v="Congo"/>
    <m/>
    <m/>
    <m/>
  </r>
  <r>
    <x v="192"/>
    <s v="Taxi : Marché Diata - Av de la paix/ prospection"/>
    <s v="Transport"/>
    <s v="Investigations"/>
    <n v="1500"/>
    <n v="2.6740732553454722"/>
    <n v="560.94200000000001"/>
    <s v="IT87"/>
    <s v="IT87-AU-D1"/>
    <s v="PALF"/>
    <x v="5"/>
    <s v="Congo"/>
    <m/>
    <m/>
    <m/>
  </r>
  <r>
    <x v="192"/>
    <s v="Taxi : Av de la paix - Domicile/ Retour de prospection"/>
    <s v="Transport"/>
    <s v="Investigations"/>
    <n v="2500"/>
    <n v="4.4567887589091209"/>
    <n v="560.94200000000001"/>
    <s v="IT87"/>
    <s v="IT87-AU-D1"/>
    <s v="PALF"/>
    <x v="5"/>
    <s v="Congo"/>
    <m/>
    <m/>
    <m/>
  </r>
  <r>
    <x v="192"/>
    <s v="Taxi : Bureau - marché bifouiti , prospection"/>
    <s v="Transport"/>
    <s v="Investigations"/>
    <n v="1000"/>
    <n v="1.7827155035636482"/>
    <n v="560.94200000000001"/>
    <s v="G12"/>
    <s v="G12-AU-D1"/>
    <s v="PALF"/>
    <x v="5"/>
    <s v="Congo"/>
    <m/>
    <m/>
    <m/>
  </r>
  <r>
    <x v="192"/>
    <s v="Taxi: marché bifouiti- marché bouro /prospection"/>
    <s v="Transport"/>
    <s v="Investigations"/>
    <n v="1000"/>
    <n v="1.7827155035636482"/>
    <n v="560.94200000000001"/>
    <s v="G12"/>
    <s v="G12-AU-D1"/>
    <s v="PALF"/>
    <x v="5"/>
    <s v="Congo"/>
    <m/>
    <m/>
    <m/>
  </r>
  <r>
    <x v="192"/>
    <s v="Taxi: marché bouro - quartier comission /prospection"/>
    <s v="Transport"/>
    <s v="Investigations"/>
    <n v="1000"/>
    <n v="1.7827155035636482"/>
    <n v="560.94200000000001"/>
    <s v="G12"/>
    <s v="G12-AU-D1"/>
    <s v="PALF"/>
    <x v="5"/>
    <s v="Congo"/>
    <m/>
    <m/>
    <m/>
  </r>
  <r>
    <x v="192"/>
    <s v="Taxi: Quartier comission- domicile"/>
    <s v="Transport"/>
    <s v="Investigations"/>
    <n v="1000"/>
    <n v="1.7827155035636482"/>
    <n v="560.94200000000001"/>
    <s v="G12"/>
    <s v="G12-AU-D1"/>
    <s v="PALF"/>
    <x v="5"/>
    <s v="Congo"/>
    <m/>
    <m/>
    <m/>
  </r>
  <r>
    <x v="193"/>
    <s v="Maison-Bureau"/>
    <s v="Transport"/>
    <s v="Management"/>
    <n v="1000"/>
    <n v="1.7827155035636482"/>
    <n v="560.94200000000001"/>
    <s v="DOVI"/>
    <s v="DH-AU-D1"/>
    <s v="PALF"/>
    <x v="5"/>
    <s v="Congo"/>
    <m/>
    <m/>
    <m/>
  </r>
  <r>
    <x v="193"/>
    <s v="Bureau-Maison"/>
    <s v="Transport"/>
    <s v="Management"/>
    <n v="1000"/>
    <n v="1.7827155035636482"/>
    <n v="560.94200000000001"/>
    <s v="DOVI"/>
    <s v="DH-AU-D1"/>
    <s v="PALF"/>
    <x v="5"/>
    <s v="Congo"/>
    <m/>
    <m/>
    <m/>
  </r>
  <r>
    <x v="193"/>
    <s v="Taxi:  Bureau-Banque BCI/ Appro caisse PALF"/>
    <s v="Transport"/>
    <s v="Office"/>
    <n v="1500"/>
    <m/>
    <n v="560.94200000000001"/>
    <s v="Parfaite"/>
    <s v="P-AU-D1"/>
    <s v="PALF"/>
    <x v="5"/>
    <s v="Congo"/>
    <m/>
    <m/>
    <m/>
  </r>
  <r>
    <x v="193"/>
    <s v="Taxi:  Banque BCI - Bureau/Appro caisse  PALF"/>
    <s v="Transport"/>
    <s v="Office"/>
    <n v="1500"/>
    <n v="2.6740732553454722"/>
    <n v="560.94200000000001"/>
    <s v="Parfaite"/>
    <s v="P-AU-D1"/>
    <s v="PALF"/>
    <x v="5"/>
    <s v="Congo"/>
    <m/>
    <m/>
    <m/>
  </r>
  <r>
    <x v="193"/>
    <s v="Taxi domicile-bouro,prospection"/>
    <s v="Transport"/>
    <s v="Investigations"/>
    <n v="1000"/>
    <n v="1.7827155035636482"/>
    <n v="560.94200000000001"/>
    <s v="P29"/>
    <s v="P29-AU-D1"/>
    <s v="PALF"/>
    <x v="5"/>
    <s v="Congo"/>
    <m/>
    <m/>
    <m/>
  </r>
  <r>
    <x v="193"/>
    <s v="Taxi bouro-sai sai,prospection"/>
    <s v="Transport"/>
    <s v="Investigations"/>
    <n v="1000"/>
    <n v="1.7827155035636482"/>
    <n v="560.94200000000001"/>
    <s v="P29"/>
    <s v="P29-AU-D1"/>
    <s v="PALF"/>
    <x v="5"/>
    <s v="Congo"/>
    <m/>
    <m/>
    <m/>
  </r>
  <r>
    <x v="193"/>
    <s v="Taxi sai sai -bureau"/>
    <s v="Transport"/>
    <s v="Investigations"/>
    <n v="1500"/>
    <n v="2.6740732553454722"/>
    <n v="560.94200000000001"/>
    <s v="P29"/>
    <s v="P29-AU-D1"/>
    <s v="PALF"/>
    <x v="5"/>
    <s v="Congo"/>
    <m/>
    <m/>
    <m/>
  </r>
  <r>
    <x v="193"/>
    <s v="Achat boisson à un cible"/>
    <s v="Trust Building"/>
    <s v="Investigations"/>
    <n v="1000"/>
    <n v="1.7827155035636482"/>
    <n v="560.94200000000001"/>
    <s v="P29"/>
    <s v="P29-AU-D2"/>
    <s v="PALF"/>
    <x v="5"/>
    <s v="Congo"/>
    <m/>
    <m/>
    <m/>
  </r>
  <r>
    <x v="193"/>
    <s v="Taxi : domicile - texaco ( prospection à brazzaville)"/>
    <s v="Transport"/>
    <s v="Investigations"/>
    <n v="1500"/>
    <n v="2.6740732553454722"/>
    <n v="560.94200000000001"/>
    <s v="T73"/>
    <s v="T73-AU-D1"/>
    <s v="PALF"/>
    <x v="5"/>
    <s v="Congo"/>
    <m/>
    <m/>
    <m/>
  </r>
  <r>
    <x v="193"/>
    <s v="Taxi : texaco - zone de la frontière ( prospection à brazzaville)"/>
    <s v="Transport"/>
    <s v="Investigations"/>
    <n v="1000"/>
    <n v="1.7827155035636482"/>
    <n v="560.94200000000001"/>
    <s v="T73"/>
    <s v="T73-AU-D1"/>
    <s v="PALF"/>
    <x v="5"/>
    <s v="Congo"/>
    <m/>
    <m/>
    <m/>
  </r>
  <r>
    <x v="193"/>
    <s v="Taxi : zone de la frontière - bureau ( recuperer fond pour achat billet)"/>
    <s v="Transport"/>
    <s v="Investigations"/>
    <n v="1000"/>
    <n v="1.7827155035636482"/>
    <n v="560.94200000000001"/>
    <s v="T73"/>
    <s v="T73-AU-D1"/>
    <s v="PALF"/>
    <x v="5"/>
    <s v="Congo"/>
    <m/>
    <m/>
    <m/>
  </r>
  <r>
    <x v="193"/>
    <s v="Taxi : bureau - agence océan talangai ( achat billet)"/>
    <s v="Transport"/>
    <s v="Investigations"/>
    <n v="2000"/>
    <n v="3.5654310071272963"/>
    <n v="560.94200000000001"/>
    <s v="T73"/>
    <s v="T73-AU-D1"/>
    <s v="PALF"/>
    <x v="5"/>
    <s v="Congo"/>
    <m/>
    <m/>
    <m/>
  </r>
  <r>
    <x v="193"/>
    <s v="Taxi : agence océan talangai - bureau ( recuperer fond pour achat billet)"/>
    <s v="Transport"/>
    <s v="Investigations"/>
    <n v="2000"/>
    <n v="3.5654310071272963"/>
    <n v="560.94200000000001"/>
    <s v="T73"/>
    <s v="T73-AU-D1"/>
    <s v="PALF"/>
    <x v="5"/>
    <s v="Congo"/>
    <m/>
    <m/>
    <m/>
  </r>
  <r>
    <x v="193"/>
    <s v="Taxi : Domicile - Mfilou/ Prospection"/>
    <s v="Transport"/>
    <s v="Investigations"/>
    <n v="2000"/>
    <n v="3.5654310071272963"/>
    <n v="560.94200000000001"/>
    <s v="IT87"/>
    <s v="IT87-AU-D1"/>
    <s v="PALF"/>
    <x v="5"/>
    <s v="Congo"/>
    <m/>
    <m/>
    <m/>
  </r>
  <r>
    <x v="193"/>
    <s v="Taxi : Gotié - Mairie/ Prospection"/>
    <s v="Transport"/>
    <s v="Investigations"/>
    <n v="1000"/>
    <n v="1.7827155035636482"/>
    <n v="560.94200000000001"/>
    <s v="IT87"/>
    <s v="IT87-AU-D1"/>
    <s v="PALF"/>
    <x v="5"/>
    <s v="Congo"/>
    <m/>
    <m/>
    <m/>
  </r>
  <r>
    <x v="193"/>
    <s v="Taxi : Mairie - Frontière/ Prospection"/>
    <s v="Transport"/>
    <s v="Investigations"/>
    <n v="1000"/>
    <n v="1.7827155035636482"/>
    <n v="560.94200000000001"/>
    <s v="IT87"/>
    <s v="IT87-AU-D1"/>
    <s v="PALF"/>
    <x v="5"/>
    <s v="Congo"/>
    <m/>
    <m/>
    <m/>
  </r>
  <r>
    <x v="193"/>
    <s v="Taxi : Frontière - Domicile/ Retour de prospection"/>
    <s v="Transport"/>
    <s v="Investigations"/>
    <n v="2000"/>
    <n v="3.5654310071272963"/>
    <n v="560.94200000000001"/>
    <s v="IT87"/>
    <s v="IT87-AU-D1"/>
    <s v="PALF"/>
    <x v="5"/>
    <s v="Congo"/>
    <m/>
    <m/>
    <m/>
  </r>
  <r>
    <x v="193"/>
    <s v="Taxi : Domicile - nganga lingolo, prospection à brazzaville"/>
    <s v="Transport"/>
    <s v="Investigations"/>
    <n v="1500"/>
    <n v="2.6740732553454722"/>
    <n v="560.94200000000001"/>
    <s v="G12"/>
    <s v="G12-AU-D1"/>
    <s v="PALF"/>
    <x v="5"/>
    <s v="Congo"/>
    <m/>
    <m/>
    <m/>
  </r>
  <r>
    <x v="193"/>
    <s v="Taxi : Nganga lingolo- total / prospection"/>
    <s v="Transport"/>
    <s v="Investigations"/>
    <n v="1500"/>
    <n v="2.6740732553454722"/>
    <n v="560.94200000000001"/>
    <s v="G12"/>
    <s v="G12-AU-D1"/>
    <s v="PALF"/>
    <x v="5"/>
    <s v="Congo"/>
    <m/>
    <m/>
    <m/>
  </r>
  <r>
    <x v="193"/>
    <s v="Taxi: Total- domicile"/>
    <s v="Transport"/>
    <s v="Investigations"/>
    <n v="1000"/>
    <n v="1.7827155035636482"/>
    <n v="560.94200000000001"/>
    <s v="G12"/>
    <s v="G12-AU-D1"/>
    <s v="PALF"/>
    <x v="5"/>
    <s v="Congo"/>
    <m/>
    <m/>
    <m/>
  </r>
  <r>
    <x v="193"/>
    <s v="Taxi, Domicile-Bureau PALF"/>
    <s v="Transport"/>
    <s v="Media"/>
    <n v="1000"/>
    <n v="1.7827155035636482"/>
    <n v="560.94200000000001"/>
    <s v="Evariste"/>
    <s v="EV-AU-D1"/>
    <s v="PALF"/>
    <x v="5"/>
    <s v="Congo"/>
    <m/>
    <m/>
    <m/>
  </r>
  <r>
    <x v="193"/>
    <s v="Taxi, Bureau PALF-Domicile"/>
    <s v="Transport"/>
    <s v="Media"/>
    <n v="1000"/>
    <n v="1.7827155035636482"/>
    <n v="560.94200000000001"/>
    <s v="Evariste"/>
    <s v="EV-AU-D1"/>
    <s v="PALF"/>
    <x v="5"/>
    <s v="Congo"/>
    <m/>
    <m/>
    <m/>
  </r>
  <r>
    <x v="193"/>
    <s v="RAPATRIEME01100 RAO00010886/Fondation de la Famille Dahan(DFF)"/>
    <s v="Grant"/>
    <m/>
    <m/>
    <n v="0"/>
    <n v="532.90200000000004"/>
    <s v="BCI"/>
    <s v="BQ-AU-G1"/>
    <s v="PALF"/>
    <x v="7"/>
    <s v="Congo"/>
    <n v="2664510"/>
    <n v="5000"/>
    <m/>
  </r>
  <r>
    <x v="193"/>
    <s v="RAPATRIEME01100 RAO00010886/Fondation Wildcat"/>
    <s v="Grant"/>
    <m/>
    <m/>
    <n v="0"/>
    <n v="532.90192592592598"/>
    <s v="BCI"/>
    <s v="BQ-AU-G2"/>
    <s v="PALF"/>
    <x v="5"/>
    <s v="Congo"/>
    <n v="14388352"/>
    <n v="27000"/>
    <m/>
  </r>
  <r>
    <x v="194"/>
    <s v="Bureau-Maison"/>
    <s v="Transport"/>
    <s v="Management"/>
    <n v="1000"/>
    <n v="1.7827155035636482"/>
    <n v="560.94200000000001"/>
    <s v="DOVI"/>
    <s v="DH-AU-D1"/>
    <s v="PALF"/>
    <x v="5"/>
    <s v="Congo"/>
    <m/>
    <m/>
    <m/>
  </r>
  <r>
    <x v="194"/>
    <s v="Billet: Brazzaville-Impfondo"/>
    <s v="Transport"/>
    <s v="Legal"/>
    <n v="37000"/>
    <n v="65.960473631854981"/>
    <n v="560.94200000000001"/>
    <s v="Crépin"/>
    <s v="CR-AU-R1"/>
    <s v="PALF"/>
    <x v="5"/>
    <s v="Congo"/>
    <m/>
    <m/>
    <m/>
  </r>
  <r>
    <x v="194"/>
    <s v="Taxi: Mfilou Camp Militaire-Agence Océan du Nord Talangai"/>
    <s v="Transport"/>
    <s v="Legal"/>
    <n v="2000"/>
    <n v="3.5654310071272963"/>
    <n v="560.94200000000001"/>
    <s v="Crépin"/>
    <s v="CR-AU-D1"/>
    <s v="PALF"/>
    <x v="5"/>
    <s v="Congo"/>
    <m/>
    <m/>
    <m/>
  </r>
  <r>
    <x v="194"/>
    <s v="Taxi moto: Agence Océan du Nord Oyo-Hôtel Saint Bénoit"/>
    <s v="Transport"/>
    <s v="Legal"/>
    <n v="500"/>
    <n v="0.89135775178182408"/>
    <n v="560.94200000000001"/>
    <s v="Crépin"/>
    <s v="CR-AU-D1"/>
    <s v="PALF"/>
    <x v="5"/>
    <s v="Congo"/>
    <m/>
    <m/>
    <m/>
  </r>
  <r>
    <x v="194"/>
    <s v="CREPIN-CONGO Ration du 14/08 au 02/09/2025 à  Impfondo"/>
    <s v="Travel Subsistence"/>
    <s v="Legal"/>
    <n v="190000"/>
    <n v="338.71594567709315"/>
    <n v="560.94200000000001"/>
    <s v="Crépin"/>
    <s v="CR-AU-D2"/>
    <s v="PALF"/>
    <x v="5"/>
    <s v="Congo"/>
    <m/>
    <m/>
    <m/>
  </r>
  <r>
    <x v="194"/>
    <s v="Taxi:  Bureau-Banque BCI/ Appro caisse PALF"/>
    <s v="Transport"/>
    <s v="Office"/>
    <n v="1000"/>
    <n v="1.7827155035636482"/>
    <n v="560.94200000000001"/>
    <s v="Parfaite"/>
    <s v="P-AU-D1"/>
    <s v="PALF"/>
    <x v="5"/>
    <s v="Congo"/>
    <m/>
    <m/>
    <m/>
  </r>
  <r>
    <x v="194"/>
    <s v="Taxi:  Banque BCI - Bureau/Appro caisse  PALF"/>
    <s v="Transport"/>
    <s v="Office"/>
    <n v="1000"/>
    <n v="1.7827155035636482"/>
    <n v="560.94200000000001"/>
    <s v="Parfaite"/>
    <s v="P-AU-D1"/>
    <s v="PALF"/>
    <x v="5"/>
    <s v="Congo"/>
    <m/>
    <m/>
    <m/>
  </r>
  <r>
    <x v="194"/>
    <s v="Taxi: Bureau -Marché Moungali/ Achat des Ampoules bureau PALF"/>
    <s v="Transport"/>
    <s v="Office"/>
    <n v="1000"/>
    <n v="1.7827155035636482"/>
    <n v="560.94200000000001"/>
    <s v="Parfaite"/>
    <s v="P-AU-D1"/>
    <s v="PALF"/>
    <x v="5"/>
    <s v="Congo"/>
    <m/>
    <m/>
    <m/>
  </r>
  <r>
    <x v="194"/>
    <s v="Taxi: Marché Moungali - Bureau/ Achat de Ampoules bureau PALF"/>
    <s v="Transport"/>
    <s v="Office"/>
    <n v="1000"/>
    <n v="1.7827155035636482"/>
    <n v="560.94200000000001"/>
    <s v="Parfaite"/>
    <s v="P-AU-D1"/>
    <s v="PALF"/>
    <x v="5"/>
    <s v="Congo"/>
    <m/>
    <m/>
    <m/>
  </r>
  <r>
    <x v="194"/>
    <s v="Achat de 10 ampoule à crochet"/>
    <s v="Office Materiels"/>
    <s v="Office"/>
    <n v="25000"/>
    <n v="44.567887589091207"/>
    <n v="560.94200000000001"/>
    <s v="Parfaite"/>
    <s v="CA-AU-R1"/>
    <s v="PALF"/>
    <x v="5"/>
    <s v="Congo"/>
    <m/>
    <m/>
    <m/>
  </r>
  <r>
    <x v="194"/>
    <s v="Achat billet Brazzaville-Impfondo/ P29"/>
    <s v="Transport"/>
    <s v="Investigations"/>
    <n v="37000"/>
    <n v="65.960473631854981"/>
    <n v="560.94200000000001"/>
    <s v="P29"/>
    <s v="P29-AU-R2"/>
    <s v="PALF"/>
    <x v="5"/>
    <s v="Congo"/>
    <m/>
    <m/>
    <m/>
  </r>
  <r>
    <x v="194"/>
    <s v="Taxi domicile-agence,départ mission"/>
    <s v="Transport"/>
    <s v="Investigations"/>
    <n v="2500"/>
    <n v="4.4567887589091209"/>
    <n v="560.94200000000001"/>
    <s v="P29"/>
    <s v="P29-AU-D1"/>
    <s v="PALF"/>
    <x v="5"/>
    <s v="Congo"/>
    <m/>
    <m/>
    <m/>
  </r>
  <r>
    <x v="194"/>
    <s v="P29 - CONGO Ration  du 14/08 au 01 /09/2025 à Impfondo (18 Nuitées)"/>
    <s v="Travel Subsistence"/>
    <s v="Investigations"/>
    <n v="180000"/>
    <n v="320.88879064145669"/>
    <n v="560.94200000000001"/>
    <s v="P29"/>
    <s v="P29-AU-D3"/>
    <s v="PALF"/>
    <x v="5"/>
    <s v="Congo"/>
    <m/>
    <m/>
    <m/>
  </r>
  <r>
    <x v="194"/>
    <s v="Taxi agence-hotel,arrivé à oyo"/>
    <s v="Transport"/>
    <s v="Investigations"/>
    <n v="1000"/>
    <n v="1.7827155035636482"/>
    <n v="560.94200000000001"/>
    <s v="P29"/>
    <s v="P29-AU-D1"/>
    <s v="PALF"/>
    <x v="5"/>
    <s v="Congo"/>
    <m/>
    <m/>
    <m/>
  </r>
  <r>
    <x v="194"/>
    <s v="Achat billet  Brazzaville - Impfondo/T73"/>
    <s v="Transport"/>
    <s v="Investigations"/>
    <n v="37000"/>
    <n v="65.960473631854981"/>
    <n v="560.94200000000001"/>
    <s v="T73"/>
    <s v="T73-AU-R2"/>
    <s v="PALF"/>
    <x v="5"/>
    <s v="Congo"/>
    <m/>
    <m/>
    <m/>
  </r>
  <r>
    <x v="194"/>
    <s v="T73-CONGO Ration du 14 au 01/09/2025 à Impfondo (18 nuitées)"/>
    <s v="Travel Subsistence"/>
    <s v="Investigations"/>
    <n v="180000"/>
    <n v="320.88879064145669"/>
    <n v="560.94200000000001"/>
    <s v="T73"/>
    <s v="T73-AU-D3"/>
    <s v="PALF"/>
    <x v="5"/>
    <s v="Congo"/>
    <m/>
    <m/>
    <m/>
  </r>
  <r>
    <x v="194"/>
    <s v="Taxi : domicille - agence océan talangai"/>
    <s v="Transport"/>
    <s v="Investigations"/>
    <n v="2000"/>
    <n v="3.5654310071272963"/>
    <n v="560.94200000000001"/>
    <s v="T73"/>
    <s v="T73-AU-D1"/>
    <s v="PALF"/>
    <x v="5"/>
    <s v="Congo"/>
    <m/>
    <m/>
    <m/>
  </r>
  <r>
    <x v="194"/>
    <s v="Taxi : Agence céan- hotel"/>
    <s v="Transport"/>
    <s v="Investigations"/>
    <n v="500"/>
    <n v="0.89135775178182408"/>
    <n v="560.94200000000001"/>
    <s v="T73"/>
    <s v="T73-AU-D1"/>
    <s v="PALF"/>
    <x v="5"/>
    <s v="Congo"/>
    <m/>
    <m/>
    <m/>
  </r>
  <r>
    <x v="194"/>
    <s v="Achat billet Brazzaville-Imfondo/ Donald-Roméo"/>
    <s v="Transport "/>
    <s v="Legal"/>
    <n v="37000"/>
    <n v="65.960473631854981"/>
    <n v="560.94200000000001"/>
    <s v="Donald-Roméo"/>
    <s v="DR-AU-R1"/>
    <s v="PALF"/>
    <x v="5"/>
    <s v="Congo"/>
    <m/>
    <m/>
    <m/>
  </r>
  <r>
    <x v="194"/>
    <s v="Taxi Domicile-Agence Océan du Nord de Talangaï"/>
    <s v="Transport "/>
    <s v="Legal"/>
    <n v="2500"/>
    <n v="4.4567887589091209"/>
    <n v="560.94200000000001"/>
    <s v="Donald-Roméo"/>
    <s v="DR-AU-D1"/>
    <s v="PALF"/>
    <x v="5"/>
    <s v="Congo"/>
    <m/>
    <m/>
    <m/>
  </r>
  <r>
    <x v="194"/>
    <s v="Taxi agence Océan du Nord d'Oyo-Hôtel Saint Benoit"/>
    <s v="Transport "/>
    <s v="Legal"/>
    <n v="500"/>
    <n v="0.89135775178182408"/>
    <n v="560.94200000000001"/>
    <s v="Donald-Roméo"/>
    <s v="DR-AU-D1"/>
    <s v="PALF"/>
    <x v="5"/>
    <s v="Congo"/>
    <m/>
    <m/>
    <m/>
  </r>
  <r>
    <x v="194"/>
    <s v="Ration  du  14/08 au 02/09/2025 à Oyo, Impfondo et  Enyellé/ Donald-Roméo"/>
    <s v="Travel Subsistence"/>
    <s v="Legal"/>
    <n v="190000"/>
    <n v="338.71594567709315"/>
    <n v="560.94200000000001"/>
    <s v="Donald-Roméo"/>
    <s v="DR-AU-D2"/>
    <s v="PALF"/>
    <x v="5"/>
    <s v="Congo"/>
    <m/>
    <m/>
    <m/>
  </r>
  <r>
    <x v="194"/>
    <s v="Achat Billet Brazzaville-Impfondo/Evariste"/>
    <s v="Transport"/>
    <s v="Media"/>
    <n v="37000"/>
    <n v="65.960473631854981"/>
    <n v="560.94200000000001"/>
    <s v="Evariste"/>
    <s v="EV-AU-R1"/>
    <s v="PALF"/>
    <x v="5"/>
    <s v="Congo"/>
    <m/>
    <m/>
    <m/>
  </r>
  <r>
    <x v="194"/>
    <s v="Taxi, Domicile-Agence Océan du Nord de Talangai"/>
    <s v="Transport"/>
    <s v="Media"/>
    <n v="1000"/>
    <n v="1.7827155035636482"/>
    <n v="560.94200000000001"/>
    <s v="Evariste"/>
    <s v="EV-AU-D1"/>
    <s v="PALF"/>
    <x v="5"/>
    <s v="Congo"/>
    <m/>
    <m/>
    <m/>
  </r>
  <r>
    <x v="194"/>
    <s v="Taxi moto, Agence Océan du Nord d'Oyo-Hôtel Saint Benoit"/>
    <s v="Transport"/>
    <s v="Media"/>
    <n v="500"/>
    <n v="0.89135775178182408"/>
    <n v="560.94200000000001"/>
    <s v="Evariste"/>
    <s v="EV-AU-D1"/>
    <s v="PALF"/>
    <x v="5"/>
    <s v="Congo"/>
    <m/>
    <m/>
    <m/>
  </r>
  <r>
    <x v="194"/>
    <s v="Evariste-CONGO Ration du 14 août au 03 septembre 2025 à Impfondo ( 20 nuitées )"/>
    <s v="Travel Subsistence"/>
    <s v="Media"/>
    <n v="200000"/>
    <n v="356.54310071272965"/>
    <n v="560.94200000000001"/>
    <s v="Evariste"/>
    <s v="EV-AU-D2"/>
    <s v="PALF"/>
    <x v="5"/>
    <s v="Congo"/>
    <m/>
    <m/>
    <m/>
  </r>
  <r>
    <x v="194"/>
    <s v="Taxi: Bureau-Imprimérie DL/ pour retirer les cartes de visite du Coordo"/>
    <s v="Transport"/>
    <s v="Legal"/>
    <n v="1500"/>
    <n v="2.6740732553454722"/>
    <n v="560.94200000000001"/>
    <s v="Romain"/>
    <s v="RM-AU-D1"/>
    <s v="PALF"/>
    <x v="5"/>
    <s v="Congo"/>
    <m/>
    <m/>
    <m/>
  </r>
  <r>
    <x v="194"/>
    <s v="Taxi: Imprimérie DL -Bureau"/>
    <s v="Transport"/>
    <s v="Legal"/>
    <n v="1500"/>
    <n v="2.6740732553454722"/>
    <n v="560.94200000000001"/>
    <s v="Romain"/>
    <s v="RM-AU-D1"/>
    <s v="PALF"/>
    <x v="5"/>
    <s v="Congo"/>
    <m/>
    <m/>
    <m/>
  </r>
  <r>
    <x v="194"/>
    <s v="Paiement salaire du mois de Juillet 2025/Homéfa DOVI/3654413"/>
    <s v="Personnel"/>
    <s v="Management"/>
    <n v="1311000"/>
    <n v="2337.1400251719429"/>
    <n v="560.94200000000001"/>
    <s v="BCI"/>
    <s v="BQ-AU-R5"/>
    <s v="PALF"/>
    <x v="5"/>
    <s v="Congo"/>
    <m/>
    <m/>
    <m/>
  </r>
  <r>
    <x v="194"/>
    <s v="Solde honoraire contrat N°63_Brazzaville cas IBAMBOU ATEMBO Delmand Ferréol/Maitre Marie Hélène NANITELAMIO MALONGA/ 3654416"/>
    <s v="Lawyer Fees"/>
    <s v="Legal"/>
    <n v="300000"/>
    <n v="534.81465106909445"/>
    <n v="560.94200000000001"/>
    <s v="BCI"/>
    <s v="BQ-AU-R6"/>
    <s v="PALF"/>
    <x v="5"/>
    <s v="Congo"/>
    <m/>
    <m/>
    <m/>
  </r>
  <r>
    <x v="195"/>
    <s v="CREPIN-CONGO-Frais d'hôtel du 14 au 15/08/2025 à Oyo (01 Nuitée)"/>
    <s v="Travel Subsistence"/>
    <s v="Legal"/>
    <n v="15000"/>
    <n v="26.740732553454723"/>
    <n v="560.94200000000001"/>
    <s v="Crépin"/>
    <s v="CR-AU-R1-2"/>
    <s v="PALF"/>
    <x v="5"/>
    <s v="Congo"/>
    <m/>
    <m/>
    <m/>
  </r>
  <r>
    <x v="195"/>
    <s v="Taxi moto: Hôtel Saint Bénoit-Agence Océan"/>
    <s v="Transport"/>
    <s v="Legal"/>
    <n v="500"/>
    <n v="0.89135775178182408"/>
    <n v="560.94200000000001"/>
    <s v="Crépin"/>
    <s v="CR-AU-D1"/>
    <s v="PALF"/>
    <x v="5"/>
    <s v="Congo"/>
    <m/>
    <m/>
    <m/>
  </r>
  <r>
    <x v="195"/>
    <s v="Taxi moto: Agence Océan Enyéllé-Hôtel La Paulina"/>
    <s v="Transport"/>
    <s v="Legal"/>
    <n v="500"/>
    <n v="0.89135775178182408"/>
    <n v="560.94200000000001"/>
    <s v="Crépin"/>
    <s v="CR-AU-D1"/>
    <s v="PALF"/>
    <x v="5"/>
    <s v="Congo"/>
    <m/>
    <m/>
    <m/>
  </r>
  <r>
    <x v="195"/>
    <s v="Credit telephonique MTN PALF/du 14 au 17 Août 2025"/>
    <s v="Telephone"/>
    <s v="Legal"/>
    <n v="5000"/>
    <n v="8.9135775178182417"/>
    <n v="560.94200000000001"/>
    <s v="Crépin"/>
    <s v="CR-AU-R1-3"/>
    <s v="PALF"/>
    <x v="5"/>
    <s v="Congo"/>
    <m/>
    <m/>
    <m/>
  </r>
  <r>
    <x v="195"/>
    <s v="Taxi:  Domicile- Direction MTN/Achat crédits  pour les agents en mission d'Impfondo"/>
    <s v="Transport"/>
    <s v="Office"/>
    <n v="1500"/>
    <n v="2.6740732553454722"/>
    <n v="560.94200000000001"/>
    <s v="Parfaite"/>
    <s v="P-AU-D1"/>
    <s v="PALF"/>
    <x v="5"/>
    <s v="Congo"/>
    <m/>
    <m/>
    <m/>
  </r>
  <r>
    <x v="195"/>
    <s v="Taxi:   Direction MTN- Domicile/Achat crédits Achat crédits pour les agents en mission d'Impfondo"/>
    <s v="Transport"/>
    <s v="Office"/>
    <n v="1500"/>
    <n v="2.6740732553454722"/>
    <n v="560.94200000000001"/>
    <s v="Parfaite"/>
    <s v="P-AU-D1"/>
    <s v="PALF"/>
    <x v="5"/>
    <s v="Congo"/>
    <m/>
    <m/>
    <m/>
  </r>
  <r>
    <x v="195"/>
    <s v="Taxi hotel-agence,la suite du voyage pour impfondo"/>
    <s v="Transport"/>
    <s v="Investigations"/>
    <n v="1000"/>
    <n v="1.7827155035636482"/>
    <n v="560.94200000000001"/>
    <s v="P29"/>
    <s v="P29-AU-D1"/>
    <s v="PALF"/>
    <x v="5"/>
    <s v="Congo"/>
    <m/>
    <m/>
    <m/>
  </r>
  <r>
    <x v="195"/>
    <s v="P29 -CONGO Frais d'hotel du 14 au 15/08/2025 à  oyo (01 Nuitée)"/>
    <s v="Travel Subsistence"/>
    <s v="Investigations"/>
    <n v="15000"/>
    <n v="26.740732553454723"/>
    <n v="560.94200000000001"/>
    <s v="P29"/>
    <s v="P29-AU-R3"/>
    <s v="PALF"/>
    <x v="5"/>
    <s v="Congo"/>
    <m/>
    <m/>
    <m/>
  </r>
  <r>
    <x v="195"/>
    <s v="Taxi tricycle agence océan -hotel,arrivé à enyelle"/>
    <s v="Transport"/>
    <s v="Investigations"/>
    <n v="1000"/>
    <n v="1.7827155035636482"/>
    <n v="560.94200000000001"/>
    <s v="P29"/>
    <s v="P29-AU-D1"/>
    <s v="PALF"/>
    <x v="5"/>
    <s v="Congo"/>
    <m/>
    <m/>
    <m/>
  </r>
  <r>
    <x v="195"/>
    <s v="Credit telephonique MTN PALF/ du 07 au 10 Août 2025/ Investigation/P29"/>
    <s v="Telephone"/>
    <s v="Investigations"/>
    <n v="5000"/>
    <n v="8.9135775178182417"/>
    <n v="560.94200000000001"/>
    <s v="P29"/>
    <s v="P29-AU-R4"/>
    <s v="PALF"/>
    <x v="5"/>
    <s v="Congo"/>
    <m/>
    <m/>
    <m/>
  </r>
  <r>
    <x v="195"/>
    <s v="T73 - CONGO Frais d'hotel du 14 au 15/08/2025  à Oyo ( 01nuitée)"/>
    <s v="Travel Subsistence"/>
    <s v="Investigations"/>
    <n v="15000"/>
    <n v="26.740732553454723"/>
    <n v="560.94200000000001"/>
    <s v="T73"/>
    <s v="T73-AU-R3"/>
    <s v="PALF"/>
    <x v="5"/>
    <s v="Congo"/>
    <m/>
    <m/>
    <m/>
  </r>
  <r>
    <x v="195"/>
    <s v="Taxi : hotel - agence océan du nord"/>
    <s v="Transport"/>
    <s v="Investigations"/>
    <n v="500"/>
    <n v="0.89135775178182408"/>
    <n v="560.94200000000001"/>
    <s v="T73"/>
    <s v="T73-AU-D1"/>
    <s v="PALF"/>
    <x v="5"/>
    <s v="Congo"/>
    <m/>
    <m/>
    <m/>
  </r>
  <r>
    <x v="195"/>
    <s v="Taxi moto : agence océan - hotel"/>
    <s v="Transport"/>
    <s v="Investigations"/>
    <n v="500"/>
    <n v="0.89135775178182408"/>
    <n v="560.94200000000001"/>
    <s v="T73"/>
    <s v="T73-AU-D1"/>
    <s v="PALF"/>
    <x v="5"/>
    <s v="Congo"/>
    <m/>
    <m/>
    <m/>
  </r>
  <r>
    <x v="195"/>
    <s v="Credit telephonique MTN PALF/ du 14 au 17 Août 2025/ Investigation/T73"/>
    <s v="Telephone"/>
    <s v="Investigations"/>
    <n v="5000"/>
    <n v="8.9135775178182417"/>
    <n v="560.94200000000001"/>
    <s v="T73"/>
    <s v="T73-AU-R4"/>
    <s v="PALF"/>
    <x v="5"/>
    <s v="Congo"/>
    <m/>
    <m/>
    <m/>
  </r>
  <r>
    <x v="195"/>
    <s v="Donald Roméo- CONGO Frais d'hôtel du 14 au 15/08/2025 à Oyo (01 Nuitée)"/>
    <s v="Travel Subsistence"/>
    <s v="Legal"/>
    <n v="15000"/>
    <n v="26.740732553454723"/>
    <n v="560.94200000000001"/>
    <s v="Donald-Roméo"/>
    <s v="DR-AU-R2"/>
    <s v="PALF"/>
    <x v="5"/>
    <s v="Congo"/>
    <m/>
    <m/>
    <m/>
  </r>
  <r>
    <x v="195"/>
    <s v="Taxi Hôtel Saint Benoit-agence Océan du Nord d'Oyo"/>
    <s v="Transport "/>
    <s v="Legal"/>
    <n v="500"/>
    <n v="0.89135775178182408"/>
    <n v="560.94200000000001"/>
    <s v="Donald-Roméo"/>
    <s v="DR-AU-D1"/>
    <s v="PALF"/>
    <x v="5"/>
    <s v="Congo"/>
    <m/>
    <m/>
    <m/>
  </r>
  <r>
    <x v="195"/>
    <s v="Taxi Hôtel agence Océan du Nord d'Enyelé-Hôtel Paulina"/>
    <s v="Transport "/>
    <s v="Legal"/>
    <n v="500"/>
    <n v="0.89135775178182408"/>
    <n v="560.94200000000001"/>
    <s v="Donald-Roméo"/>
    <s v="DR-AU-D1"/>
    <s v="PALF"/>
    <x v="5"/>
    <s v="Congo"/>
    <m/>
    <m/>
    <m/>
  </r>
  <r>
    <x v="195"/>
    <s v="Credit telephonique MTN PALF/du 14 au 17 Août 2025"/>
    <s v="Telephone"/>
    <s v="Legal"/>
    <n v="5000"/>
    <n v="8.9135775178182417"/>
    <n v="560.94200000000001"/>
    <s v="Donald-Roméo"/>
    <s v="DR-AU-R3"/>
    <s v="PALF"/>
    <x v="5"/>
    <s v="Congo"/>
    <m/>
    <m/>
    <m/>
  </r>
  <r>
    <x v="195"/>
    <s v="Evariste-CONGO Frais de l'hôtel du 14 au 15/08/2025 à Oyo ( 01 nuitée)"/>
    <s v="Travel Subsistence"/>
    <s v="Media"/>
    <n v="15000"/>
    <n v="26.740732553454723"/>
    <n v="560.94200000000001"/>
    <s v="Evariste"/>
    <s v="EV-AU-R2"/>
    <s v="PALF"/>
    <x v="5"/>
    <s v="Congo"/>
    <m/>
    <m/>
    <m/>
  </r>
  <r>
    <x v="195"/>
    <s v="Taxi moto, Hôtel Saint Benoit-Agence Océan du Nord d'Oyo"/>
    <s v="Transport"/>
    <s v="Media"/>
    <n v="500"/>
    <n v="0.89135775178182408"/>
    <n v="560.94200000000001"/>
    <s v="Evariste"/>
    <s v="EV-AU-D1"/>
    <s v="PALF"/>
    <x v="5"/>
    <s v="Congo"/>
    <m/>
    <m/>
    <m/>
  </r>
  <r>
    <x v="195"/>
    <s v="Credit telephonique MTN PALF/du 14 au 17 Août 2025"/>
    <s v="Telephone"/>
    <s v="Media"/>
    <n v="5000"/>
    <n v="8.9135775178182417"/>
    <n v="560.94200000000001"/>
    <s v="Evariste"/>
    <s v="EV-AU-R3"/>
    <s v="PALF"/>
    <x v="5"/>
    <s v="Congo"/>
    <m/>
    <m/>
    <m/>
  </r>
  <r>
    <x v="196"/>
    <s v="CREPIN-CONGO-Frais d'hôtel  du 15 au 16/08/2025 à Enyellé (01 Nuitée)"/>
    <s v="Travel Subsistence"/>
    <s v="Legal"/>
    <n v="15000"/>
    <n v="26.740732553454723"/>
    <n v="560.94200000000001"/>
    <s v="Crépin"/>
    <s v="CR-AU-R1-4"/>
    <s v="PALF"/>
    <x v="5"/>
    <s v="Congo"/>
    <m/>
    <m/>
    <m/>
  </r>
  <r>
    <x v="196"/>
    <s v="Taxi moto: Hôtel Polina-Agence Océan du nord"/>
    <s v="Transport"/>
    <s v="Legal"/>
    <n v="500"/>
    <n v="0.89135775178182408"/>
    <n v="560.94200000000001"/>
    <s v="Crépin"/>
    <s v="CR-AU-D1"/>
    <s v="PALF"/>
    <x v="5"/>
    <s v="Congo"/>
    <m/>
    <m/>
    <m/>
  </r>
  <r>
    <x v="196"/>
    <s v="Taxi moto: Agence Océan d'Impfondo-Hôtel Mithé"/>
    <s v="Transport"/>
    <s v="Legal"/>
    <n v="500"/>
    <n v="0.89135775178182408"/>
    <n v="560.94200000000001"/>
    <s v="Crépin"/>
    <s v="CR-AU-D1"/>
    <s v="PALF"/>
    <x v="5"/>
    <s v="Congo"/>
    <m/>
    <m/>
    <m/>
  </r>
  <r>
    <x v="196"/>
    <s v="Taxi tricycle hotel-agence-suite du voyage pour impfondo"/>
    <s v="Transport"/>
    <s v="Investigations"/>
    <n v="1000"/>
    <n v="1.7827155035636482"/>
    <n v="560.94200000000001"/>
    <s v="P29"/>
    <s v="P29-AU-D1"/>
    <s v="PALF"/>
    <x v="5"/>
    <s v="Congo"/>
    <m/>
    <m/>
    <m/>
  </r>
  <r>
    <x v="196"/>
    <s v="P29 -CONGO Frais d'hotel du 15 au 16/08/2025 à  enyelle (01 Nuitée)"/>
    <s v="Travel Subsistence"/>
    <s v="Investigations"/>
    <n v="15000"/>
    <n v="26.740732553454723"/>
    <n v="560.94200000000001"/>
    <s v="P29"/>
    <s v="P29-AU-R5"/>
    <s v="PALF"/>
    <x v="5"/>
    <s v="Congo"/>
    <m/>
    <m/>
    <m/>
  </r>
  <r>
    <x v="196"/>
    <s v="Taxi tricycle agence océan -hotel,arrivé à impfondo"/>
    <s v="Transport"/>
    <s v="Investigations"/>
    <n v="1000"/>
    <n v="1.7827155035636482"/>
    <n v="560.94200000000001"/>
    <s v="P29"/>
    <s v="P29-AU-D1"/>
    <s v="PALF"/>
    <x v="5"/>
    <s v="Congo"/>
    <m/>
    <m/>
    <m/>
  </r>
  <r>
    <x v="196"/>
    <s v="T73 - CONGO Frais d'hotel du 15 au 16/08/2025  à Enyelle( 01nuitée)"/>
    <s v="Travel Subsistence"/>
    <s v="Investigations"/>
    <n v="15000"/>
    <n v="26.740732553454723"/>
    <n v="560.94200000000001"/>
    <s v="T73"/>
    <s v="T73-AU-R5"/>
    <s v="PALF"/>
    <x v="5"/>
    <s v="Congo"/>
    <m/>
    <m/>
    <m/>
  </r>
  <r>
    <x v="196"/>
    <s v="Taxi moto : hotel - agence océan du nord"/>
    <s v="Transport"/>
    <s v="Investigations"/>
    <n v="500"/>
    <n v="0.89135775178182408"/>
    <n v="560.94200000000001"/>
    <s v="T73"/>
    <s v="T73-AU-D1"/>
    <s v="PALF"/>
    <x v="5"/>
    <s v="Congo"/>
    <m/>
    <m/>
    <m/>
  </r>
  <r>
    <x v="196"/>
    <s v="Taxi moto : agence océan - hotel KB fils"/>
    <s v="Transport"/>
    <s v="Investigations"/>
    <n v="500"/>
    <n v="0.89135775178182408"/>
    <n v="560.94200000000001"/>
    <s v="T73"/>
    <s v="T73-AU-D1"/>
    <s v="PALF"/>
    <x v="5"/>
    <s v="Congo"/>
    <m/>
    <m/>
    <m/>
  </r>
  <r>
    <x v="196"/>
    <s v="Donald Roméo -CONGO Frais d'hôtel/ du 15 au 16/08/2025 à Enyelé (01 Nuitée)"/>
    <s v="Travel Subsistence"/>
    <s v="Legal"/>
    <n v="15000"/>
    <n v="26.740732553454723"/>
    <n v="560.94200000000001"/>
    <s v="Donald-Roméo"/>
    <s v="DR-AU-R4"/>
    <s v="PALF"/>
    <x v="5"/>
    <s v="Congo"/>
    <m/>
    <m/>
    <m/>
  </r>
  <r>
    <x v="196"/>
    <s v="Taxi Hôtel Paulina-agence Océan du Nord d'Enylé"/>
    <s v="Transport "/>
    <s v="Legal"/>
    <n v="500"/>
    <n v="0.89135775178182408"/>
    <n v="560.94200000000001"/>
    <s v="Donald-Roméo"/>
    <s v="DR-AU-D1"/>
    <s v="PALF"/>
    <x v="5"/>
    <s v="Congo"/>
    <m/>
    <m/>
    <m/>
  </r>
  <r>
    <x v="196"/>
    <s v="Taxi agence Océan du Nord d'Impfondo-Hôtel Mithé"/>
    <s v="Transport "/>
    <s v="Legal"/>
    <n v="500"/>
    <n v="0.89135775178182408"/>
    <n v="560.94200000000001"/>
    <s v="Donald-Roméo"/>
    <s v="DR-AU-D1"/>
    <s v="PALF"/>
    <x v="5"/>
    <s v="Congo"/>
    <m/>
    <m/>
    <m/>
  </r>
  <r>
    <x v="196"/>
    <s v="Evariste-CONGO Frais de l'hôtel du 15 au 16/08/2025 à Enyelé ( 01 nuitée) "/>
    <s v="Travel Subsistence"/>
    <s v="Media"/>
    <n v="15000"/>
    <n v="26.740732553454723"/>
    <n v="560.94200000000001"/>
    <s v="Evariste"/>
    <s v="EV-AU-R4"/>
    <s v="PALF"/>
    <x v="5"/>
    <s v="Congo"/>
    <m/>
    <m/>
    <m/>
  </r>
  <r>
    <x v="196"/>
    <s v="Taxi moto, Agence Océan du Nord d'Impfondo-Hôtel Mité 2"/>
    <s v="Transport"/>
    <s v="Media"/>
    <n v="500"/>
    <n v="0.89135775178182408"/>
    <n v="560.94200000000001"/>
    <s v="Evariste"/>
    <s v="EV-AU-D1"/>
    <s v="PALF"/>
    <x v="5"/>
    <s v="Congo"/>
    <m/>
    <m/>
    <m/>
  </r>
  <r>
    <x v="197"/>
    <s v="Maison-Bureau"/>
    <s v="Transport"/>
    <s v="Management"/>
    <n v="1000"/>
    <n v="1.7827155035636482"/>
    <n v="560.94200000000001"/>
    <s v="DOVI"/>
    <s v="DH-AU-D1"/>
    <s v="PALF"/>
    <x v="5"/>
    <s v="Congo"/>
    <m/>
    <m/>
    <m/>
  </r>
  <r>
    <x v="197"/>
    <s v="Bureau-Cabinet d'huissier"/>
    <s v="Transport"/>
    <s v="Management"/>
    <n v="1000"/>
    <n v="1.7827155035636482"/>
    <n v="560.94200000000001"/>
    <s v="DOVI"/>
    <s v="DH-AU-D1"/>
    <s v="PALF"/>
    <x v="5"/>
    <s v="Congo"/>
    <m/>
    <m/>
    <m/>
  </r>
  <r>
    <x v="197"/>
    <s v="Cabinet d'huissier - Bureau"/>
    <s v="Transport"/>
    <s v="Management"/>
    <n v="1000"/>
    <n v="1.7827155035636482"/>
    <n v="560.94200000000001"/>
    <s v="DOVI"/>
    <s v="DH-AU-D1"/>
    <s v="PALF"/>
    <x v="5"/>
    <s v="Congo"/>
    <m/>
    <m/>
    <m/>
  </r>
  <r>
    <x v="197"/>
    <s v="Bureau-Maison"/>
    <s v="Transport"/>
    <s v="Management"/>
    <n v="1000"/>
    <n v="1.7827155035636482"/>
    <n v="560.94200000000001"/>
    <s v="DOVI"/>
    <s v="DH-AU-D1"/>
    <s v="PALF"/>
    <x v="5"/>
    <s v="Congo"/>
    <m/>
    <m/>
    <m/>
  </r>
  <r>
    <x v="197"/>
    <s v="Credit telephonique MTN/PALF/ du 18 au 31 Aout 2025/DOVI"/>
    <s v="Telephone"/>
    <s v="Management"/>
    <n v="15000"/>
    <n v="26.740732553454723"/>
    <n v="560.94200000000001"/>
    <s v="DOVI"/>
    <s v="DH-AU-R2"/>
    <s v="PALF"/>
    <x v="5"/>
    <s v="Congo"/>
    <m/>
    <m/>
    <m/>
  </r>
  <r>
    <x v="197"/>
    <s v="Reglement assurance retraite Coordinateur periode Janvier-Février- Mars- Avril-Mai - Juin 2025"/>
    <s v="Personnel"/>
    <s v="Management"/>
    <n v="300000"/>
    <n v="534.81465106909445"/>
    <n v="560.94200000000001"/>
    <s v="DOVI"/>
    <s v="CA-AU-R3"/>
    <s v="PALF"/>
    <x v="5"/>
    <s v="Congo"/>
    <m/>
    <m/>
    <m/>
  </r>
  <r>
    <x v="197"/>
    <s v="Credit telephonique MTN PALF/ du 18 au 31 Août 2025"/>
    <s v="Telephone"/>
    <s v="Legal"/>
    <n v="5000"/>
    <n v="8.9135775178182417"/>
    <n v="560.94200000000001"/>
    <s v="Crépin"/>
    <s v="CR-AU-R1-5"/>
    <s v="PALF"/>
    <x v="5"/>
    <s v="Congo"/>
    <m/>
    <m/>
    <m/>
  </r>
  <r>
    <x v="197"/>
    <s v="Credit telephonique Airtel PALF/ du 18 au 31 Août 2025"/>
    <s v="Telephone"/>
    <s v="Legal"/>
    <n v="5000"/>
    <n v="8.9135775178182417"/>
    <n v="560.94200000000001"/>
    <s v="Crépin"/>
    <s v="CR-AU-R1-6"/>
    <s v="PALF"/>
    <x v="5"/>
    <s v="Congo"/>
    <m/>
    <m/>
    <m/>
  </r>
  <r>
    <x v="197"/>
    <s v="Taxi:  Bureau-Banque BCI/ Aprro caisse"/>
    <s v="Transport"/>
    <s v="Office"/>
    <n v="1000"/>
    <n v="1.7827155035636482"/>
    <n v="560.94200000000001"/>
    <s v="Parfaite"/>
    <s v="P-AU-D1"/>
    <s v="PALF"/>
    <x v="5"/>
    <s v="Congo"/>
    <m/>
    <m/>
    <m/>
  </r>
  <r>
    <x v="197"/>
    <s v="Taxi:  Banque- Direction MTN/Achat credit de l'equipe PALF"/>
    <s v="Transport"/>
    <s v="Office"/>
    <n v="1000"/>
    <n v="1.7827155035636482"/>
    <n v="560.94200000000001"/>
    <s v="Parfaite"/>
    <s v="P-AU-D1"/>
    <s v="PALF"/>
    <x v="5"/>
    <s v="Congo"/>
    <m/>
    <m/>
    <m/>
  </r>
  <r>
    <x v="197"/>
    <s v="Taxi:   Direction MTN- Bureau/Achat credit de l'equipe PALF"/>
    <s v="Transport"/>
    <s v="Office"/>
    <n v="1000"/>
    <n v="1.7827155035636482"/>
    <n v="560.94200000000001"/>
    <s v="Parfaite"/>
    <s v="P-AU-D1"/>
    <s v="PALF"/>
    <x v="5"/>
    <s v="Congo"/>
    <m/>
    <m/>
    <m/>
  </r>
  <r>
    <x v="197"/>
    <s v="Credit teléphonique MTN PALF/ du 18 au 31 Août 2025/ Parfaite"/>
    <s v="Telephone"/>
    <s v="Management"/>
    <n v="10000"/>
    <n v="17.827155035636483"/>
    <n v="560.94200000000001"/>
    <s v="Parfaite"/>
    <s v="P-AU-R1"/>
    <s v="PALF"/>
    <x v="5"/>
    <s v="Congo"/>
    <m/>
    <m/>
    <m/>
  </r>
  <r>
    <x v="197"/>
    <s v="Taxi moto hotel-mougougui,pour repérage"/>
    <s v="Transport"/>
    <s v="Investigations"/>
    <n v="500"/>
    <n v="0.89135775178182408"/>
    <n v="560.94200000000001"/>
    <s v="P29"/>
    <s v="P29-AU-D1"/>
    <s v="PALF"/>
    <x v="5"/>
    <s v="Congo"/>
    <m/>
    <m/>
    <m/>
  </r>
  <r>
    <x v="197"/>
    <s v="Taxi moto mougougui-toligana,pour repérage"/>
    <s v="Transport"/>
    <s v="Investigations"/>
    <n v="500"/>
    <n v="0.89135775178182408"/>
    <n v="560.94200000000001"/>
    <s v="P29"/>
    <s v="P29-AU-D1"/>
    <s v="PALF"/>
    <x v="5"/>
    <s v="Congo"/>
    <m/>
    <m/>
    <m/>
  </r>
  <r>
    <x v="197"/>
    <s v="Taxi tricycle toligana-bakadi,pour repérage"/>
    <s v="Transport"/>
    <s v="Investigations"/>
    <n v="1000"/>
    <n v="1.7827155035636482"/>
    <n v="560.94200000000001"/>
    <s v="P29"/>
    <s v="P29-AU-D1"/>
    <s v="PALF"/>
    <x v="5"/>
    <s v="Congo"/>
    <m/>
    <m/>
    <m/>
  </r>
  <r>
    <x v="197"/>
    <s v="Taxi tricycle bakadi-cf,retrait des fonds"/>
    <s v="Transport"/>
    <s v="Investigations"/>
    <n v="1000"/>
    <n v="1.7827155035636482"/>
    <n v="560.94200000000001"/>
    <s v="P29"/>
    <s v="P29-AU-D1"/>
    <s v="PALF"/>
    <x v="5"/>
    <s v="Congo"/>
    <m/>
    <m/>
    <m/>
  </r>
  <r>
    <x v="197"/>
    <s v="Taxi tricycle cf-angola,pour réperage"/>
    <s v="Transport"/>
    <s v="Investigations"/>
    <n v="1000"/>
    <n v="1.7827155035636482"/>
    <n v="560.94200000000001"/>
    <s v="P29"/>
    <s v="P29-AU-D1"/>
    <s v="PALF"/>
    <x v="5"/>
    <s v="Congo"/>
    <m/>
    <m/>
    <m/>
  </r>
  <r>
    <x v="197"/>
    <s v="Taxi moto angola-tossagana,pour réperage"/>
    <s v="Transport"/>
    <s v="Investigations"/>
    <n v="500"/>
    <n v="0.89135775178182408"/>
    <n v="560.94200000000001"/>
    <s v="P29"/>
    <s v="P29-AU-D1"/>
    <s v="PALF"/>
    <x v="5"/>
    <s v="Congo"/>
    <m/>
    <m/>
    <m/>
  </r>
  <r>
    <x v="197"/>
    <s v="Taxi tricycle tossagana-hotel"/>
    <s v="Transport"/>
    <s v="Investigations"/>
    <n v="1000"/>
    <n v="1.7827155035636482"/>
    <n v="560.94200000000001"/>
    <s v="P29"/>
    <s v="P29-AU-D1"/>
    <s v="PALF"/>
    <x v="5"/>
    <s v="Congo"/>
    <m/>
    <m/>
    <m/>
  </r>
  <r>
    <x v="197"/>
    <s v="Credit telephonique MTN PALF/ du 18 au 31 Août 2025/ Investigation/P29"/>
    <s v="Telephone"/>
    <s v="Investigations"/>
    <n v="10000"/>
    <n v="17.827155035636483"/>
    <n v="560.94200000000001"/>
    <s v="P29"/>
    <s v="P29-AU-R6"/>
    <s v="PALF"/>
    <x v="5"/>
    <s v="Congo"/>
    <m/>
    <m/>
    <m/>
  </r>
  <r>
    <x v="197"/>
    <s v="Credit telephonique Airtel PALF/ du18 au 31 Août 2025/ Investigation/P29"/>
    <s v="Telephone"/>
    <s v="Investigations"/>
    <n v="5000"/>
    <n v="8.9135775178182417"/>
    <n v="560.94200000000001"/>
    <s v="P29"/>
    <s v="P29-AU-R7"/>
    <s v="PALF"/>
    <x v="5"/>
    <s v="Congo"/>
    <m/>
    <m/>
    <m/>
  </r>
  <r>
    <x v="197"/>
    <s v="Taxi moto : hotel KB fils -centre ville ( reperage lieu OP)"/>
    <s v="Transport"/>
    <s v="Investigations"/>
    <n v="500"/>
    <n v="0.89135775178182408"/>
    <n v="560.94200000000001"/>
    <s v="T73"/>
    <s v="T73-AU-D1"/>
    <s v="PALF"/>
    <x v="5"/>
    <s v="Congo"/>
    <m/>
    <m/>
    <m/>
  </r>
  <r>
    <x v="197"/>
    <s v="Taxi moto : centre ville - quartier angola ( reperage lieu OP)"/>
    <s v="Transport"/>
    <s v="Investigations"/>
    <n v="500"/>
    <n v="0.89135775178182408"/>
    <n v="560.94200000000001"/>
    <s v="T73"/>
    <s v="T73-AU-D1"/>
    <s v="PALF"/>
    <x v="5"/>
    <s v="Congo"/>
    <m/>
    <m/>
    <m/>
  </r>
  <r>
    <x v="197"/>
    <s v="Taxi moto : quartier angola - charden farell ( reperage lieu OP)"/>
    <s v="Transport"/>
    <s v="Investigations"/>
    <n v="500"/>
    <n v="0.89135775178182408"/>
    <n v="560.94200000000001"/>
    <s v="T73"/>
    <s v="T73-AU-D1"/>
    <s v="PALF"/>
    <x v="5"/>
    <s v="Congo"/>
    <m/>
    <m/>
    <m/>
  </r>
  <r>
    <x v="197"/>
    <s v="Taxi moto : charden farell - hotel KB fils( reperage lieu OP)"/>
    <s v="Transport"/>
    <s v="Investigations"/>
    <n v="500"/>
    <n v="0.89135775178182408"/>
    <n v="560.94200000000001"/>
    <s v="T73"/>
    <s v="T73-AU-D1"/>
    <s v="PALF"/>
    <x v="5"/>
    <s v="Congo"/>
    <m/>
    <m/>
    <m/>
  </r>
  <r>
    <x v="197"/>
    <s v="Credit telephonique MTN PALF/ du 14 au 17 Août 2025/ Investigation/T73"/>
    <s v="Telephone"/>
    <s v="Investigations"/>
    <n v="15000"/>
    <n v="26.740732553454723"/>
    <n v="560.94200000000001"/>
    <s v="T73"/>
    <s v="T73-AU-R6"/>
    <s v="PALF"/>
    <x v="5"/>
    <s v="Congo"/>
    <m/>
    <m/>
    <m/>
  </r>
  <r>
    <x v="197"/>
    <s v="Taxi : Bureau - Agence Ocean du nord/ Achat billet "/>
    <s v="Transport"/>
    <s v="Investigations"/>
    <n v="1000"/>
    <n v="1.7827155035636482"/>
    <n v="560.94200000000001"/>
    <s v="IT87"/>
    <s v="IT87-AU-D1"/>
    <s v="PALF"/>
    <x v="5"/>
    <s v="Congo"/>
    <m/>
    <m/>
    <m/>
  </r>
  <r>
    <x v="197"/>
    <s v="Taxi : Agence Ocean du nord - Agence trans bony/ Achat billet"/>
    <s v="Transport"/>
    <s v="Investigations"/>
    <n v="1000"/>
    <n v="1.7827155035636482"/>
    <n v="560.94200000000001"/>
    <s v="IT87"/>
    <s v="IT87-AU-D1"/>
    <s v="PALF"/>
    <x v="5"/>
    <s v="Congo"/>
    <m/>
    <m/>
    <m/>
  </r>
  <r>
    <x v="197"/>
    <s v="Achat billet Brazzaville - Ngo/ IT87"/>
    <s v="Transport"/>
    <s v="Investigations"/>
    <n v="5000"/>
    <n v="8.9135775178182417"/>
    <n v="560.94200000000001"/>
    <s v="IT87"/>
    <s v="IT87-AU-R2"/>
    <s v="PALF"/>
    <x v="5"/>
    <s v="Congo"/>
    <m/>
    <m/>
    <m/>
  </r>
  <r>
    <x v="197"/>
    <s v="Taxi : Agence trans bony - Domicile/ Retour d'achat billet"/>
    <s v="Transport"/>
    <s v="Investigations"/>
    <n v="2000"/>
    <n v="3.5654310071272963"/>
    <n v="560.94200000000001"/>
    <s v="IT87"/>
    <s v="IT87-AU-D1"/>
    <s v="PALF"/>
    <x v="5"/>
    <s v="Congo"/>
    <m/>
    <m/>
    <m/>
  </r>
  <r>
    <x v="197"/>
    <s v="Credit telephonique MTN PALF/du 18au 31 Aout 2025/IT87"/>
    <s v="Telephone"/>
    <s v="Investigations"/>
    <n v="15000"/>
    <n v="26.740732553454723"/>
    <n v="560.94200000000001"/>
    <s v="IT87"/>
    <s v="IT87-AU-R3"/>
    <s v="PALF"/>
    <x v="5"/>
    <s v="Congo"/>
    <m/>
    <m/>
    <m/>
  </r>
  <r>
    <x v="197"/>
    <s v="G12-CONGO Achat billet Brazzaville - Pointe Noire"/>
    <s v="Transport"/>
    <s v="Investigations"/>
    <n v="12000"/>
    <n v="21.392586042763778"/>
    <n v="560.94200000000001"/>
    <s v="G12"/>
    <s v="G12-AU-R2"/>
    <s v="PALF"/>
    <x v="5"/>
    <s v="Congo"/>
    <m/>
    <m/>
    <m/>
  </r>
  <r>
    <x v="197"/>
    <s v="Credit telephonique MTN PALF/du 18 au 31 Aout 2025/G12"/>
    <s v="Telephone"/>
    <s v="Investigations"/>
    <n v="5000"/>
    <n v="8.9135775178182417"/>
    <n v="560.94200000000001"/>
    <s v="G12"/>
    <s v="G12-AU-R3"/>
    <s v="PALF"/>
    <x v="5"/>
    <s v="Congo"/>
    <m/>
    <m/>
    <m/>
  </r>
  <r>
    <x v="197"/>
    <s v="Credit telephonique Airtel PALF/du 18 au 31 Aout 2025/G12"/>
    <s v="Telephone"/>
    <s v="Investigations"/>
    <n v="10000"/>
    <n v="17.827155035636483"/>
    <n v="560.94200000000001"/>
    <s v="G12"/>
    <s v="G12-AU-R4"/>
    <s v="PALF"/>
    <x v="5"/>
    <s v="Congo"/>
    <m/>
    <m/>
    <m/>
  </r>
  <r>
    <x v="197"/>
    <s v="Taxi: Bureau- Agence Charden Farell/ Transfert d'argent"/>
    <s v="Transport"/>
    <s v="Legal"/>
    <n v="500"/>
    <n v="0.89135775178182408"/>
    <n v="560.94200000000001"/>
    <s v="Abraham"/>
    <s v="AB-AU-D1"/>
    <s v="PALF"/>
    <x v="5"/>
    <s v="Congo"/>
    <m/>
    <m/>
    <m/>
  </r>
  <r>
    <x v="197"/>
    <s v="Taxi: Agence Charden Farell-Bureau/Transfert d'argent"/>
    <s v="Transport"/>
    <s v="Legal"/>
    <n v="500"/>
    <n v="0.89135775178182408"/>
    <n v="560.94200000000001"/>
    <s v="Abraham"/>
    <s v="AB-AU-D1"/>
    <s v="PALF"/>
    <x v="5"/>
    <s v="Congo"/>
    <m/>
    <m/>
    <m/>
  </r>
  <r>
    <x v="197"/>
    <s v="Frais de tansfert d'argent à crépin, Donald-Roméo, Evariste, P29 et T73"/>
    <s v="Transfert fees"/>
    <s v="Office"/>
    <n v="32940"/>
    <n v="58.722648687386574"/>
    <n v="560.94200000000001"/>
    <s v="Abraham"/>
    <s v="CA-AU-R2"/>
    <s v="PALF"/>
    <x v="5"/>
    <s v="Congo"/>
    <m/>
    <m/>
    <m/>
  </r>
  <r>
    <x v="197"/>
    <s v="Credit telephonique MTN PALF/ du 18 au 31 Août 2025/Abraham"/>
    <s v="Telephone"/>
    <s v="Legal"/>
    <n v="5000"/>
    <n v="8.9135775178182417"/>
    <n v="560.94200000000001"/>
    <s v="Abraham"/>
    <s v="AB-AU-R1"/>
    <s v="PALF"/>
    <x v="5"/>
    <s v="Congo"/>
    <m/>
    <m/>
    <m/>
  </r>
  <r>
    <x v="197"/>
    <s v="Credit telephonique Airtel PALF/ du 18 au 31 Août 2025/Abraham"/>
    <s v="Telephone"/>
    <s v="Legal"/>
    <n v="5000"/>
    <n v="8.9135775178182417"/>
    <n v="560.94200000000001"/>
    <s v="Abraham"/>
    <s v="AB-AU-R2"/>
    <s v="PALF"/>
    <x v="5"/>
    <s v="Congo"/>
    <m/>
    <m/>
    <m/>
  </r>
  <r>
    <x v="197"/>
    <s v="Taxi:Bureau-Agence Trans bony de la frontiere pour la réservation du billet"/>
    <s v="Transport"/>
    <s v="Legal"/>
    <n v="1000"/>
    <n v="1.7827155035636482"/>
    <n v="560.94200000000001"/>
    <s v="Roderlin"/>
    <s v="RO-AU-D1"/>
    <s v="PALF"/>
    <x v="5"/>
    <s v="Congo"/>
    <m/>
    <m/>
    <m/>
  </r>
  <r>
    <x v="197"/>
    <s v=" Achat billet Brazzaville-Loudima/ Roderlin"/>
    <s v="Transport"/>
    <s v="Legal"/>
    <n v="8000"/>
    <n v="14.261724028509185"/>
    <n v="560.94200000000001"/>
    <s v="Roderlin"/>
    <s v="RO-AU-R1"/>
    <s v="PALF"/>
    <x v="5"/>
    <s v="Congo"/>
    <m/>
    <m/>
    <m/>
  </r>
  <r>
    <x v="197"/>
    <s v="Taxi:Agence trans bony de la frontiere-Bureau"/>
    <s v="Transport"/>
    <s v="Legal"/>
    <n v="1000"/>
    <n v="1.7827155035636482"/>
    <n v="560.94200000000001"/>
    <s v="Roderlin"/>
    <s v="RO-AU-D1"/>
    <s v="PALF"/>
    <x v="5"/>
    <s v="Congo"/>
    <m/>
    <m/>
    <m/>
  </r>
  <r>
    <x v="197"/>
    <s v="Credit telephonique MTN PALF/du 18 au 31 Août 2025/Roderlin"/>
    <s v="Telephone"/>
    <s v="Legal"/>
    <n v="10000"/>
    <n v="17.827155035636483"/>
    <n v="560.94200000000001"/>
    <s v="Roderlin"/>
    <s v="RO-AU-R2"/>
    <s v="PALF"/>
    <x v="5"/>
    <s v="Congo"/>
    <m/>
    <m/>
    <m/>
  </r>
  <r>
    <x v="197"/>
    <s v="Taxi Hôtel Mithé-Charden farell/ Retrait des fonds"/>
    <s v="Transport "/>
    <s v="Legal"/>
    <n v="500"/>
    <n v="0.89135775178182408"/>
    <n v="560.94200000000001"/>
    <s v="Donald-Roméo"/>
    <s v="DR-AU-D1"/>
    <s v="PALF"/>
    <x v="5"/>
    <s v="Congo"/>
    <m/>
    <m/>
    <m/>
  </r>
  <r>
    <x v="197"/>
    <s v="Taxi Charden farell-Hôtel Mithé"/>
    <s v="Transport "/>
    <s v="Legal"/>
    <n v="500"/>
    <n v="0.89135775178182408"/>
    <n v="560.94200000000001"/>
    <s v="Donald-Roméo"/>
    <s v="DR-AU-D1"/>
    <s v="PALF"/>
    <x v="5"/>
    <s v="Congo"/>
    <m/>
    <m/>
    <m/>
  </r>
  <r>
    <x v="197"/>
    <s v="Credit telephonique MTN PALF/du 18 au 31 Août 2025"/>
    <s v="Telephone"/>
    <s v="Legal"/>
    <n v="10000"/>
    <n v="17.827155035636483"/>
    <n v="560.94200000000001"/>
    <s v="Donald-Roméo"/>
    <s v="DR-AU-R5"/>
    <s v="PALF"/>
    <x v="5"/>
    <s v="Congo"/>
    <m/>
    <m/>
    <m/>
  </r>
  <r>
    <x v="197"/>
    <s v="Credit telephonique MTN PALF/du 18 au 31 Août 2025"/>
    <s v="Telephone"/>
    <s v="Media"/>
    <n v="10000"/>
    <n v="17.827155035636483"/>
    <n v="560.94200000000001"/>
    <s v="Evariste"/>
    <s v="EV-AU-R5"/>
    <s v="PALF"/>
    <x v="5"/>
    <s v="Congo"/>
    <m/>
    <m/>
    <m/>
  </r>
  <r>
    <x v="197"/>
    <s v="Credit telephonique MTN PALF/du 18 au 31 Août2025/Romain"/>
    <s v="Telephone"/>
    <s v="Legal"/>
    <n v="10000"/>
    <n v="17.827155035636483"/>
    <n v="560.94200000000001"/>
    <s v="Romain"/>
    <s v="RM-AU-R1"/>
    <s v="PALF"/>
    <x v="5"/>
    <s v="Congo"/>
    <m/>
    <m/>
    <m/>
  </r>
  <r>
    <x v="198"/>
    <s v="Maison-Bureau"/>
    <s v="Transport"/>
    <s v="Management"/>
    <n v="1000"/>
    <n v="1.7827155035636482"/>
    <n v="560.94200000000001"/>
    <s v="DOVI"/>
    <s v="DH-AU-D1"/>
    <s v="PALF"/>
    <x v="5"/>
    <s v="Congo"/>
    <m/>
    <m/>
    <m/>
  </r>
  <r>
    <x v="198"/>
    <s v="Bureau-Cabinet d'huissier"/>
    <s v="Transport"/>
    <s v="Management"/>
    <n v="1000"/>
    <n v="1.7827155035636482"/>
    <n v="560.94200000000001"/>
    <s v="DOVI"/>
    <s v="DH-AU-D1"/>
    <s v="PALF"/>
    <x v="5"/>
    <s v="Congo"/>
    <m/>
    <m/>
    <m/>
  </r>
  <r>
    <x v="198"/>
    <s v="Cabinet d'huissier - Bureau"/>
    <s v="Transport"/>
    <s v="Management"/>
    <n v="1000"/>
    <n v="1.7827155035636482"/>
    <n v="560.94200000000001"/>
    <s v="DOVI"/>
    <s v="DH-AU-D1"/>
    <s v="PALF"/>
    <x v="5"/>
    <s v="Congo"/>
    <m/>
    <m/>
    <m/>
  </r>
  <r>
    <x v="198"/>
    <s v="Bureau-Maison"/>
    <s v="Transport"/>
    <s v="Management"/>
    <n v="1000"/>
    <n v="1.7827155035636482"/>
    <n v="560.94200000000001"/>
    <s v="DOVI"/>
    <s v="DH-AU-D1"/>
    <s v="PALF"/>
    <x v="5"/>
    <s v="Congo"/>
    <m/>
    <m/>
    <m/>
  </r>
  <r>
    <x v="198"/>
    <s v="Taxi:  Bureau- Cabinet d'avocat/Depot  de notification de suspension contat Mervielle"/>
    <s v="Transport"/>
    <s v="Office"/>
    <n v="1000"/>
    <n v="1.7827155035636482"/>
    <n v="560.94200000000001"/>
    <s v="Parfaite"/>
    <s v="P-AU-D1"/>
    <s v="PALF"/>
    <x v="5"/>
    <s v="Congo"/>
    <m/>
    <m/>
    <m/>
  </r>
  <r>
    <x v="198"/>
    <s v="Taxi:  Cabinet d'Avocat - Banque/Paiement frais de notification contrat romain ACPE"/>
    <s v="Transport"/>
    <s v="Office"/>
    <n v="1000"/>
    <n v="1.7827155035636482"/>
    <n v="560.94200000000001"/>
    <s v="Parfaite"/>
    <s v="P-AU-D1"/>
    <s v="PALF"/>
    <x v="5"/>
    <s v="Congo"/>
    <m/>
    <m/>
    <m/>
  </r>
  <r>
    <x v="198"/>
    <s v="Taxi:  Banque-Bureau /Paiement frais de notification contrat romain ACPE "/>
    <s v="Transport"/>
    <s v="Office"/>
    <n v="1000"/>
    <n v="1.7827155035636482"/>
    <n v="560.94200000000001"/>
    <s v="Parfaite"/>
    <s v="P-AU-D1"/>
    <s v="PALF"/>
    <x v="5"/>
    <s v="Congo"/>
    <m/>
    <m/>
    <m/>
  </r>
  <r>
    <x v="198"/>
    <s v="Taxi: Bureau - Super Marché / Achat produit d'entretien  bureau PALF"/>
    <s v="Transport"/>
    <s v="Office"/>
    <n v="1000"/>
    <n v="1.7827155035636482"/>
    <n v="560.94200000000001"/>
    <s v="Parfaite"/>
    <s v="P-AU-D1"/>
    <s v="PALF"/>
    <x v="5"/>
    <s v="Congo"/>
    <m/>
    <m/>
    <m/>
  </r>
  <r>
    <x v="198"/>
    <s v="Taxi: Super Marché  - Bureau/ Achat produit d'entretien  bureau PALF"/>
    <s v="Transport"/>
    <s v="Office"/>
    <n v="1000"/>
    <n v="1.7827155035636482"/>
    <n v="560.94200000000001"/>
    <s v="Parfaite"/>
    <s v="P-AU-D1"/>
    <s v="PALF"/>
    <x v="5"/>
    <s v="Congo"/>
    <m/>
    <m/>
    <m/>
  </r>
  <r>
    <x v="198"/>
    <s v="Frais de notification contrat Romain"/>
    <s v="Personnel"/>
    <s v="Legal"/>
    <n v="10500"/>
    <n v="18.718512787418305"/>
    <n v="560.94200000000001"/>
    <s v="Parfaite"/>
    <s v="CA-AU-R4"/>
    <s v="PALF"/>
    <x v="5"/>
    <s v="Congo"/>
    <m/>
    <m/>
    <m/>
  </r>
  <r>
    <x v="198"/>
    <s v="Achat produit d'entretien laits /Bureau PALF"/>
    <s v="Office Materiels"/>
    <s v="Office"/>
    <n v="11000"/>
    <n v="19.609870539200131"/>
    <n v="560.94200000000001"/>
    <s v="Parfaite"/>
    <s v="CA-AU-R5"/>
    <s v="PALF"/>
    <x v="5"/>
    <s v="Congo"/>
    <m/>
    <m/>
    <m/>
  </r>
  <r>
    <x v="198"/>
    <s v="Achat produit d'entretien javel /Bureau PALF"/>
    <s v="Office Materiels"/>
    <s v="Office"/>
    <n v="5000"/>
    <n v="8.9135775178182417"/>
    <n v="560.94200000000001"/>
    <s v="Parfaite"/>
    <s v="CA-AU-R5"/>
    <s v="PALF"/>
    <x v="5"/>
    <s v="Congo"/>
    <m/>
    <m/>
    <m/>
  </r>
  <r>
    <x v="198"/>
    <s v="Achat produit d'entretienPapier toilette/Bureau PALF"/>
    <s v="Office Materiels"/>
    <s v="Office"/>
    <n v="11700"/>
    <n v="20.857771391694683"/>
    <n v="560.94200000000001"/>
    <s v="Parfaite"/>
    <s v="CA-AU-R5"/>
    <s v="PALF"/>
    <x v="5"/>
    <s v="Congo"/>
    <m/>
    <m/>
    <m/>
  </r>
  <r>
    <x v="198"/>
    <s v="Achat produit d'entretien Nettoyant menage /Bureau PALF"/>
    <s v="Office Materiels"/>
    <s v="Office"/>
    <n v="2500"/>
    <n v="4.4567887589091209"/>
    <n v="560.94200000000001"/>
    <s v="Parfaite"/>
    <s v="CA-AU-R5"/>
    <s v="PALF"/>
    <x v="5"/>
    <s v="Congo"/>
    <m/>
    <m/>
    <m/>
  </r>
  <r>
    <x v="198"/>
    <s v="Achat produit d'entretien bloc WC /Bureau PALF"/>
    <s v="Office Materiels"/>
    <s v="Office"/>
    <n v="3500"/>
    <n v="6.239504262472769"/>
    <n v="560.94200000000001"/>
    <s v="Parfaite"/>
    <s v="CA-AU-R5"/>
    <s v="PALF"/>
    <x v="5"/>
    <s v="Congo"/>
    <m/>
    <m/>
    <m/>
  </r>
  <r>
    <x v="198"/>
    <s v="Achat produit d'entretienBoite Matinal /Bureau PALF"/>
    <s v="Office Materiels"/>
    <s v="Office"/>
    <n v="2750"/>
    <n v="4.9024676348000327"/>
    <n v="560.94200000000001"/>
    <s v="Parfaite"/>
    <s v="CA-AU-R5"/>
    <s v="PALF"/>
    <x v="5"/>
    <s v="Congo"/>
    <m/>
    <m/>
    <m/>
  </r>
  <r>
    <x v="198"/>
    <s v="Achat produit d'entretien paquet Lipton/Bureau PALF"/>
    <s v="Office Materiels"/>
    <s v="Office"/>
    <n v="3500"/>
    <n v="6.239504262472769"/>
    <n v="560.94200000000001"/>
    <s v="Parfaite"/>
    <s v="CA-AU-R5"/>
    <s v="PALF"/>
    <x v="5"/>
    <s v="Congo"/>
    <m/>
    <m/>
    <m/>
  </r>
  <r>
    <x v="198"/>
    <s v="Achat produit d'entretien Liquide vaiselle /Bureau PALF"/>
    <s v="Office Materiels"/>
    <s v="Office"/>
    <n v="1500"/>
    <n v="2.6740732553454722"/>
    <n v="560.94200000000001"/>
    <s v="Parfaite"/>
    <s v="CA-AU-R5"/>
    <s v="PALF"/>
    <x v="5"/>
    <s v="Congo"/>
    <m/>
    <m/>
    <m/>
  </r>
  <r>
    <x v="198"/>
    <s v="Achat produit d'entretien Savon/Bureau PALF"/>
    <s v="Office Materiels"/>
    <s v="Office"/>
    <n v="1900"/>
    <n v="3.3871594567709318"/>
    <n v="560.94200000000001"/>
    <s v="Parfaite"/>
    <s v="CA-AU-R5"/>
    <s v="PALF"/>
    <x v="5"/>
    <s v="Congo"/>
    <m/>
    <m/>
    <m/>
  </r>
  <r>
    <x v="198"/>
    <s v="Achat produit d'entretien proclin detergent/Bureau PALF"/>
    <s v="Office Materiels"/>
    <s v="Office"/>
    <n v="3700"/>
    <n v="6.596047363185499"/>
    <n v="560.94200000000001"/>
    <s v="Parfaite"/>
    <s v="CA-AU-R5"/>
    <s v="PALF"/>
    <x v="5"/>
    <s v="Congo"/>
    <m/>
    <m/>
    <m/>
  </r>
  <r>
    <x v="198"/>
    <s v="Achat produit d'entretien Sucre /Bureau PALF"/>
    <s v="Office Materiels"/>
    <s v="Office"/>
    <n v="3500"/>
    <n v="6.239504262472769"/>
    <n v="560.94200000000001"/>
    <s v="Parfaite"/>
    <s v="CA-AU-R5"/>
    <s v="PALF"/>
    <x v="5"/>
    <s v="Congo"/>
    <m/>
    <m/>
    <m/>
  </r>
  <r>
    <x v="198"/>
    <s v="Achat produit d'entretien Sac poubelle /Bureau PALF"/>
    <s v="Office Materiels"/>
    <s v="Office"/>
    <n v="2000"/>
    <n v="3.5654310071272963"/>
    <n v="560.94200000000001"/>
    <s v="Parfaite"/>
    <s v="CA-AU-R5"/>
    <s v="PALF"/>
    <x v="5"/>
    <s v="Congo"/>
    <m/>
    <m/>
    <m/>
  </r>
  <r>
    <x v="198"/>
    <s v="Taxi tricycle hotel-angola,pour réperage"/>
    <s v="Transport"/>
    <s v="Investigations"/>
    <n v="1000"/>
    <n v="1.7827155035636482"/>
    <n v="560.94200000000001"/>
    <s v="P29"/>
    <s v="P29-AU-D1"/>
    <s v="PALF"/>
    <x v="5"/>
    <s v="Congo"/>
    <m/>
    <m/>
    <m/>
  </r>
  <r>
    <x v="198"/>
    <s v="Taxi tricycle angola-bakadi,pour reperage"/>
    <s v="Transport"/>
    <s v="Investigations"/>
    <n v="1000"/>
    <n v="1.7827155035636482"/>
    <n v="560.94200000000001"/>
    <s v="P29"/>
    <s v="P29-AU-D1"/>
    <s v="PALF"/>
    <x v="5"/>
    <s v="Congo"/>
    <m/>
    <m/>
    <m/>
  </r>
  <r>
    <x v="198"/>
    <s v="Taxi moto bakadi-tossagana,pour reperage"/>
    <s v="Transport"/>
    <s v="Investigations"/>
    <n v="500"/>
    <n v="0.89135775178182408"/>
    <n v="560.94200000000001"/>
    <s v="P29"/>
    <s v="P29-AU-D1"/>
    <s v="PALF"/>
    <x v="5"/>
    <s v="Congo"/>
    <m/>
    <m/>
    <m/>
  </r>
  <r>
    <x v="198"/>
    <s v="Taxi tricycle tossagana-mougougui,pour reperage"/>
    <s v="Transport"/>
    <s v="Investigations"/>
    <n v="1000"/>
    <n v="1.7827155035636482"/>
    <n v="560.94200000000001"/>
    <s v="P29"/>
    <s v="P29-AU-D1"/>
    <s v="PALF"/>
    <x v="5"/>
    <s v="Congo"/>
    <m/>
    <m/>
    <m/>
  </r>
  <r>
    <x v="198"/>
    <s v="Taxi tricycle mougougui-aeroport,pour reperage"/>
    <s v="Transport"/>
    <s v="Investigations"/>
    <n v="1000"/>
    <n v="1.7827155035636482"/>
    <n v="560.94200000000001"/>
    <s v="P29"/>
    <s v="P29-AU-D1"/>
    <s v="PALF"/>
    <x v="5"/>
    <s v="Congo"/>
    <m/>
    <m/>
    <m/>
  </r>
  <r>
    <x v="198"/>
    <s v="Taxi moto aeroport-hotel"/>
    <s v="Transport"/>
    <s v="Investigations"/>
    <n v="500"/>
    <n v="0.89135775178182408"/>
    <n v="560.94200000000001"/>
    <s v="P29"/>
    <s v="P29-AU-D1"/>
    <s v="PALF"/>
    <x v="5"/>
    <s v="Congo"/>
    <m/>
    <m/>
    <m/>
  </r>
  <r>
    <x v="198"/>
    <s v="Taxi moto : hotel - parking (départ pour dangou)"/>
    <s v="Transport"/>
    <s v="Investigations"/>
    <n v="500"/>
    <n v="0.89135775178182408"/>
    <n v="560.94200000000001"/>
    <s v="T73"/>
    <s v="T73-AU-D1"/>
    <s v="PALF"/>
    <x v="5"/>
    <s v="Congo"/>
    <m/>
    <m/>
    <m/>
  </r>
  <r>
    <x v="198"/>
    <s v="Achat billet  Impfondo - Dangou/T73"/>
    <s v="Transport"/>
    <s v="Investigations"/>
    <n v="10000"/>
    <n v="17.827155035636483"/>
    <n v="560.94200000000001"/>
    <s v="T73"/>
    <s v="T73-AU-R7"/>
    <s v="PALF"/>
    <x v="5"/>
    <s v="Congo"/>
    <m/>
    <m/>
    <m/>
  </r>
  <r>
    <x v="198"/>
    <s v="Taxi moto : parking - domicile ( cible)"/>
    <s v="Transport"/>
    <s v="Investigations"/>
    <n v="500"/>
    <n v="0.89135775178182408"/>
    <n v="560.94200000000001"/>
    <s v="T73"/>
    <s v="T73-AU-D1"/>
    <s v="PALF"/>
    <x v="5"/>
    <s v="Congo"/>
    <m/>
    <m/>
    <m/>
  </r>
  <r>
    <x v="198"/>
    <s v="Taxi moto : domicile ( cible) - restaurant"/>
    <s v="Transport"/>
    <s v="Investigations"/>
    <n v="500"/>
    <n v="0.89135775178182408"/>
    <n v="560.94200000000001"/>
    <s v="T73"/>
    <s v="T73-AU-D1"/>
    <s v="PALF"/>
    <x v="5"/>
    <s v="Congo"/>
    <m/>
    <m/>
    <m/>
  </r>
  <r>
    <x v="198"/>
    <s v="Taxi moto : restaurant - parking"/>
    <s v="Transport"/>
    <s v="Investigations"/>
    <n v="500"/>
    <n v="0.89135775178182408"/>
    <n v="560.94200000000001"/>
    <s v="T73"/>
    <s v="T73-AU-D1"/>
    <s v="PALF"/>
    <x v="5"/>
    <s v="Congo"/>
    <m/>
    <m/>
    <m/>
  </r>
  <r>
    <x v="198"/>
    <s v="Achat billet  Dangou - Impfondo/T73"/>
    <s v="Transport"/>
    <s v="Investigations"/>
    <n v="10000"/>
    <n v="17.827155035636483"/>
    <n v="560.94200000000001"/>
    <s v="T73"/>
    <s v="T73-AU-R8"/>
    <s v="PALF"/>
    <x v="5"/>
    <s v="Congo"/>
    <m/>
    <m/>
    <m/>
  </r>
  <r>
    <x v="198"/>
    <s v="Taxi moto : parking - hotel KB fils"/>
    <s v="Transport"/>
    <s v="Investigations"/>
    <n v="500"/>
    <n v="0.89135775178182408"/>
    <n v="560.94200000000001"/>
    <s v="T73"/>
    <s v="T73-AU-D1"/>
    <s v="PALF"/>
    <x v="5"/>
    <s v="Congo"/>
    <m/>
    <m/>
    <m/>
  </r>
  <r>
    <x v="198"/>
    <s v="IT87-CONGO Ration du 19 au 24/08/2025 à Djambala, Ngo, Inoni"/>
    <s v="Travel Subsistence"/>
    <s v="Investigations"/>
    <n v="50000"/>
    <n v="89.135775178182413"/>
    <n v="560.94200000000001"/>
    <s v="IT87"/>
    <s v="IT87-AU-D2"/>
    <s v="PALF"/>
    <x v="5"/>
    <s v="Congo"/>
    <m/>
    <m/>
    <m/>
  </r>
  <r>
    <x v="198"/>
    <s v="Taxi : Domicile - Agence Trans bony/ Départ de Brazzaville pour Djambala par Ngo"/>
    <s v="Transport"/>
    <s v="Investigations"/>
    <n v="2000"/>
    <n v="3.5654310071272963"/>
    <n v="560.94200000000001"/>
    <s v="IT87"/>
    <s v="IT87-AU-D1"/>
    <s v="PALF"/>
    <x v="5"/>
    <s v="Congo"/>
    <m/>
    <m/>
    <m/>
  </r>
  <r>
    <x v="198"/>
    <s v="Taxi : Agence trans bony Ngo - Parking/ Arrivé à Ngo"/>
    <s v="Transport"/>
    <s v="Investigations"/>
    <n v="500"/>
    <n v="0.89135775178182408"/>
    <n v="560.94200000000001"/>
    <s v="IT87"/>
    <s v="IT87-AU-D1"/>
    <s v="PALF"/>
    <x v="5"/>
    <s v="Congo"/>
    <m/>
    <m/>
    <m/>
  </r>
  <r>
    <x v="198"/>
    <s v="Achat billet Ngo - Djambala/ IT87"/>
    <s v="Transport"/>
    <s v="Investigations"/>
    <n v="4000"/>
    <n v="7.1308620142545927"/>
    <n v="560.94200000000001"/>
    <s v="IT87"/>
    <s v="IT87-AU-R4"/>
    <s v="PALF"/>
    <x v="5"/>
    <s v="Congo"/>
    <m/>
    <m/>
    <m/>
  </r>
  <r>
    <x v="198"/>
    <s v="Taxi : Parking - Hôtel/ Arrivé à Djambala"/>
    <s v="Transport"/>
    <s v="Investigations"/>
    <n v="500"/>
    <n v="0.89135775178182408"/>
    <n v="560.94200000000001"/>
    <s v="IT87"/>
    <s v="IT87-AU-D1"/>
    <s v="PALF"/>
    <x v="5"/>
    <s v="Congo"/>
    <m/>
    <m/>
    <m/>
  </r>
  <r>
    <x v="198"/>
    <s v="G12-CONGO Ration du 19 au 23/08/2025 à Pointe Noire, Nzassi et Hinda"/>
    <s v="Travel Subsistence"/>
    <s v="Investigations"/>
    <n v="50000"/>
    <n v="89.135775178182413"/>
    <n v="560.94200000000001"/>
    <s v="G12"/>
    <s v="G12-AU-D2"/>
    <s v="PALF"/>
    <x v="5"/>
    <s v="Congo"/>
    <m/>
    <m/>
    <m/>
  </r>
  <r>
    <x v="198"/>
    <s v="Taxi: Domicile- agence"/>
    <s v="Transport"/>
    <s v="Investigations"/>
    <n v="1000"/>
    <n v="1.7827155035636482"/>
    <n v="560.94200000000001"/>
    <s v="G12"/>
    <s v="G12-AU-D1"/>
    <s v="PALF"/>
    <x v="5"/>
    <s v="Congo"/>
    <m/>
    <m/>
    <m/>
  </r>
  <r>
    <x v="198"/>
    <s v="Taxi: Agence - hotel"/>
    <s v="Transport"/>
    <s v="Investigations"/>
    <n v="1000"/>
    <n v="1.7827155035636482"/>
    <n v="560.94200000000001"/>
    <s v="G12"/>
    <s v="G12-AU-D1"/>
    <s v="PALF"/>
    <x v="5"/>
    <s v="Congo"/>
    <m/>
    <m/>
    <m/>
  </r>
  <r>
    <x v="198"/>
    <s v="Taxi:Domicile-Agence Trans bony de kintélé"/>
    <s v="Transport"/>
    <s v="Legal"/>
    <n v="1000"/>
    <n v="1.7827155035636482"/>
    <n v="560.94200000000001"/>
    <s v="Roderlin"/>
    <s v="RO-AU-D1"/>
    <s v="PALF"/>
    <x v="5"/>
    <s v="Congo"/>
    <m/>
    <m/>
    <m/>
  </r>
  <r>
    <x v="198"/>
    <s v=" Achat billet Loudima-Sibiti/ Roderlin"/>
    <s v="Transport"/>
    <s v="Legal"/>
    <n v="4000"/>
    <n v="7.1308620142545927"/>
    <n v="560.94200000000001"/>
    <s v="Roderlin"/>
    <s v="RO-AU-R3"/>
    <s v="PALF"/>
    <x v="5"/>
    <s v="Congo"/>
    <m/>
    <m/>
    <m/>
  </r>
  <r>
    <x v="198"/>
    <s v="Taxi-moto: La gare routiere de Sibiti-Hôtel le papyrus "/>
    <s v="Transport"/>
    <s v="Legal"/>
    <n v="500"/>
    <n v="0.89135775178182408"/>
    <n v="560.94200000000001"/>
    <s v="Roderlin"/>
    <s v="RO-AU-D1"/>
    <s v="PALF"/>
    <x v="5"/>
    <s v="Congo"/>
    <m/>
    <m/>
    <m/>
  </r>
  <r>
    <x v="198"/>
    <s v="Taxi-moto:Hôtel le papyrus-Marché pour l'achat de la ration du  prevenu"/>
    <s v="Transport"/>
    <s v="Legal"/>
    <n v="300"/>
    <n v="0.53481465106909443"/>
    <n v="560.94200000000001"/>
    <s v="Roderlin"/>
    <s v="RO-AU-D1"/>
    <s v="PALF"/>
    <x v="5"/>
    <s v="Congo"/>
    <m/>
    <m/>
    <m/>
  </r>
  <r>
    <x v="198"/>
    <s v="Ration  du prevenu MANKOUSSOU Auzere à la maison d'arrêt de Sibiti/soir"/>
    <s v="Jail visit"/>
    <s v="Legal"/>
    <n v="1500"/>
    <n v="2.6740732553454722"/>
    <n v="560.94200000000001"/>
    <s v="Roderlin"/>
    <s v="RO-AU-D3"/>
    <s v="PALF"/>
    <x v="5"/>
    <s v="Congo"/>
    <m/>
    <m/>
    <m/>
  </r>
  <r>
    <x v="198"/>
    <s v="Taxi-moto:Marché-Maison d'arrêt de Sibiti"/>
    <s v="Transport"/>
    <s v="Legal"/>
    <n v="300"/>
    <n v="0.53481465106909443"/>
    <n v="560.94200000000001"/>
    <s v="Roderlin"/>
    <s v="RO-AU-D1"/>
    <s v="PALF"/>
    <x v="5"/>
    <s v="Congo"/>
    <m/>
    <m/>
    <m/>
  </r>
  <r>
    <x v="198"/>
    <s v="Taxi-moto:Maison d'arrêt de Sibiti-Hôtel le papyrus"/>
    <s v="Transport"/>
    <s v="Legal"/>
    <n v="300"/>
    <n v="0.53481465106909443"/>
    <n v="560.94200000000001"/>
    <s v="Roderlin"/>
    <s v="RO-AU-D1"/>
    <s v="PALF"/>
    <x v="5"/>
    <s v="Congo"/>
    <m/>
    <m/>
    <m/>
  </r>
  <r>
    <x v="198"/>
    <s v="RODERLIN-CONGO Ration du 19 au 21/08/2025 à Sibiti (02 nuitées)"/>
    <s v="Travel Subsistence"/>
    <s v="Legal"/>
    <n v="20000"/>
    <n v="35.654310071272967"/>
    <n v="560.94200000000001"/>
    <s v="Roderlin"/>
    <s v="RO-AU-D2"/>
    <s v="PALF"/>
    <x v="5"/>
    <s v="Congo"/>
    <m/>
    <m/>
    <m/>
  </r>
  <r>
    <x v="198"/>
    <s v="Taxi: Bureau Agence Trans Bony de la Frontière"/>
    <s v="Transport"/>
    <s v="Legal"/>
    <n v="1000"/>
    <n v="1.7827155035636482"/>
    <n v="560.94200000000001"/>
    <s v="Romain"/>
    <s v="RM-AU-D1"/>
    <s v="PALF"/>
    <x v="5"/>
    <s v="Congo"/>
    <m/>
    <m/>
    <m/>
  </r>
  <r>
    <x v="198"/>
    <s v="Taxi: Agence Trans Bony de la Frontière-Agence Trans Bony de Diata"/>
    <s v="Transport"/>
    <s v="Legal"/>
    <n v="1000"/>
    <n v="1.7827155035636482"/>
    <n v="560.94200000000001"/>
    <s v="Romain"/>
    <s v="RM-AU-D1"/>
    <s v="PALF"/>
    <x v="5"/>
    <s v="Congo"/>
    <m/>
    <m/>
    <m/>
  </r>
  <r>
    <x v="198"/>
    <s v="Taxi: Agence Trans Bony de Diata-Bureau"/>
    <s v="Transport"/>
    <s v="Legal"/>
    <n v="1000"/>
    <n v="1.7827155035636482"/>
    <n v="560.94200000000001"/>
    <s v="Romain"/>
    <s v="RM-AU-D1"/>
    <s v="PALF"/>
    <x v="5"/>
    <s v="Congo"/>
    <m/>
    <m/>
    <m/>
  </r>
  <r>
    <x v="198"/>
    <s v="Achat billet Brazzaville-Dolisie (Au nom de LOUNDOU Jean Romain)"/>
    <s v="Transport"/>
    <s v="Legal"/>
    <n v="9000"/>
    <n v="16.044439532072836"/>
    <n v="560.94200000000001"/>
    <s v="Abraham"/>
    <s v="AB-AU-R3"/>
    <s v="PALF"/>
    <x v="5"/>
    <s v="Congo"/>
    <m/>
    <m/>
    <m/>
  </r>
  <r>
    <x v="199"/>
    <s v="Maison-Bureau"/>
    <s v="Transport"/>
    <s v="Management"/>
    <n v="1000"/>
    <n v="1.7827155035636482"/>
    <n v="560.94200000000001"/>
    <s v="DOVI"/>
    <s v="DH-AU-D1"/>
    <s v="PALF"/>
    <x v="5"/>
    <s v="Congo"/>
    <m/>
    <m/>
    <m/>
  </r>
  <r>
    <x v="199"/>
    <s v="Bureau-Maison"/>
    <s v="Transport"/>
    <s v="Management"/>
    <n v="1000"/>
    <n v="1.7827155035636482"/>
    <n v="560.94200000000001"/>
    <s v="DOVI"/>
    <s v="DH-AU-D1"/>
    <s v="PALF"/>
    <x v="5"/>
    <s v="Congo"/>
    <m/>
    <m/>
    <m/>
  </r>
  <r>
    <x v="199"/>
    <s v="Taxi: Bureau - Charden Farell/transfert d'argent à G12 et IT87"/>
    <s v="Transport"/>
    <s v="Office"/>
    <n v="500"/>
    <n v="0.89135775178182408"/>
    <n v="560.94200000000001"/>
    <s v="Parfaite"/>
    <s v="P-AU-D1"/>
    <s v="PALF"/>
    <x v="5"/>
    <s v="Congo"/>
    <m/>
    <m/>
    <m/>
  </r>
  <r>
    <x v="199"/>
    <s v="Taxi: Charden Farell- Bureau/transferft d'argent"/>
    <s v="Transport"/>
    <s v="Office"/>
    <n v="500"/>
    <n v="0.89135775178182408"/>
    <n v="560.94200000000001"/>
    <s v="Parfaite"/>
    <s v="P-AU-D1"/>
    <s v="PALF"/>
    <x v="5"/>
    <s v="Congo"/>
    <m/>
    <m/>
    <m/>
  </r>
  <r>
    <x v="199"/>
    <s v="Frais de tansfert d'argent à G12 et IT87"/>
    <s v="Transfert fees"/>
    <s v="Office"/>
    <n v="3180"/>
    <n v="5.6690353013324017"/>
    <n v="560.94200000000001"/>
    <s v="Parfaite"/>
    <s v="CA-AU-R6"/>
    <s v="PALF"/>
    <x v="5"/>
    <s v="Congo"/>
    <m/>
    <m/>
    <m/>
  </r>
  <r>
    <x v="199"/>
    <s v="Taxi tricycle hotel kb fils-hotel mithe,travail avec l'équipe"/>
    <s v="Transport"/>
    <s v="Investigations"/>
    <n v="1000"/>
    <n v="1.7827155035636482"/>
    <n v="560.94200000000001"/>
    <s v="P29"/>
    <s v="P29-AU-D1"/>
    <s v="PALF"/>
    <x v="5"/>
    <s v="Congo"/>
    <m/>
    <m/>
    <m/>
  </r>
  <r>
    <x v="199"/>
    <s v="Taxi tricycle hotel mithe-hotel kb fils"/>
    <s v="Transport"/>
    <s v="Investigations"/>
    <n v="1000"/>
    <n v="1.7827155035636482"/>
    <n v="560.94200000000001"/>
    <s v="P29"/>
    <s v="P29-AU-D1"/>
    <s v="PALF"/>
    <x v="5"/>
    <s v="Congo"/>
    <m/>
    <m/>
    <m/>
  </r>
  <r>
    <x v="199"/>
    <s v="Taxi tricycle hotel kb fils-hotel mithe,travail avec l'équipe"/>
    <s v="Transport"/>
    <s v="Investigations"/>
    <n v="1000"/>
    <n v="1.7827155035636482"/>
    <n v="560.94200000000001"/>
    <s v="P29"/>
    <s v="P29-AU-D1"/>
    <s v="PALF"/>
    <x v="5"/>
    <s v="Congo"/>
    <m/>
    <m/>
    <m/>
  </r>
  <r>
    <x v="199"/>
    <s v="Taxi tricycle hotel mithe-hotel kb fils"/>
    <s v="Transport"/>
    <s v="Investigations"/>
    <n v="1000"/>
    <n v="1.7827155035636482"/>
    <n v="560.94200000000001"/>
    <s v="P29"/>
    <s v="P29-AU-D1"/>
    <s v="PALF"/>
    <x v="5"/>
    <s v="Congo"/>
    <m/>
    <m/>
    <m/>
  </r>
  <r>
    <x v="199"/>
    <s v="Taxi moto : hotel KB fils - hotel mithe (reunion avec l'équipe)"/>
    <s v="Transport"/>
    <s v="Investigations"/>
    <n v="500"/>
    <n v="0.89135775178182408"/>
    <n v="560.94200000000001"/>
    <s v="T73"/>
    <s v="T73-AU-D1"/>
    <s v="PALF"/>
    <x v="5"/>
    <s v="Congo"/>
    <m/>
    <m/>
    <m/>
  </r>
  <r>
    <x v="199"/>
    <s v="Taxi moto : hotel mithe - KB fils  (reunion avec l'équipe)"/>
    <s v="Transport"/>
    <s v="Investigations"/>
    <n v="500"/>
    <n v="0.89135775178182408"/>
    <n v="560.94200000000001"/>
    <s v="T73"/>
    <s v="T73-AU-D1"/>
    <s v="PALF"/>
    <x v="5"/>
    <s v="Congo"/>
    <m/>
    <m/>
    <m/>
  </r>
  <r>
    <x v="199"/>
    <s v="Taxi moto : Hôtel - Marché/ Prospection"/>
    <s v="Transport"/>
    <s v="Investigations"/>
    <n v="500"/>
    <n v="0.89135775178182408"/>
    <n v="560.94200000000001"/>
    <s v="IT87"/>
    <s v="IT87-AU-D1"/>
    <s v="PALF"/>
    <x v="5"/>
    <s v="Congo"/>
    <m/>
    <m/>
    <m/>
  </r>
  <r>
    <x v="199"/>
    <s v="Achat boissons avec une cible"/>
    <s v="Trust Building"/>
    <s v="Investigations"/>
    <n v="1500"/>
    <n v="2.6740732553454722"/>
    <n v="560.94200000000001"/>
    <s v="IT87"/>
    <s v="IT87-AU-D3"/>
    <s v="PALF"/>
    <x v="5"/>
    <s v="Congo"/>
    <m/>
    <m/>
    <m/>
  </r>
  <r>
    <x v="199"/>
    <s v="Taxi moto : Marché - Centre ville/ Prospection"/>
    <s v="Transport"/>
    <s v="Investigations"/>
    <n v="500"/>
    <n v="0.89135775178182408"/>
    <n v="560.94200000000001"/>
    <s v="IT87"/>
    <s v="IT87-AU-D1"/>
    <s v="PALF"/>
    <x v="5"/>
    <s v="Congo"/>
    <m/>
    <m/>
    <m/>
  </r>
  <r>
    <x v="199"/>
    <s v="Taxi moto : Centre ville - Charden Farel/ Retrait budget"/>
    <s v="Transport"/>
    <s v="Investigations"/>
    <n v="500"/>
    <n v="0.89135775178182408"/>
    <n v="560.94200000000001"/>
    <s v="IT87"/>
    <s v="IT87-AU-D1"/>
    <s v="PALF"/>
    <x v="5"/>
    <s v="Congo"/>
    <m/>
    <m/>
    <m/>
  </r>
  <r>
    <x v="199"/>
    <s v="Taxi moto : Charden Farel - Avenue de l'Entente/ Prospection"/>
    <s v="Transport"/>
    <s v="Investigations"/>
    <n v="500"/>
    <n v="0.89135775178182408"/>
    <n v="560.94200000000001"/>
    <s v="IT87"/>
    <s v="IT87-AU-D1"/>
    <s v="PALF"/>
    <x v="5"/>
    <s v="Congo"/>
    <m/>
    <m/>
    <m/>
  </r>
  <r>
    <x v="199"/>
    <s v="Taxi moto : Avenue de l'entente - Hôtel/ Retour de prospection"/>
    <s v="Transport"/>
    <s v="Investigations"/>
    <n v="500"/>
    <n v="0.89135775178182408"/>
    <n v="560.94200000000001"/>
    <s v="IT87"/>
    <s v="IT87-AU-D1"/>
    <s v="PALF"/>
    <x v="5"/>
    <s v="Congo"/>
    <m/>
    <m/>
    <m/>
  </r>
  <r>
    <x v="199"/>
    <s v="Taxi: Hotel- quartier mvumvu"/>
    <s v="Transport"/>
    <s v="Investigations"/>
    <n v="1000"/>
    <n v="1.7827155035636482"/>
    <n v="560.94200000000001"/>
    <s v="G12"/>
    <s v="G12-AU-D1"/>
    <s v="PALF"/>
    <x v="5"/>
    <s v="Congo"/>
    <m/>
    <m/>
    <m/>
  </r>
  <r>
    <x v="199"/>
    <s v="Taxi: marché mvumvu - fond de tié tié"/>
    <s v="Transport"/>
    <s v="Investigations"/>
    <n v="1000"/>
    <n v="1.7827155035636482"/>
    <n v="560.94200000000001"/>
    <s v="G12"/>
    <s v="G12-AU-D1"/>
    <s v="PALF"/>
    <x v="5"/>
    <s v="Congo"/>
    <m/>
    <m/>
    <m/>
  </r>
  <r>
    <x v="199"/>
    <s v="Taxi : Fond tié tié - charden farell "/>
    <s v="Transport"/>
    <s v="Investigations"/>
    <n v="1000"/>
    <n v="1.7827155035636482"/>
    <n v="560.94200000000001"/>
    <s v="G12"/>
    <s v="G12-AU-D1"/>
    <s v="PALF"/>
    <x v="5"/>
    <s v="Congo"/>
    <m/>
    <m/>
    <m/>
  </r>
  <r>
    <x v="199"/>
    <s v="Taxi: Charden farell- marché oui"/>
    <s v="Transport"/>
    <s v="Investigations"/>
    <n v="1000"/>
    <n v="1.7827155035636482"/>
    <n v="560.94200000000001"/>
    <s v="G12"/>
    <s v="G12-AU-D1"/>
    <s v="PALF"/>
    <x v="5"/>
    <s v="Congo"/>
    <m/>
    <m/>
    <m/>
  </r>
  <r>
    <x v="199"/>
    <s v="Achat boisson 1 cible"/>
    <s v="Trust Building"/>
    <s v="Investigations"/>
    <n v="1000"/>
    <n v="1.7827155035636482"/>
    <n v="560.94200000000001"/>
    <s v="G12"/>
    <s v="G12-AU-D3"/>
    <s v="PALF"/>
    <x v="5"/>
    <s v="Congo"/>
    <m/>
    <m/>
    <m/>
  </r>
  <r>
    <x v="199"/>
    <s v=" Taxi:Marché oui - hotel"/>
    <s v="Transport"/>
    <s v="Investigations"/>
    <n v="1000"/>
    <n v="1.7827155035636482"/>
    <n v="560.94200000000001"/>
    <s v="G12"/>
    <s v="G12-AU-D1"/>
    <s v="PALF"/>
    <x v="5"/>
    <s v="Congo"/>
    <m/>
    <m/>
    <m/>
  </r>
  <r>
    <x v="199"/>
    <s v="ABRAHAM - CONGO Ration du 20 au 22/08/2025 à Dolisie (02 Nuitées)"/>
    <s v="Travel Subsistence"/>
    <s v="Legal"/>
    <n v="20000"/>
    <n v="35.654310071272967"/>
    <n v="560.94200000000001"/>
    <s v="Abraham"/>
    <s v="AB-AU-D2"/>
    <s v="PALF"/>
    <x v="5"/>
    <s v="Congo"/>
    <m/>
    <m/>
    <m/>
  </r>
  <r>
    <x v="199"/>
    <s v="Taxi:Domicile-Agence Tranbony de La frontière/ Prendre le depart pour Dolisie"/>
    <s v="Transport"/>
    <s v="Legal"/>
    <n v="1000"/>
    <n v="1.7827155035636482"/>
    <n v="560.94200000000001"/>
    <s v="Abraham"/>
    <s v="AB-AU-D1"/>
    <s v="PALF"/>
    <x v="5"/>
    <s v="Congo"/>
    <m/>
    <m/>
    <m/>
  </r>
  <r>
    <x v="199"/>
    <s v="Taxi:Agence Transbony de Dolisie-Auberge Moukondo"/>
    <s v="Transport"/>
    <s v="Legal"/>
    <n v="1000"/>
    <n v="1.7827155035636482"/>
    <n v="560.94200000000001"/>
    <s v="Abraham"/>
    <s v="AB-AU-D1"/>
    <s v="PALF"/>
    <x v="5"/>
    <s v="Congo"/>
    <m/>
    <m/>
    <m/>
  </r>
  <r>
    <x v="199"/>
    <s v="Taxi:Auberge Moukondo-Maison d'arrêt de Dolisie"/>
    <s v="Transport"/>
    <s v="Legal"/>
    <n v="1000"/>
    <n v="1.7827155035636482"/>
    <n v="560.94200000000001"/>
    <s v="Abraham"/>
    <s v="AB-AU-D1"/>
    <s v="PALF"/>
    <x v="5"/>
    <s v="Congo"/>
    <m/>
    <m/>
    <m/>
  </r>
  <r>
    <x v="199"/>
    <s v="Ration/ Soir 5 détenus à la maison d'arrêt de Dolisie/ détenus visités: MBOUNGOU Dropsy, KISSAMBOU Yvon, PAMBOU Alain, BALENDA Jean Jacques, IVOUVOU"/>
    <s v="Jail visit"/>
    <s v="Legal"/>
    <n v="7500"/>
    <n v="13.370366276727362"/>
    <n v="560.94200000000001"/>
    <s v="Abraham"/>
    <s v="AB-AU-D3"/>
    <s v="PALF"/>
    <x v="5"/>
    <s v="Congo"/>
    <m/>
    <m/>
    <m/>
  </r>
  <r>
    <x v="199"/>
    <s v="Taxi:Maison d'arrêt de Dolisie-Auberge Moukondo"/>
    <s v="Transport"/>
    <s v="Legal"/>
    <n v="1000"/>
    <n v="1.7827155035636482"/>
    <n v="560.94200000000001"/>
    <s v="Abraham"/>
    <s v="AB-AU-D1"/>
    <s v="PALF"/>
    <x v="5"/>
    <s v="Congo"/>
    <m/>
    <m/>
    <m/>
  </r>
  <r>
    <x v="199"/>
    <s v="Taxi-moto:Hôtel le papyrus-Marché pour l'achat de la ration du  prevenu"/>
    <s v="Transport"/>
    <s v="Legal"/>
    <n v="300"/>
    <n v="0.53481465106909443"/>
    <n v="560.94200000000001"/>
    <s v="Roderlin"/>
    <s v="RO-AU-D1"/>
    <s v="PALF"/>
    <x v="5"/>
    <s v="Congo"/>
    <m/>
    <m/>
    <m/>
  </r>
  <r>
    <x v="199"/>
    <s v="Tation du prevenu MANKOUSSOU Auzere à la maison d'arrêt de Sibiti/matin"/>
    <s v="Jail visit"/>
    <s v="Legal"/>
    <n v="1500"/>
    <n v="2.6740732553454722"/>
    <n v="560.94200000000001"/>
    <s v="Roderlin"/>
    <s v="RO-AU-D3"/>
    <s v="PALF"/>
    <x v="5"/>
    <s v="Congo"/>
    <m/>
    <m/>
    <m/>
  </r>
  <r>
    <x v="199"/>
    <s v="Taxi-moto:Marché-Maison d'arrêt de Sibiti"/>
    <s v="Transport"/>
    <s v="Legal"/>
    <n v="300"/>
    <n v="0.53481465106909443"/>
    <n v="560.94200000000001"/>
    <s v="Roderlin"/>
    <s v="RO-AU-D1"/>
    <s v="PALF"/>
    <x v="5"/>
    <s v="Congo"/>
    <m/>
    <m/>
    <m/>
  </r>
  <r>
    <x v="199"/>
    <s v="Taxi-moto:Maison d'arrêt de Sibiti-tGI pour la vérification des des expéditions "/>
    <s v="Transport"/>
    <s v="Legal"/>
    <n v="300"/>
    <n v="0.53481465106909443"/>
    <n v="560.94200000000001"/>
    <s v="Roderlin"/>
    <s v="RO-AU-D1"/>
    <s v="PALF"/>
    <x v="5"/>
    <s v="Congo"/>
    <m/>
    <m/>
    <m/>
  </r>
  <r>
    <x v="199"/>
    <s v="Taxi-moto:TGI-Hotel le papyrus "/>
    <s v="Transport"/>
    <s v="Legal"/>
    <n v="300"/>
    <n v="0.53481465106909443"/>
    <n v="560.94200000000001"/>
    <s v="Roderlin"/>
    <s v="RO-AU-D1"/>
    <s v="PALF"/>
    <x v="5"/>
    <s v="Congo"/>
    <m/>
    <m/>
    <m/>
  </r>
  <r>
    <x v="199"/>
    <s v="Taxi-moto:Hôtel le papyrus-Marché pour l'achat de la ration du  prevenu"/>
    <s v="Transport"/>
    <s v="Legal"/>
    <n v="300"/>
    <n v="0.53481465106909443"/>
    <n v="560.94200000000001"/>
    <s v="Roderlin"/>
    <s v="RO-AU-D1"/>
    <s v="PALF"/>
    <x v="5"/>
    <s v="Congo"/>
    <m/>
    <m/>
    <m/>
  </r>
  <r>
    <x v="199"/>
    <s v="Ration du prevenu MANKOUSSOU Auzere à la maison d'arrêt de Sibiti/soir"/>
    <s v="Jail visit"/>
    <s v="Legal"/>
    <n v="1500"/>
    <n v="2.6740732553454722"/>
    <n v="560.94200000000001"/>
    <s v="Roderlin"/>
    <s v="RO-AU-D3"/>
    <s v="PALF"/>
    <x v="5"/>
    <s v="Congo"/>
    <m/>
    <m/>
    <m/>
  </r>
  <r>
    <x v="199"/>
    <s v="Taxi-moto:Marché-Maison d'arrêt de Sibiti"/>
    <s v="Transport"/>
    <s v="Legal"/>
    <n v="300"/>
    <n v="0.53481465106909443"/>
    <n v="560.94200000000001"/>
    <s v="Roderlin"/>
    <s v="RO-AU-D1"/>
    <s v="PALF"/>
    <x v="5"/>
    <s v="Congo"/>
    <m/>
    <m/>
    <m/>
  </r>
  <r>
    <x v="199"/>
    <s v="Taxi-moto:Maison d'arrêt de Sibiti-Hôtel le papyrus"/>
    <s v="Transport"/>
    <s v="Legal"/>
    <n v="300"/>
    <n v="0.53481465106909443"/>
    <n v="560.94200000000001"/>
    <s v="Roderlin"/>
    <s v="RO-AU-D1"/>
    <s v="PALF"/>
    <x v="5"/>
    <s v="Congo"/>
    <m/>
    <m/>
    <m/>
  </r>
  <r>
    <x v="199"/>
    <s v="Taxi: Domicile-Agence Trans Bony de Diata"/>
    <s v="Transport"/>
    <s v="Legal"/>
    <n v="3000"/>
    <n v="5.3481465106909445"/>
    <n v="560.94200000000001"/>
    <s v="Romain"/>
    <s v="RM-AU-D1"/>
    <s v="PALF"/>
    <x v="5"/>
    <s v="Congo"/>
    <m/>
    <m/>
    <m/>
  </r>
  <r>
    <x v="199"/>
    <s v="Taxi: Agence Trans Bony de Diata-Bureau"/>
    <s v="Transport"/>
    <s v="Legal"/>
    <n v="1000"/>
    <n v="1.7827155035636482"/>
    <n v="560.94200000000001"/>
    <s v="Romain"/>
    <s v="RM-AU-D1"/>
    <s v="PALF"/>
    <x v="5"/>
    <s v="Congo"/>
    <m/>
    <m/>
    <m/>
  </r>
  <r>
    <x v="199"/>
    <s v="Taxi: Bureau-Agence Océan du Nord de Talangai"/>
    <s v="Transport"/>
    <s v="Legal"/>
    <n v="1500"/>
    <n v="2.6740732553454722"/>
    <n v="560.94200000000001"/>
    <s v="Romain"/>
    <s v="RM-AU-D1"/>
    <s v="PALF"/>
    <x v="5"/>
    <s v="Congo"/>
    <m/>
    <m/>
    <m/>
  </r>
  <r>
    <x v="199"/>
    <s v="Taxi: Agence Océan du Nord de Talangai-Bureau"/>
    <s v="Transport"/>
    <s v="Legal"/>
    <n v="1500"/>
    <n v="2.6740732553454722"/>
    <n v="560.94200000000001"/>
    <s v="Romain"/>
    <s v="RM-AU-D1"/>
    <s v="PALF"/>
    <x v="5"/>
    <s v="Congo"/>
    <m/>
    <m/>
    <m/>
  </r>
  <r>
    <x v="200"/>
    <s v="Maison-Bureau"/>
    <s v="Transport"/>
    <s v="Management"/>
    <n v="1000"/>
    <n v="1.7827155035636482"/>
    <n v="560.94200000000001"/>
    <s v="DOVI"/>
    <s v="DH-AU-D1"/>
    <s v="PALF"/>
    <x v="5"/>
    <s v="Congo"/>
    <m/>
    <m/>
    <m/>
  </r>
  <r>
    <x v="200"/>
    <s v="Bureau-Maison"/>
    <s v="Transport"/>
    <s v="Management"/>
    <n v="1000"/>
    <n v="1.7827155035636482"/>
    <n v="560.94200000000001"/>
    <s v="DOVI"/>
    <s v="DH-AU-D1"/>
    <s v="PALF"/>
    <x v="5"/>
    <s v="Congo"/>
    <m/>
    <m/>
    <m/>
  </r>
  <r>
    <x v="200"/>
    <s v="Taxi:  Bureau- Cabinet maitre LOCKO/remis de chèque du mois de Juin 2025"/>
    <s v="Transport"/>
    <s v="Office"/>
    <n v="1000"/>
    <n v="1.7827155035636482"/>
    <n v="560.94200000000001"/>
    <s v="Parfaite"/>
    <s v="P-AU-D1"/>
    <s v="PALF"/>
    <x v="5"/>
    <s v="Congo"/>
    <m/>
    <m/>
    <m/>
  </r>
  <r>
    <x v="200"/>
    <s v="Taxi:  Cabinet maitre LOCKO - Domicile/remis de chèque du mois de Juin  2025"/>
    <s v="Transport"/>
    <s v="Office"/>
    <n v="1000"/>
    <n v="1.7827155035636482"/>
    <n v="560.94200000000001"/>
    <s v="Parfaite"/>
    <s v="P-AU-D1"/>
    <s v="PALF"/>
    <x v="5"/>
    <s v="Congo"/>
    <m/>
    <m/>
    <m/>
  </r>
  <r>
    <x v="200"/>
    <s v="Taxi tricycle hotel kb fils-hotel mithe,travail avec l'équipe"/>
    <s v="Transport"/>
    <s v="Investigations"/>
    <n v="1000"/>
    <n v="1.7827155035636482"/>
    <n v="560.94200000000001"/>
    <s v="P29"/>
    <s v="P29-AU-D1"/>
    <s v="PALF"/>
    <x v="5"/>
    <s v="Congo"/>
    <m/>
    <m/>
    <m/>
  </r>
  <r>
    <x v="200"/>
    <s v="Taxi tricycle hotel mithe-hotel kb fils"/>
    <s v="Transport"/>
    <s v="Investigations"/>
    <n v="1000"/>
    <n v="1.7827155035636482"/>
    <n v="560.94200000000001"/>
    <s v="P29"/>
    <s v="P29-AU-D1"/>
    <s v="PALF"/>
    <x v="5"/>
    <s v="Congo"/>
    <m/>
    <m/>
    <m/>
  </r>
  <r>
    <x v="200"/>
    <s v="Taxi moto hotel kb fils-hotel mithe,travail avec l'équipe"/>
    <s v="Transport"/>
    <s v="Investigations"/>
    <n v="500"/>
    <n v="0.89135775178182408"/>
    <n v="560.94200000000001"/>
    <s v="P29"/>
    <s v="P29-AU-D1"/>
    <s v="PALF"/>
    <x v="5"/>
    <s v="Congo"/>
    <m/>
    <m/>
    <m/>
  </r>
  <r>
    <x v="200"/>
    <s v="Taxi tricycle hotel mithe-hotel kb fils"/>
    <s v="Transport"/>
    <s v="Investigations"/>
    <n v="1000"/>
    <n v="1.7827155035636482"/>
    <n v="560.94200000000001"/>
    <s v="P29"/>
    <s v="P29-AU-D1"/>
    <s v="PALF"/>
    <x v="5"/>
    <s v="Congo"/>
    <m/>
    <m/>
    <m/>
  </r>
  <r>
    <x v="200"/>
    <s v="Taxi moto : hotel KB fils - hotel mithe (reunion avec l'équipe)"/>
    <s v="Transport"/>
    <s v="Investigations"/>
    <n v="500"/>
    <n v="0.89135775178182408"/>
    <n v="560.94200000000001"/>
    <s v="T73"/>
    <s v="T73-AU-D1"/>
    <s v="PALF"/>
    <x v="5"/>
    <s v="Congo"/>
    <m/>
    <m/>
    <m/>
  </r>
  <r>
    <x v="200"/>
    <s v="Taxi moto : hotel mithe - KB fils  (reunion avec l'équipe)"/>
    <s v="Transport"/>
    <s v="Investigations"/>
    <n v="500"/>
    <n v="0.89135775178182408"/>
    <n v="560.94200000000001"/>
    <s v="T73"/>
    <s v="T73-AU-D1"/>
    <s v="PALF"/>
    <x v="5"/>
    <s v="Congo"/>
    <m/>
    <m/>
    <m/>
  </r>
  <r>
    <x v="200"/>
    <s v="IT87-CONGO Frais d'hôtel du 19 au 21/08/2025 à Djambala (02 nuitées)"/>
    <s v="Travel Subsistence"/>
    <s v="Investigations"/>
    <n v="30000"/>
    <n v="53.481465106909447"/>
    <n v="560.94200000000001"/>
    <s v="IT87"/>
    <s v="IT87-AU-R5"/>
    <s v="PALF"/>
    <x v="5"/>
    <s v="Congo"/>
    <m/>
    <m/>
    <m/>
  </r>
  <r>
    <x v="200"/>
    <s v="Taxi moto : Hôtel - Parking/ Départ de Djambala pour Ngo"/>
    <s v="Transport"/>
    <s v="Investigations"/>
    <n v="500"/>
    <n v="0.89135775178182408"/>
    <n v="560.94200000000001"/>
    <s v="IT87"/>
    <s v="IT87-AU-D1"/>
    <s v="PALF"/>
    <x v="5"/>
    <s v="Congo"/>
    <m/>
    <m/>
    <m/>
  </r>
  <r>
    <x v="200"/>
    <s v="Achat billet Djambala - Ngo/ IT87"/>
    <s v="Transport"/>
    <s v="Investigations"/>
    <n v="4000"/>
    <n v="7.1308620142545927"/>
    <n v="560.94200000000001"/>
    <s v="IT87"/>
    <s v="IT87-AU-R6"/>
    <s v="PALF"/>
    <x v="5"/>
    <s v="Congo"/>
    <m/>
    <m/>
    <m/>
  </r>
  <r>
    <x v="200"/>
    <s v="Taxi moto : Parking - Hôtel Arc en ciel/ Arrivé à Ngo"/>
    <s v="Transport"/>
    <s v="Investigations"/>
    <n v="500"/>
    <n v="0.89135775178182408"/>
    <n v="560.94200000000001"/>
    <s v="IT87"/>
    <s v="IT87-AU-D1"/>
    <s v="PALF"/>
    <x v="5"/>
    <s v="Congo"/>
    <m/>
    <m/>
    <m/>
  </r>
  <r>
    <x v="200"/>
    <s v="Taxi moto : Hôtel - Marché/ Prospection"/>
    <s v="Transport"/>
    <s v="Investigations"/>
    <n v="500"/>
    <n v="0.89135775178182408"/>
    <n v="560.94200000000001"/>
    <s v="IT87"/>
    <s v="IT87-AU-D1"/>
    <s v="PALF"/>
    <x v="5"/>
    <s v="Congo"/>
    <m/>
    <m/>
    <m/>
  </r>
  <r>
    <x v="200"/>
    <s v="Taxi moto : Marché - Gare routière de Mpouya/ Prospection"/>
    <s v="Transport"/>
    <s v="Investigations"/>
    <n v="500"/>
    <n v="0.89135775178182408"/>
    <n v="560.94200000000001"/>
    <s v="IT87"/>
    <s v="IT87-AU-D1"/>
    <s v="PALF"/>
    <x v="5"/>
    <s v="Congo"/>
    <m/>
    <m/>
    <m/>
  </r>
  <r>
    <x v="200"/>
    <s v="Taxi moto : Gare routière de Mpouya à Ngo - Hôtel/ Retour de prospection"/>
    <s v="Transport"/>
    <s v="Investigations"/>
    <n v="500"/>
    <n v="0.89135775178182408"/>
    <n v="560.94200000000001"/>
    <s v="IT87"/>
    <s v="IT87-AU-D1"/>
    <s v="PALF"/>
    <x v="5"/>
    <s v="Congo"/>
    <m/>
    <m/>
    <m/>
  </r>
  <r>
    <x v="200"/>
    <s v="Taxi:Hotel - rafinerie"/>
    <s v="Transport"/>
    <s v="Investigations"/>
    <n v="1000"/>
    <n v="1.7827155035636482"/>
    <n v="560.94200000000001"/>
    <s v="G12"/>
    <s v="G12-AU-D1"/>
    <s v="PALF"/>
    <x v="5"/>
    <s v="Congo"/>
    <m/>
    <m/>
    <m/>
  </r>
  <r>
    <x v="200"/>
    <s v="Achat boisson 1 cible"/>
    <s v="Trust Building"/>
    <s v="Investigations"/>
    <n v="1000"/>
    <n v="1.7827155035636482"/>
    <n v="560.94200000000001"/>
    <s v="G12"/>
    <s v="G12-AU-D3"/>
    <s v="PALF"/>
    <x v="5"/>
    <s v="Congo"/>
    <m/>
    <m/>
    <m/>
  </r>
  <r>
    <x v="200"/>
    <s v="Taxi:Rafinerie - ngoyo"/>
    <s v="Transport"/>
    <s v="Investigations"/>
    <n v="1000"/>
    <n v="1.7827155035636482"/>
    <n v="560.94200000000001"/>
    <s v="G12"/>
    <s v="G12-AU-D1"/>
    <s v="PALF"/>
    <x v="5"/>
    <s v="Congo"/>
    <m/>
    <m/>
    <m/>
  </r>
  <r>
    <x v="200"/>
    <s v="Taxi: Ngoyo - hotel"/>
    <s v="Transport"/>
    <s v="Investigations"/>
    <n v="1000"/>
    <n v="1.7827155035636482"/>
    <n v="560.94200000000001"/>
    <s v="G12"/>
    <s v="G12-AU-D1"/>
    <s v="PALF"/>
    <x v="5"/>
    <s v="Congo"/>
    <m/>
    <m/>
    <m/>
  </r>
  <r>
    <x v="200"/>
    <s v="Taxi: Auberge Moukondo-Maison d'arrêt de Dolisie"/>
    <s v="Transport"/>
    <s v="Legal"/>
    <n v="1000"/>
    <n v="1.7827155035636482"/>
    <n v="560.94200000000001"/>
    <s v="Abraham"/>
    <s v="AB-AU-D1"/>
    <s v="PALF"/>
    <x v="5"/>
    <s v="Congo"/>
    <m/>
    <m/>
    <m/>
  </r>
  <r>
    <x v="200"/>
    <s v="Ration/matin 5 détenus à la maison d'arrêt de Dolisie/ détenus visités: MBOUNGOU Dropsy, KISSAMBOU Yvon, PAMBOU Alain, BALENDA Jean Jacques, IVOUVOU"/>
    <s v="Jail visit"/>
    <s v="Legal"/>
    <n v="7500"/>
    <n v="13.370366276727362"/>
    <n v="560.94200000000001"/>
    <s v="Abraham"/>
    <s v="AB-AU-D3"/>
    <s v="PALF"/>
    <x v="5"/>
    <s v="Congo"/>
    <m/>
    <m/>
    <m/>
  </r>
  <r>
    <x v="200"/>
    <s v="Taxi:Maison d'arrêt de Dolisie-Auberge Moukondo"/>
    <s v="Transport"/>
    <s v="Legal"/>
    <n v="1000"/>
    <n v="1.7827155035636482"/>
    <n v="560.94200000000001"/>
    <s v="Abraham"/>
    <s v="AB-AU-D1"/>
    <s v="PALF"/>
    <x v="5"/>
    <s v="Congo"/>
    <m/>
    <m/>
    <m/>
  </r>
  <r>
    <x v="200"/>
    <s v="Taxi: Auberge Moukondo-Maison d'arrêt de Dolisie"/>
    <s v="Transport"/>
    <s v="Legal"/>
    <n v="1000"/>
    <n v="1.7827155035636482"/>
    <n v="560.94200000000001"/>
    <s v="Abraham"/>
    <s v="AB-AU-D1"/>
    <s v="PALF"/>
    <x v="5"/>
    <s v="Congo"/>
    <m/>
    <m/>
    <m/>
  </r>
  <r>
    <x v="200"/>
    <s v="Ration/soir 5 détenus à la maison d'arrêt de Dolisie/ détenus visités: MBOUNGOU Dropsy, KISSAMBOU Yvon, PAMBOU Alain, BALENDA Jean Jacques, IVOUVOU"/>
    <s v="Jail visit"/>
    <s v="Legal"/>
    <n v="7500"/>
    <n v="13.370366276727362"/>
    <n v="560.94200000000001"/>
    <s v="Abraham"/>
    <s v="AB-AU-D3"/>
    <s v="PALF"/>
    <x v="5"/>
    <s v="Congo"/>
    <m/>
    <m/>
    <m/>
  </r>
  <r>
    <x v="200"/>
    <s v="Taxi:Maison d'arrêt de Dolisie-Agence Transbony de Dolisie/Achat billet Dolisie-Brazzaville"/>
    <s v="Transport"/>
    <s v="Legal"/>
    <n v="1000"/>
    <n v="1.7827155035636482"/>
    <n v="560.94200000000001"/>
    <s v="Abraham"/>
    <s v="AB-AU-D1"/>
    <s v="PALF"/>
    <x v="5"/>
    <s v="Congo"/>
    <m/>
    <m/>
    <m/>
  </r>
  <r>
    <x v="200"/>
    <s v="Taxi:Agence Transbony de Dolisie-Auberge Moukondo"/>
    <s v="Transport"/>
    <s v="Legal"/>
    <n v="1000"/>
    <n v="1.7827155035636482"/>
    <n v="560.94200000000001"/>
    <s v="Abraham"/>
    <s v="AB-AU-D1"/>
    <s v="PALF"/>
    <x v="5"/>
    <s v="Congo"/>
    <m/>
    <m/>
    <m/>
  </r>
  <r>
    <x v="200"/>
    <s v="RODERLIN-CONGO Frais d'hôtel du 19 au 21/08/2025 à Sibiti (02 nuitées)"/>
    <s v="Travel Subsistence"/>
    <s v="Legal"/>
    <n v="30000"/>
    <n v="53.481465106909447"/>
    <n v="560.94200000000001"/>
    <s v="Roderlin"/>
    <s v="RO-AU-R4"/>
    <s v="PALF"/>
    <x v="5"/>
    <s v="Congo"/>
    <m/>
    <m/>
    <m/>
  </r>
  <r>
    <x v="200"/>
    <s v="Taxi-moto:Hôtel le papyrus-La garre de Sibiti"/>
    <s v="Transport"/>
    <s v="Legal"/>
    <n v="500"/>
    <n v="0.89135775178182408"/>
    <n v="560.94200000000001"/>
    <s v="Roderlin"/>
    <s v="RO-AU-D1"/>
    <s v="PALF"/>
    <x v="5"/>
    <s v="Congo"/>
    <m/>
    <m/>
    <m/>
  </r>
  <r>
    <x v="200"/>
    <s v=" Achat billet Sibiti-Nkayi/ Roderlin"/>
    <s v="Transport"/>
    <s v="Legal"/>
    <n v="5000"/>
    <n v="8.9135775178182417"/>
    <n v="560.94200000000001"/>
    <s v="Roderlin"/>
    <s v="RO-AU-R5"/>
    <s v="PALF"/>
    <x v="5"/>
    <s v="Congo"/>
    <m/>
    <m/>
    <m/>
  </r>
  <r>
    <x v="200"/>
    <s v=" Achat billet Nkayi-Brazzaville/ Roderlin "/>
    <s v="Transport"/>
    <s v="Legal"/>
    <n v="7000"/>
    <n v="12.479008524945538"/>
    <n v="560.94200000000001"/>
    <s v="Roderlin"/>
    <s v="RO-AU-R6"/>
    <s v="PALF"/>
    <x v="5"/>
    <s v="Congo"/>
    <m/>
    <m/>
    <m/>
  </r>
  <r>
    <x v="200"/>
    <s v="Taxi:Agence trans bony de Kintélé-Domicile "/>
    <s v="Transport"/>
    <s v="Legal"/>
    <n v="1000"/>
    <n v="1.7827155035636482"/>
    <n v="560.94200000000001"/>
    <s v="Roderlin"/>
    <s v="RO-AU-D1"/>
    <s v="PALF"/>
    <x v="5"/>
    <s v="Congo"/>
    <m/>
    <m/>
    <m/>
  </r>
  <r>
    <x v="201"/>
    <s v="Achat billet Dolisie-Brazzaville/Abraham"/>
    <s v="Transport"/>
    <s v="Legal"/>
    <n v="8000"/>
    <n v="14.261724028509185"/>
    <n v="560.94200000000001"/>
    <s v="Abraham"/>
    <s v="AB-AU-R4"/>
    <s v="PALF"/>
    <x v="5"/>
    <s v="Congo"/>
    <m/>
    <m/>
    <m/>
  </r>
  <r>
    <x v="201"/>
    <s v="Maison-Bureau"/>
    <s v="Transport"/>
    <s v="Management"/>
    <n v="1000"/>
    <n v="1.7827155035636482"/>
    <n v="560.94200000000001"/>
    <s v="DOVI"/>
    <s v="DH-AU-D1"/>
    <s v="PALF"/>
    <x v="5"/>
    <s v="Congo"/>
    <m/>
    <m/>
    <m/>
  </r>
  <r>
    <x v="201"/>
    <s v="Bureau -Maison"/>
    <s v="Transport"/>
    <s v="Management"/>
    <n v="1000"/>
    <n v="1.7827155035636482"/>
    <n v="560.94200000000001"/>
    <s v="DOVI"/>
    <s v="DH-AU-D1"/>
    <s v="PALF"/>
    <x v="5"/>
    <s v="Congo"/>
    <m/>
    <m/>
    <m/>
  </r>
  <r>
    <x v="201"/>
    <s v="Taxi moto: Hôtel Mithé-DDEF pour rencontre avec le DD par intérim"/>
    <s v="Transport"/>
    <s v="Legal"/>
    <n v="500"/>
    <n v="0.89135775178182408"/>
    <n v="560.94200000000001"/>
    <s v="Crépin"/>
    <s v="CR-AU-D1"/>
    <s v="PALF"/>
    <x v="5"/>
    <s v="Congo"/>
    <m/>
    <m/>
    <m/>
  </r>
  <r>
    <x v="201"/>
    <s v="Taxi moto: DDEF-Parquet pour rencontre avec le Procureur."/>
    <s v="Transport"/>
    <s v="Legal"/>
    <n v="500"/>
    <n v="0.89135775178182408"/>
    <n v="560.94200000000001"/>
    <s v="Crépin"/>
    <s v="CR-AU-D1"/>
    <s v="PALF"/>
    <x v="5"/>
    <s v="Congo"/>
    <m/>
    <m/>
    <m/>
  </r>
  <r>
    <x v="201"/>
    <s v="Taxi moto: Gendarmerie-Hôtel Mithé"/>
    <s v="Transport"/>
    <s v="Legal"/>
    <n v="500"/>
    <n v="0.89135775178182408"/>
    <n v="560.94200000000001"/>
    <s v="Crépin"/>
    <s v="CR-AU-D1"/>
    <s v="PALF"/>
    <x v="5"/>
    <s v="Congo"/>
    <m/>
    <m/>
    <m/>
  </r>
  <r>
    <x v="201"/>
    <s v="Taxi:  Bureau-Banque BCI/Appro caisse"/>
    <s v="Transport"/>
    <s v="Office"/>
    <n v="1000"/>
    <n v="1.7827155035636482"/>
    <n v="560.94200000000001"/>
    <s v="Parfaite"/>
    <s v="P-AU-D1"/>
    <s v="PALF"/>
    <x v="5"/>
    <s v="Congo"/>
    <m/>
    <m/>
    <m/>
  </r>
  <r>
    <x v="201"/>
    <s v="Taxi: Banque BCI- Charden farell/ transfert d'argent "/>
    <s v="Transport"/>
    <s v="Office"/>
    <n v="1000"/>
    <n v="1.7827155035636482"/>
    <n v="560.94200000000001"/>
    <s v="Parfaite"/>
    <s v="P-AU-D1"/>
    <s v="PALF"/>
    <x v="5"/>
    <s v="Congo"/>
    <m/>
    <m/>
    <m/>
  </r>
  <r>
    <x v="201"/>
    <s v="Taxi: Charden Farell- Bureau/ Transfert d'argent"/>
    <s v="Transport"/>
    <s v="Office"/>
    <n v="500"/>
    <n v="0.89135775178182408"/>
    <n v="560.94200000000001"/>
    <s v="Parfaite"/>
    <s v="P-AU-D1"/>
    <s v="PALF"/>
    <x v="5"/>
    <s v="Congo"/>
    <m/>
    <m/>
    <m/>
  </r>
  <r>
    <x v="201"/>
    <s v="Taxi: Bureau - Charden Farell/ verification des fonds envoyer a impfondo"/>
    <s v="Transport"/>
    <s v="Office"/>
    <n v="500"/>
    <n v="0.89135775178182408"/>
    <n v="560.94200000000001"/>
    <s v="Parfaite"/>
    <s v="P-AU-D1"/>
    <s v="PALF"/>
    <x v="5"/>
    <s v="Congo"/>
    <m/>
    <m/>
    <m/>
  </r>
  <r>
    <x v="201"/>
    <s v="Taxi: Charden Farell- Bureau/verification de fond envoyer à Impfondo"/>
    <s v="Transport"/>
    <s v="Office"/>
    <n v="500"/>
    <n v="0.89135775178182408"/>
    <n v="560.94200000000001"/>
    <s v="Parfaite"/>
    <s v="P-AU-D1"/>
    <s v="PALF"/>
    <x v="5"/>
    <s v="Congo"/>
    <m/>
    <m/>
    <m/>
  </r>
  <r>
    <x v="201"/>
    <s v="Frais de tansfert d'argent à crépin, Donald-Roméo, Evariste et P29"/>
    <s v="Transfert fees"/>
    <s v="Office"/>
    <n v="31890"/>
    <n v="56.850797408644745"/>
    <n v="560.94200000000001"/>
    <s v="Parfaite"/>
    <s v="CA-AU-R8"/>
    <s v="PALF"/>
    <x v="5"/>
    <s v="Congo"/>
    <m/>
    <m/>
    <m/>
  </r>
  <r>
    <x v="201"/>
    <s v="Taxi tricycle hotel-cf,retrait des fonds,problème de connexion"/>
    <s v="Transport"/>
    <s v="Investigations"/>
    <n v="1000"/>
    <n v="1.7827155035636482"/>
    <n v="560.94200000000001"/>
    <s v="P29"/>
    <s v="P29-AU-D1"/>
    <s v="PALF"/>
    <x v="5"/>
    <s v="Congo"/>
    <m/>
    <m/>
    <m/>
  </r>
  <r>
    <x v="201"/>
    <s v="Taxi tricycle cf-hotel"/>
    <s v="Transport"/>
    <s v="Investigations"/>
    <n v="1000"/>
    <n v="1.7827155035636482"/>
    <n v="560.94200000000001"/>
    <s v="P29"/>
    <s v="P29-AU-D1"/>
    <s v="PALF"/>
    <x v="5"/>
    <s v="Congo"/>
    <m/>
    <m/>
    <m/>
  </r>
  <r>
    <x v="201"/>
    <s v="Taxi tricycle hotel-cf,retrait des fonds"/>
    <s v="Transport"/>
    <s v="Investigations"/>
    <n v="1000"/>
    <n v="1.7827155035636482"/>
    <n v="560.94200000000001"/>
    <s v="P29"/>
    <s v="P29-AU-D1"/>
    <s v="PALF"/>
    <x v="5"/>
    <s v="Congo"/>
    <m/>
    <m/>
    <m/>
  </r>
  <r>
    <x v="201"/>
    <s v="Taxi tricycle cf-hotel"/>
    <s v="Transport"/>
    <s v="Investigations"/>
    <n v="1000"/>
    <n v="1.7827155035636482"/>
    <n v="560.94200000000001"/>
    <s v="P29"/>
    <s v="P29-AU-D1"/>
    <s v="PALF"/>
    <x v="5"/>
    <s v="Congo"/>
    <m/>
    <m/>
    <m/>
  </r>
  <r>
    <x v="201"/>
    <s v="Taxi moto hotel kb fils-hotel mithe,travail avec l'équipe"/>
    <s v="Transport"/>
    <s v="Investigations"/>
    <n v="500"/>
    <n v="0.89135775178182408"/>
    <n v="560.94200000000001"/>
    <s v="P29"/>
    <s v="P29-AU-D1"/>
    <s v="PALF"/>
    <x v="5"/>
    <s v="Congo"/>
    <m/>
    <m/>
    <m/>
  </r>
  <r>
    <x v="201"/>
    <s v="Taxi tricycle hotel mithe-hotel kb fils"/>
    <s v="Transport"/>
    <s v="Investigations"/>
    <n v="1000"/>
    <n v="1.7827155035636482"/>
    <n v="560.94200000000001"/>
    <s v="P29"/>
    <s v="P29-AU-D1"/>
    <s v="PALF"/>
    <x v="5"/>
    <s v="Congo"/>
    <m/>
    <m/>
    <m/>
  </r>
  <r>
    <x v="201"/>
    <s v="Taxi moto hotel kb fils-hotel mithe,travail avec l'équipe"/>
    <s v="Transport"/>
    <s v="Investigations"/>
    <n v="500"/>
    <n v="0.89135775178182408"/>
    <n v="560.94200000000001"/>
    <s v="P29"/>
    <s v="P29-AU-D1"/>
    <s v="PALF"/>
    <x v="5"/>
    <s v="Congo"/>
    <m/>
    <m/>
    <m/>
  </r>
  <r>
    <x v="201"/>
    <s v="Taxi tricycle hotel mithe-hotel kb fils"/>
    <s v="Transport"/>
    <s v="Investigations"/>
    <n v="1000"/>
    <n v="1.7827155035636482"/>
    <n v="560.94200000000001"/>
    <s v="P29"/>
    <s v="P29-AU-D1"/>
    <s v="PALF"/>
    <x v="5"/>
    <s v="Congo"/>
    <m/>
    <m/>
    <m/>
  </r>
  <r>
    <x v="201"/>
    <s v="Taxi moto : hotel KB fils - hotel mithe (reunion avec l'équipe)"/>
    <s v="Transport"/>
    <s v="Investigations"/>
    <n v="500"/>
    <n v="0.89135775178182408"/>
    <n v="560.94200000000001"/>
    <s v="T73"/>
    <s v="T73-AU-D1"/>
    <s v="PALF"/>
    <x v="5"/>
    <s v="Congo"/>
    <m/>
    <m/>
    <m/>
  </r>
  <r>
    <x v="201"/>
    <s v="Taxi moto : hotel mithe - KB fils  (reunion avec l'équipe)"/>
    <s v="Transport"/>
    <s v="Investigations"/>
    <n v="500"/>
    <n v="0.89135775178182408"/>
    <n v="560.94200000000001"/>
    <s v="T73"/>
    <s v="T73-AU-D1"/>
    <s v="PALF"/>
    <x v="5"/>
    <s v="Congo"/>
    <m/>
    <m/>
    <m/>
  </r>
  <r>
    <x v="201"/>
    <s v="Taxi moto : Hôtel - N2/ Prospection"/>
    <s v="Transport"/>
    <s v="Investigations"/>
    <n v="500"/>
    <n v="0.89135775178182408"/>
    <n v="560.94200000000001"/>
    <s v="IT87"/>
    <s v="IT87-AU-D1"/>
    <s v="PALF"/>
    <x v="5"/>
    <s v="Congo"/>
    <m/>
    <m/>
    <m/>
  </r>
  <r>
    <x v="201"/>
    <s v="Taxi moto : N2 - Marché/ Rencontre avec la cible"/>
    <s v="Transport"/>
    <s v="Investigations"/>
    <n v="500"/>
    <n v="0.89135775178182408"/>
    <n v="560.94200000000001"/>
    <s v="IT87"/>
    <s v="IT87-AU-D1"/>
    <s v="PALF"/>
    <x v="5"/>
    <s v="Congo"/>
    <m/>
    <m/>
    <m/>
  </r>
  <r>
    <x v="201"/>
    <s v="Achat snacks avec la cible"/>
    <s v="Trust Building"/>
    <s v="Investigations"/>
    <n v="2000"/>
    <n v="3.5654310071272963"/>
    <n v="560.94200000000001"/>
    <s v="IT87"/>
    <s v="IT87-AU-D3"/>
    <s v="PALF"/>
    <x v="5"/>
    <s v="Congo"/>
    <m/>
    <m/>
    <m/>
  </r>
  <r>
    <x v="201"/>
    <s v="Taxi moto : Marché - Avenue Omiere/ Prospection"/>
    <s v="Transport"/>
    <s v="Investigations"/>
    <n v="500"/>
    <n v="0.89135775178182408"/>
    <n v="560.94200000000001"/>
    <s v="IT87"/>
    <s v="IT87-AU-D1"/>
    <s v="PALF"/>
    <x v="5"/>
    <s v="Congo"/>
    <m/>
    <m/>
    <m/>
  </r>
  <r>
    <x v="201"/>
    <s v="Taxi moto : Avenue Omiere - Ecole primaire/ Prospection"/>
    <s v="Transport"/>
    <s v="Investigations"/>
    <n v="500"/>
    <n v="0.89135775178182408"/>
    <n v="560.94200000000001"/>
    <s v="IT87"/>
    <s v="IT87-AU-D1"/>
    <s v="PALF"/>
    <x v="5"/>
    <s v="Congo"/>
    <m/>
    <m/>
    <m/>
  </r>
  <r>
    <x v="201"/>
    <s v="Taxi moto : Ecole primaire Joseph - Hôtel/ Retour de prospection"/>
    <s v="Transport"/>
    <s v="Investigations"/>
    <n v="500"/>
    <n v="0.89135775178182408"/>
    <n v="560.94200000000001"/>
    <s v="IT87"/>
    <s v="IT87-AU-D1"/>
    <s v="PALF"/>
    <x v="5"/>
    <s v="Congo"/>
    <m/>
    <m/>
    <m/>
  </r>
  <r>
    <x v="201"/>
    <s v="Taxi: Hotel -gare routière"/>
    <s v="Transport"/>
    <s v="Investigations"/>
    <n v="1000"/>
    <n v="1.7827155035636482"/>
    <n v="560.94200000000001"/>
    <s v="G12"/>
    <s v="G12-AU-D1"/>
    <s v="PALF"/>
    <x v="5"/>
    <s v="Congo"/>
    <m/>
    <m/>
    <m/>
  </r>
  <r>
    <x v="201"/>
    <s v="G12- CONGO Achat billet Pointe Noire - Nzassi "/>
    <s v="Transport"/>
    <s v="Investigations"/>
    <n v="3000"/>
    <n v="5.3481465106909445"/>
    <n v="560.94200000000001"/>
    <s v="G12"/>
    <s v="G12-AU-R5"/>
    <s v="PALF"/>
    <x v="5"/>
    <s v="Congo"/>
    <m/>
    <m/>
    <m/>
  </r>
  <r>
    <x v="201"/>
    <s v="Taxi : gare routière - zone de l'hopital"/>
    <s v="Transport"/>
    <s v="Investigations"/>
    <n v="500"/>
    <n v="0.89135775178182408"/>
    <n v="560.94200000000001"/>
    <s v="G12"/>
    <s v="G12-AU-D1"/>
    <s v="PALF"/>
    <x v="5"/>
    <s v="Congo"/>
    <m/>
    <m/>
    <m/>
  </r>
  <r>
    <x v="201"/>
    <s v="Taxi : Hopital- marché"/>
    <s v="Transport"/>
    <s v="Investigations"/>
    <n v="500"/>
    <n v="0.89135775178182408"/>
    <n v="560.94200000000001"/>
    <s v="G12"/>
    <s v="G12-AU-D1"/>
    <s v="PALF"/>
    <x v="5"/>
    <s v="Congo"/>
    <m/>
    <m/>
    <m/>
  </r>
  <r>
    <x v="201"/>
    <s v="Achat boisson 1 cible"/>
    <s v="Trust Building"/>
    <s v="Investigations"/>
    <n v="1000"/>
    <n v="1.7827155035636482"/>
    <n v="560.94200000000001"/>
    <s v="G12"/>
    <s v="G12-AU-D3"/>
    <s v="PALF"/>
    <x v="5"/>
    <s v="Congo"/>
    <m/>
    <m/>
    <m/>
  </r>
  <r>
    <x v="201"/>
    <s v="Taxi: Marché - gare routière "/>
    <s v="Transport"/>
    <s v="Investigations"/>
    <n v="500"/>
    <n v="0.89135775178182408"/>
    <n v="560.94200000000001"/>
    <s v="G12"/>
    <s v="G12-AU-D1"/>
    <s v="PALF"/>
    <x v="5"/>
    <s v="Congo"/>
    <m/>
    <m/>
    <m/>
  </r>
  <r>
    <x v="201"/>
    <s v="G12-CONGO Achat billet Nzassi - Pointe Noire"/>
    <s v="Transport"/>
    <s v="Investigations"/>
    <n v="3000"/>
    <n v="5.3481465106909445"/>
    <n v="560.94200000000001"/>
    <s v="G12"/>
    <s v="G12-AU-R6"/>
    <s v="PALF"/>
    <x v="5"/>
    <s v="Congo"/>
    <m/>
    <m/>
    <m/>
  </r>
  <r>
    <x v="201"/>
    <s v="Taxi: gare routière - hotel"/>
    <s v="Transport"/>
    <s v="Investigations"/>
    <n v="500"/>
    <n v="0.89135775178182408"/>
    <n v="560.94200000000001"/>
    <s v="G12"/>
    <s v="G12-AU-D1"/>
    <s v="PALF"/>
    <x v="5"/>
    <s v="Congo"/>
    <m/>
    <m/>
    <m/>
  </r>
  <r>
    <x v="201"/>
    <s v="ABRAHAM - CONGO frais d'Hôtel du 20 au 22/08/2025 à Dolisie (02 Nuitées)"/>
    <s v="Travel Subsistence"/>
    <s v="Legal"/>
    <n v="30000"/>
    <n v="53.481465106909447"/>
    <n v="560.94200000000001"/>
    <s v="Abraham"/>
    <s v="AB-AU-R5"/>
    <s v="PALF"/>
    <x v="5"/>
    <s v="Congo"/>
    <m/>
    <m/>
    <m/>
  </r>
  <r>
    <x v="201"/>
    <s v="Taxi:Auberge Moukondo-Agence Transbony Dolisie"/>
    <s v="Transport"/>
    <s v="Legal"/>
    <n v="1000"/>
    <n v="1.7827155035636482"/>
    <n v="560.94200000000001"/>
    <s v="Abraham"/>
    <s v="AB-AU-D1"/>
    <s v="PALF"/>
    <x v="5"/>
    <s v="Congo"/>
    <m/>
    <m/>
    <m/>
  </r>
  <r>
    <x v="201"/>
    <s v="Taxi:Agence Transbony Moungali-Domicile"/>
    <s v="Transport"/>
    <s v="Legal"/>
    <n v="2000"/>
    <n v="3.5654310071272963"/>
    <n v="560.94200000000001"/>
    <s v="Abraham"/>
    <s v="AB-AU-D1"/>
    <s v="PALF"/>
    <x v="5"/>
    <s v="Congo"/>
    <m/>
    <m/>
    <m/>
  </r>
  <r>
    <x v="201"/>
    <s v="Achat carburant groupe electrogène Bureau et le frais de recharge"/>
    <s v="Office Materiels"/>
    <s v="Office"/>
    <n v="68500"/>
    <n v="122.11601199410991"/>
    <n v="560.94200000000001"/>
    <s v="Roderlin"/>
    <s v="CA-AU-R7"/>
    <s v="PALF"/>
    <x v="5"/>
    <s v="Congo"/>
    <m/>
    <m/>
    <m/>
  </r>
  <r>
    <x v="201"/>
    <s v="Taxi moto Hôtel-DDEF/ Rencontrer le DD"/>
    <s v="Transport "/>
    <s v="Legal"/>
    <n v="500"/>
    <n v="0.89135775178182408"/>
    <n v="560.94200000000001"/>
    <s v="Donald-Roméo"/>
    <s v="DR-AU-D1"/>
    <s v="PALF"/>
    <x v="5"/>
    <s v="Congo"/>
    <m/>
    <m/>
    <m/>
  </r>
  <r>
    <x v="201"/>
    <s v="Taxi moto DDEF-TGI/ Rencontrer le Procureur "/>
    <s v="Transport "/>
    <s v="Legal"/>
    <n v="500"/>
    <n v="0.89135775178182408"/>
    <n v="560.94200000000001"/>
    <s v="Donald-Roméo"/>
    <s v="DR-AU-D1"/>
    <s v="PALF"/>
    <x v="5"/>
    <s v="Congo"/>
    <m/>
    <m/>
    <m/>
  </r>
  <r>
    <x v="201"/>
    <s v="Taxi moto Région de gendarmerie-Hôtel Mithé"/>
    <s v="Transport "/>
    <s v="Legal"/>
    <n v="500"/>
    <n v="0.89135775178182408"/>
    <n v="560.94200000000001"/>
    <s v="Donald-Roméo"/>
    <s v="DR-AU-D1"/>
    <s v="PALF"/>
    <x v="5"/>
    <s v="Congo"/>
    <m/>
    <m/>
    <m/>
  </r>
  <r>
    <x v="201"/>
    <s v="Taxi: Bureau-Charden Farell(Pour le transfert d'argent)"/>
    <s v="Transport"/>
    <s v="Legal"/>
    <n v="500"/>
    <n v="0.89135775178182408"/>
    <n v="560.94200000000001"/>
    <s v="Romain"/>
    <s v="RM-AU-D1"/>
    <s v="PALF"/>
    <x v="5"/>
    <s v="Congo"/>
    <m/>
    <m/>
    <m/>
  </r>
  <r>
    <x v="201"/>
    <s v="Taxi: Charden Farell-Bureau"/>
    <s v="Transport"/>
    <s v="Legal"/>
    <n v="500"/>
    <n v="0.89135775178182408"/>
    <n v="560.94200000000001"/>
    <s v="Romain"/>
    <s v="RM-AU-D1"/>
    <s v="PALF"/>
    <x v="5"/>
    <s v="Congo"/>
    <m/>
    <m/>
    <m/>
  </r>
  <r>
    <x v="201"/>
    <s v="Paiement Honoraire Me LOCKO/Mois de Juin 2025/36544889"/>
    <s v="Lawyer Fees"/>
    <s v="Legal"/>
    <n v="150000"/>
    <n v="267.40732553454723"/>
    <n v="560.94200000000001"/>
    <s v="BCI"/>
    <s v="BQ-AU-R7"/>
    <s v="PALF"/>
    <x v="5"/>
    <s v="Congo"/>
    <m/>
    <m/>
    <m/>
  </r>
  <r>
    <x v="202"/>
    <s v="Maison-Bureau"/>
    <s v="Transport"/>
    <s v="Management"/>
    <n v="1000"/>
    <n v="1.7827155035636482"/>
    <n v="560.94200000000001"/>
    <s v="DOVI"/>
    <s v="DH-AU-D1"/>
    <s v="PALF"/>
    <x v="5"/>
    <s v="Congo"/>
    <m/>
    <m/>
    <m/>
  </r>
  <r>
    <x v="202"/>
    <s v="Bureau-Maison"/>
    <s v="Transport"/>
    <s v="Management"/>
    <n v="1000"/>
    <n v="1.7827155035636482"/>
    <n v="560.94200000000001"/>
    <s v="DOVI"/>
    <s v="DH-AU-D1"/>
    <s v="PALF"/>
    <x v="5"/>
    <s v="Congo"/>
    <m/>
    <m/>
    <m/>
  </r>
  <r>
    <x v="202"/>
    <s v="Taxi moto: Hôtel Mithé-Hôtel Tropicana pour repérage"/>
    <s v="Transport"/>
    <s v="Legal"/>
    <n v="500"/>
    <n v="0.89135775178182408"/>
    <n v="560.94200000000001"/>
    <s v="Crépin"/>
    <s v="CR-AU-D1"/>
    <s v="PALF"/>
    <x v="5"/>
    <s v="Congo"/>
    <m/>
    <m/>
    <m/>
  </r>
  <r>
    <x v="202"/>
    <s v="Taxi moto: Environs Hôtel Tropicana-DDEF pour la lettre de sollicitude de concours de la gendarmerie"/>
    <s v="Transport"/>
    <s v="Legal"/>
    <n v="500"/>
    <n v="0.89135775178182408"/>
    <n v="560.94200000000001"/>
    <s v="Crépin"/>
    <s v="CR-AU-D1"/>
    <s v="PALF"/>
    <x v="5"/>
    <s v="Congo"/>
    <m/>
    <m/>
    <m/>
  </r>
  <r>
    <x v="202"/>
    <s v="Taxi moto: DDEF-Gendarmerie pour dépôt de la demande de concours"/>
    <s v="Transport"/>
    <s v="Legal"/>
    <n v="500"/>
    <n v="0.89135775178182408"/>
    <n v="560.94200000000001"/>
    <s v="Crépin"/>
    <s v="CR-AU-D1"/>
    <s v="PALF"/>
    <x v="5"/>
    <s v="Congo"/>
    <m/>
    <m/>
    <m/>
  </r>
  <r>
    <x v="202"/>
    <s v="Taxi moto: Gendarmerie-Hôtel Mithé"/>
    <s v="Transport"/>
    <s v="Legal"/>
    <n v="500"/>
    <n v="0.89135775178182408"/>
    <n v="560.94200000000001"/>
    <s v="Crépin"/>
    <s v="CR-AU-D1"/>
    <s v="PALF"/>
    <x v="5"/>
    <s v="Congo"/>
    <m/>
    <m/>
    <m/>
  </r>
  <r>
    <x v="202"/>
    <s v="CREPIN-CONGO Frais d'hôtel du 16 au 23/08/2025 à Impfondo (07 Nuitées)"/>
    <s v="Travel Subsistence"/>
    <s v="Legal"/>
    <n v="105000"/>
    <n v="187.18512787418308"/>
    <n v="560.94200000000001"/>
    <s v="Crépin"/>
    <s v="CR-AU-R1-7"/>
    <s v="PALF"/>
    <x v="5"/>
    <s v="Congo"/>
    <m/>
    <m/>
    <m/>
  </r>
  <r>
    <x v="202"/>
    <s v="Taxi moto: Hôtel Mithé-Hôtel Tropicana pour occupation de la chambre pour opération"/>
    <s v="Transport"/>
    <s v="Legal"/>
    <n v="500"/>
    <n v="0.89135775178182408"/>
    <n v="560.94200000000001"/>
    <s v="Crépin"/>
    <s v="CR-AU-D1"/>
    <s v="PALF"/>
    <x v="5"/>
    <s v="Congo"/>
    <m/>
    <m/>
    <m/>
  </r>
  <r>
    <x v="202"/>
    <s v="Taxi tricycle hotel kb fils-hotel tropicana,réservation chambre op"/>
    <s v="Transport"/>
    <s v="Investigations"/>
    <n v="1000"/>
    <n v="1.7827155035636482"/>
    <n v="560.94200000000001"/>
    <s v="P29"/>
    <s v="P29-AU-D1"/>
    <s v="PALF"/>
    <x v="5"/>
    <s v="Congo"/>
    <m/>
    <m/>
    <m/>
  </r>
  <r>
    <x v="202"/>
    <s v="Taxi tricycle hotel tropicana-hotel kb fils"/>
    <s v="Transport"/>
    <s v="Investigations"/>
    <n v="1000"/>
    <n v="1.7827155035636482"/>
    <n v="560.94200000000001"/>
    <s v="P29"/>
    <s v="P29-AU-D1"/>
    <s v="PALF"/>
    <x v="5"/>
    <s v="Congo"/>
    <m/>
    <m/>
    <m/>
  </r>
  <r>
    <x v="202"/>
    <s v="Taxi moto hotel kb fils-hotel mithe,travail avec l'équipe"/>
    <s v="Transport"/>
    <s v="Investigations"/>
    <n v="500"/>
    <n v="0.89135775178182408"/>
    <n v="560.94200000000001"/>
    <s v="P29"/>
    <s v="P29-AU-D1"/>
    <s v="PALF"/>
    <x v="5"/>
    <s v="Congo"/>
    <m/>
    <m/>
    <m/>
  </r>
  <r>
    <x v="202"/>
    <s v="Taxi tricycle hotel mithe-hotel kb fils"/>
    <s v="Transport"/>
    <s v="Investigations"/>
    <n v="1000"/>
    <n v="1.7827155035636482"/>
    <n v="560.94200000000001"/>
    <s v="P29"/>
    <s v="P29-AU-D1"/>
    <s v="PALF"/>
    <x v="5"/>
    <s v="Congo"/>
    <m/>
    <m/>
    <m/>
  </r>
  <r>
    <x v="202"/>
    <s v="Taxi moto hotel kb fils-hotel mithe,travail avec l'équipe"/>
    <s v="Transport"/>
    <s v="Investigations"/>
    <n v="500"/>
    <n v="0.89135775178182408"/>
    <n v="560.94200000000001"/>
    <s v="P29"/>
    <s v="P29-AU-D1"/>
    <s v="PALF"/>
    <x v="5"/>
    <s v="Congo"/>
    <m/>
    <m/>
    <m/>
  </r>
  <r>
    <x v="202"/>
    <s v="Taxi tricycle hotel mithe-hotel kb fils"/>
    <s v="Transport"/>
    <s v="Investigations"/>
    <n v="1000"/>
    <n v="1.7827155035636482"/>
    <n v="560.94200000000001"/>
    <s v="P29"/>
    <s v="P29-AU-D1"/>
    <s v="PALF"/>
    <x v="5"/>
    <s v="Congo"/>
    <m/>
    <m/>
    <m/>
  </r>
  <r>
    <x v="202"/>
    <s v="Taxi moto : hotel KB fils - hotel tropicana(lieu OP)"/>
    <s v="Transport"/>
    <s v="Investigations"/>
    <n v="500"/>
    <n v="0.89135775178182408"/>
    <n v="560.94200000000001"/>
    <s v="T73"/>
    <s v="T73-AU-D1"/>
    <s v="PALF"/>
    <x v="5"/>
    <s v="Congo"/>
    <m/>
    <m/>
    <m/>
  </r>
  <r>
    <x v="202"/>
    <s v="Taxi moto : hotel tropicana - centre ville (rendez vous avec la cible)"/>
    <s v="Transport"/>
    <s v="Investigations"/>
    <n v="500"/>
    <n v="0.89135775178182408"/>
    <n v="560.94200000000001"/>
    <s v="T73"/>
    <s v="T73-AU-D1"/>
    <s v="PALF"/>
    <x v="5"/>
    <s v="Congo"/>
    <m/>
    <m/>
    <m/>
  </r>
  <r>
    <x v="202"/>
    <s v="Taxi moto : centre ville - zone stade (extraction)"/>
    <s v="Transport"/>
    <s v="Investigations"/>
    <n v="500"/>
    <n v="0.89135775178182408"/>
    <n v="560.94200000000001"/>
    <s v="T73"/>
    <s v="T73-AU-D1"/>
    <s v="PALF"/>
    <x v="5"/>
    <s v="Congo"/>
    <m/>
    <m/>
    <m/>
  </r>
  <r>
    <x v="202"/>
    <s v="Taxi moto : zone stade - zone hopital (extraction)"/>
    <s v="Transport"/>
    <s v="Investigations"/>
    <n v="500"/>
    <n v="0.89135775178182408"/>
    <n v="560.94200000000001"/>
    <s v="T73"/>
    <s v="T73-AU-D1"/>
    <s v="PALF"/>
    <x v="5"/>
    <s v="Congo"/>
    <m/>
    <m/>
    <m/>
  </r>
  <r>
    <x v="202"/>
    <s v="Taxi moto : zone hopital - l'hotel tropicana (extraction)"/>
    <s v="Transport"/>
    <s v="Investigations"/>
    <n v="500"/>
    <n v="0.89135775178182408"/>
    <n v="560.94200000000001"/>
    <s v="T73"/>
    <s v="T73-AU-D1"/>
    <s v="PALF"/>
    <x v="5"/>
    <s v="Congo"/>
    <m/>
    <m/>
    <m/>
  </r>
  <r>
    <x v="202"/>
    <s v="T73 - CONGO Frais d'hotel du 16 au 23/08/2025 à Impfondo (07 Nuitées)"/>
    <s v="Travel Subsistence"/>
    <s v="Investigations"/>
    <n v="105000"/>
    <n v="187.18512787418308"/>
    <n v="560.94200000000001"/>
    <s v="T73"/>
    <s v="T73-AU-R9"/>
    <s v="PALF"/>
    <x v="5"/>
    <s v="Congo"/>
    <m/>
    <m/>
    <m/>
  </r>
  <r>
    <x v="202"/>
    <s v="IT87-CONGO Frais d'hôtel  du 21 au 23/08/2025 à Ngo (02 nuitées)"/>
    <s v="Travel Subsistence"/>
    <s v="Investigations"/>
    <n v="30000"/>
    <n v="53.481465106909447"/>
    <n v="560.94200000000001"/>
    <s v="IT87"/>
    <s v="IT87-AU-R7"/>
    <s v="PALF"/>
    <x v="5"/>
    <s v="Congo"/>
    <m/>
    <m/>
    <m/>
  </r>
  <r>
    <x v="202"/>
    <s v="Taxi moto : Hôtel - Parking/ Départ de Ngo pour Inoni"/>
    <s v="Transport"/>
    <s v="Investigations"/>
    <n v="500"/>
    <n v="0.89135775178182408"/>
    <n v="560.94200000000001"/>
    <s v="IT87"/>
    <s v="IT87-AU-D1"/>
    <s v="PALF"/>
    <x v="5"/>
    <s v="Congo"/>
    <m/>
    <m/>
    <m/>
  </r>
  <r>
    <x v="202"/>
    <s v="Achat billet Ngo - Inoni/ IT87"/>
    <s v="Transport"/>
    <s v="Investigations"/>
    <n v="5000"/>
    <n v="8.9135775178182417"/>
    <n v="560.94200000000001"/>
    <s v="IT87"/>
    <s v="IT87-AU-R8"/>
    <s v="PALF"/>
    <x v="5"/>
    <s v="Congo"/>
    <m/>
    <m/>
    <m/>
  </r>
  <r>
    <x v="202"/>
    <s v="Taxi moto : Parking - Hôtel Paulina/ Arrivé à Inoni"/>
    <s v="Transport"/>
    <s v="Investigations"/>
    <n v="500"/>
    <n v="0.89135775178182408"/>
    <n v="560.94200000000001"/>
    <s v="IT87"/>
    <s v="IT87-AU-D1"/>
    <s v="PALF"/>
    <x v="5"/>
    <s v="Congo"/>
    <m/>
    <m/>
    <m/>
  </r>
  <r>
    <x v="202"/>
    <s v="Taxi moto : Hôtel - Ecole primaire de Inoni/ Prospection"/>
    <s v="Transport"/>
    <s v="Investigations"/>
    <n v="500"/>
    <n v="0.89135775178182408"/>
    <n v="560.94200000000001"/>
    <s v="IT87"/>
    <s v="IT87-AU-D1"/>
    <s v="PALF"/>
    <x v="5"/>
    <s v="Congo"/>
    <m/>
    <m/>
    <m/>
  </r>
  <r>
    <x v="202"/>
    <s v="Taxi moto : Ecole primaire d'Inoni - Centre/ Prospection"/>
    <s v="Transport"/>
    <s v="Investigations"/>
    <n v="500"/>
    <n v="0.89135775178182408"/>
    <n v="560.94200000000001"/>
    <s v="IT87"/>
    <s v="IT87-AU-D1"/>
    <s v="PALF"/>
    <x v="5"/>
    <s v="Congo"/>
    <m/>
    <m/>
    <m/>
  </r>
  <r>
    <x v="202"/>
    <s v="Taxi moto : Centre - Hôtel/ Retour de prospection"/>
    <s v="Transport"/>
    <s v="Investigations"/>
    <n v="500"/>
    <n v="0.89135775178182408"/>
    <n v="560.94200000000001"/>
    <s v="IT87"/>
    <s v="IT87-AU-D1"/>
    <s v="PALF"/>
    <x v="5"/>
    <s v="Congo"/>
    <m/>
    <m/>
    <m/>
  </r>
  <r>
    <x v="202"/>
    <s v="Taxi :Hotel - gare routière"/>
    <s v="Transport"/>
    <s v="Investigations"/>
    <n v="500"/>
    <n v="0.89135775178182408"/>
    <n v="560.94200000000001"/>
    <s v="G12"/>
    <s v="G12-AU-D1"/>
    <s v="PALF"/>
    <x v="5"/>
    <s v="Congo"/>
    <m/>
    <m/>
    <m/>
  </r>
  <r>
    <x v="202"/>
    <s v="G12-CONGO Achat billet Pointe Noire - Hinda"/>
    <s v="Transport"/>
    <s v="Investigations"/>
    <n v="4000"/>
    <n v="7.1308620142545927"/>
    <n v="560.94200000000001"/>
    <s v="G12"/>
    <s v="G12-AU-R7"/>
    <s v="PALF"/>
    <x v="5"/>
    <s v="Congo"/>
    <m/>
    <m/>
    <m/>
  </r>
  <r>
    <x v="202"/>
    <s v="Taxi:Gare routière - zone de la préfecture"/>
    <s v="Transport"/>
    <s v="Investigations"/>
    <n v="500"/>
    <n v="0.89135775178182408"/>
    <n v="560.94200000000001"/>
    <s v="G12"/>
    <s v="G12-AU-D1"/>
    <s v="PALF"/>
    <x v="5"/>
    <s v="Congo"/>
    <m/>
    <m/>
    <m/>
  </r>
  <r>
    <x v="202"/>
    <s v="Achat boisson 1 cible"/>
    <s v="Trust Building"/>
    <s v="Investigations"/>
    <n v="1000"/>
    <n v="1.7827155035636482"/>
    <n v="560.94200000000001"/>
    <s v="G12"/>
    <s v="G12-AU-D3"/>
    <s v="PALF"/>
    <x v="5"/>
    <s v="Congo"/>
    <m/>
    <m/>
    <m/>
  </r>
  <r>
    <x v="202"/>
    <s v="Taxi:Zone de préfecture - marché"/>
    <s v="Transport"/>
    <s v="Investigations"/>
    <n v="500"/>
    <n v="0.89135775178182408"/>
    <n v="560.94200000000001"/>
    <s v="G12"/>
    <s v="G12-AU-D1"/>
    <s v="PALF"/>
    <x v="5"/>
    <s v="Congo"/>
    <m/>
    <m/>
    <m/>
  </r>
  <r>
    <x v="202"/>
    <s v="Taxi : Marché -gare routière"/>
    <s v="Transport"/>
    <s v="Investigations"/>
    <n v="500"/>
    <n v="0.89135775178182408"/>
    <n v="560.94200000000001"/>
    <s v="G12"/>
    <s v="G12-AU-D1"/>
    <s v="PALF"/>
    <x v="5"/>
    <s v="Congo"/>
    <m/>
    <m/>
    <m/>
  </r>
  <r>
    <x v="202"/>
    <s v="G12-CONGO Achat billet Hinda -Pointe Noire"/>
    <s v="Transport"/>
    <s v="Investigations"/>
    <n v="4000"/>
    <n v="7.1308620142545927"/>
    <n v="560.94200000000001"/>
    <s v="G12"/>
    <s v="G12-AU-R8"/>
    <s v="PALF"/>
    <x v="5"/>
    <s v="Congo"/>
    <m/>
    <m/>
    <m/>
  </r>
  <r>
    <x v="202"/>
    <s v="Taxi: Gare routière -agence trans bony"/>
    <s v="Transport"/>
    <s v="Investigations"/>
    <n v="1000"/>
    <n v="1.7827155035636482"/>
    <n v="560.94200000000001"/>
    <s v="G12"/>
    <s v="G12-AU-D1"/>
    <s v="PALF"/>
    <x v="5"/>
    <s v="Congo"/>
    <m/>
    <m/>
    <m/>
  </r>
  <r>
    <x v="202"/>
    <s v="G12-CONGO Achat billet Pointe Noire- Brazzaville"/>
    <s v="Transport"/>
    <s v="Investigations"/>
    <n v="12000"/>
    <n v="21.392586042763778"/>
    <n v="560.94200000000001"/>
    <s v="G12"/>
    <s v="G12-AU-R9"/>
    <s v="PALF"/>
    <x v="5"/>
    <s v="Congo"/>
    <m/>
    <m/>
    <m/>
  </r>
  <r>
    <x v="202"/>
    <s v="Taxi : Agence - hotel"/>
    <s v="Transport"/>
    <s v="Investigations"/>
    <n v="1000"/>
    <n v="1.7827155035636482"/>
    <n v="560.94200000000001"/>
    <s v="G12"/>
    <s v="G12-AU-D1"/>
    <s v="PALF"/>
    <x v="5"/>
    <s v="Congo"/>
    <m/>
    <m/>
    <m/>
  </r>
  <r>
    <x v="202"/>
    <s v="Taxi moto Hôtel Mithé- Hôtel Tropicana/ Reperage"/>
    <s v="Transport "/>
    <s v="Legal"/>
    <n v="500"/>
    <n v="0.89135775178182408"/>
    <n v="560.94200000000001"/>
    <s v="Donald-Roméo"/>
    <s v="DR-AU-D1"/>
    <s v="PALF"/>
    <x v="5"/>
    <s v="Congo"/>
    <m/>
    <m/>
    <m/>
  </r>
  <r>
    <x v="202"/>
    <s v="Taxi moto Hôtel Tropicana- Aeroport d'Impfondo"/>
    <s v="Transport "/>
    <s v="Legal"/>
    <n v="500"/>
    <n v="0.89135775178182408"/>
    <n v="560.94200000000001"/>
    <s v="Donald-Roméo"/>
    <s v="DR-AU-D1"/>
    <s v="PALF"/>
    <x v="5"/>
    <s v="Congo"/>
    <m/>
    <m/>
    <m/>
  </r>
  <r>
    <x v="202"/>
    <s v="Taxi moto Aeroport d'Impfondo-Charden farell/ Retrait des fonds"/>
    <s v="Transport "/>
    <s v="Legal"/>
    <n v="500"/>
    <n v="0.89135775178182408"/>
    <n v="560.94200000000001"/>
    <s v="Donald-Roméo"/>
    <s v="DR-AU-D1"/>
    <s v="PALF"/>
    <x v="5"/>
    <s v="Congo"/>
    <m/>
    <m/>
    <m/>
  </r>
  <r>
    <x v="202"/>
    <s v="Taxi Charden farell-Hôtel Mithé"/>
    <s v="Transport "/>
    <s v="Legal"/>
    <n v="500"/>
    <n v="0.89135775178182408"/>
    <n v="560.94200000000001"/>
    <s v="Donald-Roméo"/>
    <s v="DR-AU-D1"/>
    <s v="PALF"/>
    <x v="5"/>
    <s v="Congo"/>
    <m/>
    <m/>
    <m/>
  </r>
  <r>
    <x v="202"/>
    <s v="Taxi moto, Hôtel Mithé2-les environs de l'hôtel Tropicana"/>
    <s v="Transport"/>
    <s v="Media"/>
    <n v="500"/>
    <n v="0.89135775178182408"/>
    <n v="560.94200000000001"/>
    <s v="Evariste"/>
    <s v="EV-AU-D1"/>
    <s v="PALF"/>
    <x v="5"/>
    <s v="Congo"/>
    <m/>
    <m/>
    <m/>
  </r>
  <r>
    <x v="202"/>
    <s v="Taxi moto, Hôtel Tropicana-Hôtel Mithé2"/>
    <s v="Transport"/>
    <s v="Media"/>
    <n v="500"/>
    <n v="0.89135775178182408"/>
    <n v="560.94200000000001"/>
    <s v="Evariste"/>
    <s v="EV-AU-D1"/>
    <s v="PALF"/>
    <x v="5"/>
    <s v="Congo"/>
    <m/>
    <m/>
    <m/>
  </r>
  <r>
    <x v="203"/>
    <s v="Maison-Bureau"/>
    <s v="Transport"/>
    <s v="Management"/>
    <n v="1000"/>
    <n v="1.7827155035636482"/>
    <n v="560.94200000000001"/>
    <s v="DOVI"/>
    <s v="DH-AU-D1"/>
    <s v="PALF"/>
    <x v="5"/>
    <s v="Congo"/>
    <m/>
    <m/>
    <m/>
  </r>
  <r>
    <x v="203"/>
    <s v="Bureau-Maison"/>
    <s v="Transport"/>
    <s v="Management"/>
    <n v="1000"/>
    <n v="1.7827155035636482"/>
    <n v="560.94200000000001"/>
    <s v="DOVI"/>
    <s v="DH-AU-D1"/>
    <s v="PALF"/>
    <x v="5"/>
    <s v="Congo"/>
    <m/>
    <m/>
    <m/>
  </r>
  <r>
    <x v="203"/>
    <s v="Taxi moto: Hôtel Tropicana-Hôtel Mithé pour briefing équipe PALF."/>
    <s v="Transport"/>
    <s v="Legal"/>
    <n v="500"/>
    <n v="0.89135775178182408"/>
    <n v="560.94200000000001"/>
    <s v="Crépin"/>
    <s v="CR-AU-D1"/>
    <s v="PALF"/>
    <x v="5"/>
    <s v="Congo"/>
    <m/>
    <m/>
    <m/>
  </r>
  <r>
    <x v="203"/>
    <s v="Taxi moto: Hôtel Mithé-Hôtel Tropicana"/>
    <s v="Transport"/>
    <s v="Legal"/>
    <n v="500"/>
    <n v="0.89135775178182408"/>
    <n v="560.94200000000001"/>
    <s v="Crépin"/>
    <s v="CR-AU-D1"/>
    <s v="PALF"/>
    <x v="5"/>
    <s v="Congo"/>
    <m/>
    <m/>
    <m/>
  </r>
  <r>
    <x v="203"/>
    <s v="Taxi tricycle hotel kb fils-hotel mithe,brefing"/>
    <s v="Transport"/>
    <s v="Investigations"/>
    <n v="1000"/>
    <n v="1.7827155035636482"/>
    <n v="560.94200000000001"/>
    <s v="P29"/>
    <s v="P29-AU-D1"/>
    <s v="PALF"/>
    <x v="5"/>
    <s v="Congo"/>
    <m/>
    <m/>
    <m/>
  </r>
  <r>
    <x v="203"/>
    <s v="Taxi tricycle hotel mithe-hotel kb fils"/>
    <s v="Transport"/>
    <s v="Investigations"/>
    <n v="1000"/>
    <n v="1.7827155035636482"/>
    <n v="560.94200000000001"/>
    <s v="P29"/>
    <s v="P29-AU-D1"/>
    <s v="PALF"/>
    <x v="5"/>
    <s v="Congo"/>
    <m/>
    <m/>
    <m/>
  </r>
  <r>
    <x v="203"/>
    <s v="Taxi moto : hotel tropicana - centre ville (rendez vous avec la cible)"/>
    <s v="Transport"/>
    <s v="Investigations"/>
    <n v="500"/>
    <n v="0.89135775178182408"/>
    <n v="560.94200000000001"/>
    <s v="T73"/>
    <s v="T73-AU-D1"/>
    <s v="PALF"/>
    <x v="5"/>
    <s v="Congo"/>
    <m/>
    <m/>
    <m/>
  </r>
  <r>
    <x v="203"/>
    <s v="Taxi moto : centre ville - marché (extraction)"/>
    <s v="Transport"/>
    <s v="Investigations"/>
    <n v="500"/>
    <n v="0.89135775178182408"/>
    <n v="560.94200000000001"/>
    <s v="T73"/>
    <s v="T73-AU-D1"/>
    <s v="PALF"/>
    <x v="5"/>
    <s v="Congo"/>
    <m/>
    <m/>
    <m/>
  </r>
  <r>
    <x v="203"/>
    <s v="Taxi moto : marché - zone stade (extraction)"/>
    <s v="Transport"/>
    <s v="Investigations"/>
    <n v="500"/>
    <n v="0.89135775178182408"/>
    <n v="560.94200000000001"/>
    <s v="T73"/>
    <s v="T73-AU-D1"/>
    <s v="PALF"/>
    <x v="5"/>
    <s v="Congo"/>
    <m/>
    <m/>
    <m/>
  </r>
  <r>
    <x v="203"/>
    <s v="Taxi moto : zone stade - quartier tosangana (extraction)"/>
    <s v="Transport"/>
    <s v="Investigations"/>
    <n v="500"/>
    <n v="0.89135775178182408"/>
    <n v="560.94200000000001"/>
    <s v="T73"/>
    <s v="T73-AU-D1"/>
    <s v="PALF"/>
    <x v="5"/>
    <s v="Congo"/>
    <m/>
    <m/>
    <m/>
  </r>
  <r>
    <x v="203"/>
    <s v="Taxi moto : quartier tosangana - hotel mithe (reunion avec l'équipe)"/>
    <s v="Transport"/>
    <s v="Investigations"/>
    <n v="500"/>
    <n v="0.89135775178182408"/>
    <n v="560.94200000000001"/>
    <s v="T73"/>
    <s v="T73-AU-D1"/>
    <s v="PALF"/>
    <x v="5"/>
    <s v="Congo"/>
    <m/>
    <m/>
    <m/>
  </r>
  <r>
    <x v="203"/>
    <s v="Taxi moto : hotel mithe - hottel tropicana (reunion avec l'équipe)"/>
    <s v="Transport"/>
    <s v="Investigations"/>
    <n v="500"/>
    <n v="0.89135775178182408"/>
    <n v="560.94200000000001"/>
    <s v="T73"/>
    <s v="T73-AU-D1"/>
    <s v="PALF"/>
    <x v="5"/>
    <s v="Congo"/>
    <m/>
    <m/>
    <m/>
  </r>
  <r>
    <x v="203"/>
    <s v="IT87-CONGO Frais d'hôtel  du 23 au 24/08/2025 à Inoni (01 nuitée)"/>
    <s v="Travel Subsistence"/>
    <s v="Investigations"/>
    <n v="15000"/>
    <n v="26.740732553454723"/>
    <n v="560.94200000000001"/>
    <s v="IT87"/>
    <s v="IT87-AU-R9"/>
    <s v="PALF"/>
    <x v="5"/>
    <s v="Congo"/>
    <m/>
    <m/>
    <m/>
  </r>
  <r>
    <x v="203"/>
    <s v="Taxi moto : Hôtel - Parking/ Départ de Inoni pour Brazzaville"/>
    <s v="Transport"/>
    <s v="Investigations"/>
    <n v="500"/>
    <n v="0.89135775178182408"/>
    <n v="560.94200000000001"/>
    <s v="IT87"/>
    <s v="IT87-AU-D1"/>
    <s v="PALF"/>
    <x v="5"/>
    <s v="Congo"/>
    <m/>
    <m/>
    <m/>
  </r>
  <r>
    <x v="203"/>
    <s v="Achat billet Inoni - Brazzaville/ IT87"/>
    <s v="Transport"/>
    <s v="Investigations"/>
    <n v="5000"/>
    <n v="8.9135775178182417"/>
    <n v="560.94200000000001"/>
    <s v="IT87"/>
    <s v="IT87-AU-R10"/>
    <s v="PALF"/>
    <x v="5"/>
    <s v="Congo"/>
    <m/>
    <m/>
    <m/>
  </r>
  <r>
    <x v="203"/>
    <s v="Taxi : TalangaÏ - Domicile/ Arrivé à Brazzaville"/>
    <s v="Transport"/>
    <s v="Investigations"/>
    <n v="4000"/>
    <n v="7.1308620142545927"/>
    <n v="560.94200000000001"/>
    <s v="IT87"/>
    <s v="IT87-AU-D1"/>
    <s v="PALF"/>
    <x v="5"/>
    <s v="Congo"/>
    <m/>
    <m/>
    <m/>
  </r>
  <r>
    <x v="203"/>
    <s v="CONGO frais d'hôtel du 19 /08/2025 au 24/08/2025 à pointe noire"/>
    <s v="Travel Subsistence"/>
    <s v="Investigations"/>
    <n v="75000"/>
    <n v="133.70366276727361"/>
    <n v="560.94200000000001"/>
    <s v="G12"/>
    <s v="G12-AU-R10"/>
    <s v="PALF"/>
    <x v="5"/>
    <s v="Congo"/>
    <m/>
    <m/>
    <m/>
  </r>
  <r>
    <x v="203"/>
    <s v="Taxi : Hotel- agence / achat billet pointe noire / brazzaville"/>
    <s v="Transport"/>
    <s v="Investigations"/>
    <n v="1000"/>
    <n v="1.7827155035636482"/>
    <n v="560.94200000000001"/>
    <s v="G12"/>
    <s v="G12-AU-D1"/>
    <s v="PALF"/>
    <x v="5"/>
    <s v="Congo"/>
    <m/>
    <m/>
    <m/>
  </r>
  <r>
    <x v="203"/>
    <s v="Taxi: Agence - domicile     "/>
    <s v="Transport"/>
    <s v="Investigations"/>
    <n v="1000"/>
    <n v="1.7827155035636482"/>
    <n v="560.94200000000001"/>
    <s v="G12"/>
    <s v="G12-AU-D1"/>
    <s v="PALF"/>
    <x v="5"/>
    <s v="Congo"/>
    <m/>
    <m/>
    <m/>
  </r>
  <r>
    <x v="203"/>
    <s v="Taxi moto Hôtel Mithé- Cyber / Faire imprimer la photo et le mandat"/>
    <s v="Transport "/>
    <s v="Legal"/>
    <n v="500"/>
    <n v="0.89135775178182408"/>
    <n v="560.94200000000001"/>
    <s v="Donald-Roméo"/>
    <s v="DR-AU-D1"/>
    <s v="PALF"/>
    <x v="5"/>
    <s v="Congo"/>
    <m/>
    <m/>
    <m/>
  </r>
  <r>
    <x v="203"/>
    <s v="Frais d'impression de la photo et du mandat"/>
    <s v="Court fees"/>
    <s v="Legal"/>
    <n v="1400"/>
    <n v="2.4958017049891077"/>
    <n v="560.94200000000001"/>
    <s v="Donald-Roméo"/>
    <s v="DR-AU-R6"/>
    <s v="PALF"/>
    <x v="5"/>
    <s v="Congo"/>
    <m/>
    <m/>
    <m/>
  </r>
  <r>
    <x v="203"/>
    <s v="Taxi moto Cyber-Hôtel Mithé"/>
    <s v="Transport "/>
    <s v="Legal"/>
    <n v="500"/>
    <n v="0.89135775178182408"/>
    <n v="560.94200000000001"/>
    <s v="Donald-Roméo"/>
    <s v="DR-AU-D1"/>
    <s v="PALF"/>
    <x v="5"/>
    <s v="Congo"/>
    <m/>
    <m/>
    <m/>
  </r>
  <r>
    <x v="204"/>
    <s v="Maison-Bureau"/>
    <s v="Transport"/>
    <s v="Management"/>
    <n v="1000"/>
    <n v="1.7827155035636482"/>
    <n v="560.94200000000001"/>
    <s v="DOVI"/>
    <s v="DH-AU-D1"/>
    <s v="PALF"/>
    <x v="5"/>
    <s v="Congo"/>
    <m/>
    <m/>
    <m/>
  </r>
  <r>
    <x v="204"/>
    <s v="Bureau-Maison"/>
    <s v="Transport"/>
    <s v="Management"/>
    <n v="1000"/>
    <n v="1.7827155035636482"/>
    <n v="560.94200000000001"/>
    <s v="DOVI"/>
    <s v="DH-AU-D1"/>
    <s v="PALF"/>
    <x v="5"/>
    <s v="Congo"/>
    <m/>
    <m/>
    <m/>
  </r>
  <r>
    <x v="204"/>
    <s v="Taxi moto: Hôtel Tropicana-Gendarmerie pour briefing autorités"/>
    <s v="Transport"/>
    <s v="Legal"/>
    <n v="500"/>
    <n v="0.89135775178182408"/>
    <n v="560.94200000000001"/>
    <s v="Crépin"/>
    <s v="CR-AU-D1"/>
    <s v="PALF"/>
    <x v="5"/>
    <s v="Congo"/>
    <m/>
    <m/>
    <m/>
  </r>
  <r>
    <x v="204"/>
    <s v="05 Taxis motos pour 04 gendarmes et moi: Gendarmerie-Hôtel Tropicana pour positionnement"/>
    <s v="Transport"/>
    <s v="Legal"/>
    <n v="2000"/>
    <n v="3.5654310071272963"/>
    <n v="560.94200000000001"/>
    <s v="Crépin"/>
    <s v="CR-AU-D1"/>
    <s v="PALF"/>
    <x v="5"/>
    <s v="Congo"/>
    <m/>
    <m/>
    <m/>
  </r>
  <r>
    <x v="204"/>
    <s v="Raffraichissements pendant l'attente de l'opération avec 04 gendarmes en civli"/>
    <s v="Travel Subsistence"/>
    <s v="Operations"/>
    <n v="10000"/>
    <n v="17.827155035636483"/>
    <n v="560.94200000000001"/>
    <s v="Crépin"/>
    <s v="CR-AU-R1-8"/>
    <s v="PALF"/>
    <x v="5"/>
    <s v="Congo"/>
    <m/>
    <m/>
    <m/>
  </r>
  <r>
    <x v="204"/>
    <s v="Taxi moto: Gendarmerie-Hôtel Mithé"/>
    <s v="Transport"/>
    <s v="Legal"/>
    <n v="500"/>
    <n v="0.89135775178182408"/>
    <n v="560.94200000000001"/>
    <s v="Crépin"/>
    <s v="CR-AU-D1"/>
    <s v="PALF"/>
    <x v="5"/>
    <s v="Congo"/>
    <m/>
    <m/>
    <m/>
  </r>
  <r>
    <x v="204"/>
    <s v="Taxi:  Bureau-Banque BCI/ Dépôt ordre de virement salaire du mois d'Août 2025"/>
    <s v="Transport"/>
    <s v="Office"/>
    <n v="1000"/>
    <n v="1.7827155035636482"/>
    <n v="560.94200000000001"/>
    <s v="Parfaite"/>
    <s v="P-AU-D1"/>
    <s v="PALF"/>
    <x v="5"/>
    <s v="Congo"/>
    <m/>
    <m/>
    <m/>
  </r>
  <r>
    <x v="204"/>
    <s v="Taxi:  Banque BCI - Direction MTN /Transfert d'argent à P29 et T73"/>
    <s v="Transport"/>
    <s v="Office"/>
    <n v="1000"/>
    <n v="1.7827155035636482"/>
    <n v="560.94200000000001"/>
    <s v="Parfaite"/>
    <s v="P-AU-D1"/>
    <s v="PALF"/>
    <x v="5"/>
    <s v="Congo"/>
    <m/>
    <m/>
    <m/>
  </r>
  <r>
    <x v="204"/>
    <s v="Taxi: Direction MTN-Bureau/ "/>
    <s v="Transport"/>
    <s v="Office"/>
    <n v="1000"/>
    <n v="1.7827155035636482"/>
    <n v="560.94200000000001"/>
    <s v="Parfaite"/>
    <s v="P-AU-D1"/>
    <s v="PALF"/>
    <x v="5"/>
    <s v="Congo"/>
    <m/>
    <m/>
    <m/>
  </r>
  <r>
    <x v="204"/>
    <s v="Frais de tansfert d'argent à T73 et P29"/>
    <s v="Transfert fees"/>
    <s v="Office"/>
    <n v="12985"/>
    <n v="23.148560813773972"/>
    <n v="560.94200000000001"/>
    <s v="Parfaite"/>
    <s v="CA-AU-R11"/>
    <s v="PALF"/>
    <x v="5"/>
    <s v="Congo"/>
    <m/>
    <m/>
    <m/>
  </r>
  <r>
    <x v="204"/>
    <s v="P29 -CONGO Frais d'hotel du 16 au 25/08/2025 à  impfondo (09 Nuitées)"/>
    <s v="Travel Subsistence"/>
    <s v="Investigations"/>
    <n v="135000"/>
    <n v="240.66659298109252"/>
    <n v="560.94200000000001"/>
    <s v="P29"/>
    <s v="P29-AU-R8"/>
    <s v="PALF"/>
    <x v="5"/>
    <s v="Congo"/>
    <m/>
    <m/>
    <m/>
  </r>
  <r>
    <x v="204"/>
    <s v="Location véhicule pour extraction Impfondo-enyelle/P29"/>
    <s v="Transport"/>
    <s v="Investigations"/>
    <n v="350000"/>
    <n v="623.95042624727694"/>
    <n v="560.94200000000001"/>
    <s v="P29"/>
    <s v="P29-AU-R9"/>
    <s v="PALF"/>
    <x v="5"/>
    <s v="Congo"/>
    <m/>
    <m/>
    <m/>
  </r>
  <r>
    <x v="204"/>
    <s v="Taxi hotel-route nationale,croiser le vehicule extraction"/>
    <s v="Transport"/>
    <s v="Investigations"/>
    <n v="1000"/>
    <n v="1.7827155035636482"/>
    <n v="560.94200000000001"/>
    <s v="P29"/>
    <s v="P29-AU-D1"/>
    <s v="PALF"/>
    <x v="5"/>
    <s v="Congo"/>
    <m/>
    <m/>
    <m/>
  </r>
  <r>
    <x v="204"/>
    <s v="Taxi moto Hôtel Mithé- Gendarmerie/ Opération"/>
    <s v="Transport "/>
    <s v="Legal"/>
    <n v="500"/>
    <n v="0.89135775178182408"/>
    <n v="560.94200000000001"/>
    <s v="Donald-Roméo"/>
    <s v="DR-AU-D1"/>
    <s v="PALF"/>
    <x v="5"/>
    <s v="Congo"/>
    <m/>
    <m/>
    <m/>
  </r>
  <r>
    <x v="204"/>
    <s v="Achat carburant BJ OP"/>
    <s v="Transport "/>
    <s v="Operations"/>
    <n v="25000"/>
    <n v="44.567887589091207"/>
    <n v="560.94200000000001"/>
    <s v="Donald-Roméo"/>
    <s v="DR-AU-R7"/>
    <s v="PALF"/>
    <x v="5"/>
    <s v="Congo"/>
    <m/>
    <m/>
    <m/>
  </r>
  <r>
    <x v="204"/>
    <s v="Raffraichissement OP  à Impfondo/10  gendarmes et moi"/>
    <s v="Travel Subsistence"/>
    <s v="Legal"/>
    <n v="23250"/>
    <n v="41.448135457854825"/>
    <n v="560.94200000000001"/>
    <s v="Donald-Roméo"/>
    <s v="DR-AU-R8"/>
    <s v="PALF"/>
    <x v="5"/>
    <s v="Congo"/>
    <m/>
    <m/>
    <m/>
  </r>
  <r>
    <x v="204"/>
    <s v="Taxi moto Region de Gendarmerie- Hôtel Mithé"/>
    <s v="Transport "/>
    <s v="Legal"/>
    <n v="500"/>
    <n v="0.89135775178182408"/>
    <n v="560.94200000000001"/>
    <s v="Donald-Roméo"/>
    <s v="DR-AU-D1"/>
    <s v="PALF"/>
    <x v="5"/>
    <s v="Congo"/>
    <m/>
    <m/>
    <m/>
  </r>
  <r>
    <x v="204"/>
    <s v="Taxi moto Hôtel Mithé-La Brigade de Recherche/ Pour la visite geôle du 25/08/2025 à 20h"/>
    <s v="Transport "/>
    <s v="Legal"/>
    <n v="500"/>
    <n v="0.89135775178182408"/>
    <n v="560.94200000000001"/>
    <s v="Donald-Roméo"/>
    <s v="DR-AU-D1"/>
    <s v="PALF"/>
    <x v="5"/>
    <s v="Congo"/>
    <m/>
    <m/>
    <m/>
  </r>
  <r>
    <x v="204"/>
    <s v="Ration d'une prevenue/ MOUKAHOU Clarisse/ A la gandarmerie d'Impfondo/Soir"/>
    <s v="Jail visit"/>
    <s v="Legal"/>
    <n v="1500"/>
    <n v="2.6740732553454722"/>
    <n v="560.94200000000001"/>
    <s v="Donald-Roméo"/>
    <s v="DR-AU-D3"/>
    <s v="PALF"/>
    <x v="5"/>
    <s v="Congo"/>
    <m/>
    <m/>
    <m/>
  </r>
  <r>
    <x v="204"/>
    <s v="Taxi moto La Brigade de Recherche- Hôtel Mithé"/>
    <s v="Transport "/>
    <s v="Legal"/>
    <n v="500"/>
    <n v="0.89135775178182408"/>
    <n v="560.94200000000001"/>
    <s v="Donald-Roméo"/>
    <s v="DR-AU-D1"/>
    <s v="PALF"/>
    <x v="5"/>
    <s v="Congo"/>
    <m/>
    <m/>
    <m/>
  </r>
  <r>
    <x v="204"/>
    <s v="Taxi moto, Hôtel Mithé2-Région de Gendarmerie"/>
    <s v="Transport"/>
    <s v="Media"/>
    <n v="500"/>
    <n v="0.89135775178182408"/>
    <n v="560.94200000000001"/>
    <s v="Evariste"/>
    <s v="EV-AU-D1"/>
    <s v="PALF"/>
    <x v="5"/>
    <s v="Congo"/>
    <m/>
    <m/>
    <m/>
  </r>
  <r>
    <x v="204"/>
    <s v="Taxi moto, Région de Gendarmerie-Le Bar en face de l'hôtel Tropicana"/>
    <s v="Transport"/>
    <s v="Media"/>
    <n v="500"/>
    <n v="0.89135775178182408"/>
    <n v="560.94200000000001"/>
    <s v="Evariste"/>
    <s v="EV-AU-D1"/>
    <s v="PALF"/>
    <x v="5"/>
    <s v="Congo"/>
    <m/>
    <m/>
    <m/>
  </r>
  <r>
    <x v="204"/>
    <s v="Rafraichissement de mon équipe lors de l'opération/ Evariste"/>
    <s v="Travel Subsistence"/>
    <s v="Media"/>
    <n v="10000"/>
    <n v="17.827155035636483"/>
    <n v="560.94200000000001"/>
    <s v="Evariste"/>
    <s v="EV-AU-R6"/>
    <s v="PALF"/>
    <x v="5"/>
    <s v="Congo"/>
    <m/>
    <m/>
    <m/>
  </r>
  <r>
    <x v="204"/>
    <s v="Taxi moto, Région de Gendarmerie-Hôtel Mithé2"/>
    <s v="Transport"/>
    <s v="Media"/>
    <n v="500"/>
    <n v="0.89135775178182408"/>
    <n v="560.94200000000001"/>
    <s v="Evariste"/>
    <s v="EV-AU-D1"/>
    <s v="PALF"/>
    <x v="5"/>
    <s v="Congo"/>
    <m/>
    <m/>
    <m/>
  </r>
  <r>
    <x v="204"/>
    <s v="Achat chaise  bureau PALF"/>
    <s v="Equipment"/>
    <s v="Office"/>
    <n v="35000"/>
    <n v="62.395042624727687"/>
    <n v="560.94200000000001"/>
    <s v="Romain"/>
    <s v="CA-AU-R9"/>
    <s v="PALF"/>
    <x v="5"/>
    <s v="Congo"/>
    <m/>
    <m/>
    <m/>
  </r>
  <r>
    <x v="204"/>
    <s v="Frais de reparation chaise bureau PALF"/>
    <s v="Services"/>
    <s v="Office"/>
    <n v="5000"/>
    <n v="8.9135775178182417"/>
    <n v="560.94200000000001"/>
    <s v="Romain"/>
    <s v="CA-AU-R10"/>
    <s v="PALF"/>
    <x v="5"/>
    <s v="Congo"/>
    <m/>
    <m/>
    <m/>
  </r>
  <r>
    <x v="204"/>
    <s v="Paiement salaire du mois d'Août 2025/BAVOUMINA NZOUSSI Dina Parfaite/3654421"/>
    <s v="Personnel"/>
    <s v="Office"/>
    <n v="258800"/>
    <n v="461.3667723222722"/>
    <n v="560.94200000000001"/>
    <s v="BCI"/>
    <s v="BQ-AU-R8"/>
    <s v="PALF"/>
    <x v="5"/>
    <s v="Congo"/>
    <m/>
    <m/>
    <m/>
  </r>
  <r>
    <x v="204"/>
    <s v="Paiement salaire du mois d'Août 2025/FOUMBA Roderlin/3654424"/>
    <s v="Personnel"/>
    <s v="Legal"/>
    <n v="228800"/>
    <n v="407.88530721536273"/>
    <n v="560.94200000000001"/>
    <s v="BCI"/>
    <s v="BQ-AU-R9"/>
    <s v="PALF"/>
    <x v="5"/>
    <s v="Congo"/>
    <m/>
    <m/>
    <m/>
  </r>
  <r>
    <x v="204"/>
    <s v="Paiement salaire du mois d'Août 2025/BOUNGOU MAKOSSO Abraham/3654423"/>
    <s v="Personnel"/>
    <s v="Legal"/>
    <n v="228800"/>
    <n v="407.88530721536273"/>
    <n v="560.94200000000001"/>
    <s v="BCI"/>
    <s v="BQ-AU-R10"/>
    <s v="PALF"/>
    <x v="5"/>
    <s v="Congo"/>
    <m/>
    <m/>
    <m/>
  </r>
  <r>
    <x v="204"/>
    <s v="Paiement salaire du mois d'Août 2025/Crepin IBOUILI-IBOUILI"/>
    <s v="Personnel"/>
    <s v="Legal"/>
    <n v="390827"/>
    <n v="696.73335211126994"/>
    <n v="560.94200000000001"/>
    <s v="BCI"/>
    <s v="BQ-AU-R11"/>
    <s v="PALF"/>
    <x v="5"/>
    <s v="Congo"/>
    <m/>
    <m/>
    <m/>
  </r>
  <r>
    <x v="204"/>
    <s v="Paiement salaire du mois d'Août 2025/PINDI BINGA Donald- Roméo"/>
    <s v="Personnel"/>
    <s v="Legal"/>
    <n v="328000"/>
    <n v="584.73068516887668"/>
    <n v="560.94200000000001"/>
    <s v="BCI"/>
    <s v="BQ-AU-R12"/>
    <s v="PALF"/>
    <x v="5"/>
    <s v="Congo"/>
    <m/>
    <m/>
    <m/>
  </r>
  <r>
    <x v="204"/>
    <s v="Paiement salaire du mois d'Août 2025/Evariste LELOUSSI"/>
    <s v="Personnel"/>
    <s v="Media"/>
    <n v="266940"/>
    <n v="475.87807652128026"/>
    <n v="560.94200000000001"/>
    <s v="BCI"/>
    <s v="BQ-AU-R13"/>
    <s v="PALF"/>
    <x v="5"/>
    <s v="Congo"/>
    <m/>
    <m/>
    <m/>
  </r>
  <r>
    <x v="204"/>
    <s v="Paiement salaire du mois d'Août 2025/LOUNDOU JeanRomain/3654422"/>
    <s v="Personnel"/>
    <s v="Legal"/>
    <n v="228800"/>
    <n v="407.88530721536273"/>
    <n v="560.94200000000001"/>
    <s v="BCI"/>
    <s v="BQ-AU-R14"/>
    <s v="PALF"/>
    <x v="5"/>
    <s v="Congo"/>
    <m/>
    <m/>
    <m/>
  </r>
  <r>
    <x v="204"/>
    <s v="Paiement salaire du mois d'Août 2025/Homéfa DOVI/3654425"/>
    <s v="Personnel"/>
    <s v="Management"/>
    <n v="1311000"/>
    <n v="2337.1400251719429"/>
    <n v="560.94200000000001"/>
    <s v="BCI"/>
    <s v="BQ-AU-R15"/>
    <s v="PALF"/>
    <x v="5"/>
    <s v="Congo"/>
    <m/>
    <m/>
    <m/>
  </r>
  <r>
    <x v="204"/>
    <s v="Frais de virement salaire du mois d'Août 2025"/>
    <s v="Bank fees"/>
    <s v="Office"/>
    <n v="10665"/>
    <n v="19.012660845506307"/>
    <n v="560.94200000000001"/>
    <s v="BCI"/>
    <s v="BQ-AU-R16"/>
    <s v="PALF"/>
    <x v="5"/>
    <s v="Congo"/>
    <m/>
    <m/>
    <m/>
  </r>
  <r>
    <x v="205"/>
    <s v="Maison-Bureau"/>
    <s v="Transport"/>
    <s v="Management"/>
    <n v="1000"/>
    <n v="1.7827155035636482"/>
    <n v="560.94200000000001"/>
    <s v="DOVI"/>
    <s v="DH-AU-D1"/>
    <s v="PALF"/>
    <x v="5"/>
    <s v="Congo"/>
    <m/>
    <m/>
    <m/>
  </r>
  <r>
    <x v="205"/>
    <s v="Bureau-Maison"/>
    <s v="Transport"/>
    <s v="Management"/>
    <n v="1000"/>
    <m/>
    <n v="560.94200000000001"/>
    <s v="DOVI"/>
    <s v="DH-AU-D1"/>
    <s v="PALF"/>
    <x v="5"/>
    <s v="Congo"/>
    <m/>
    <m/>
    <m/>
  </r>
  <r>
    <x v="205"/>
    <s v="Taxi moto: Hôtel Mithé-Gendarmerie"/>
    <s v="Transport"/>
    <s v="Legal"/>
    <n v="500"/>
    <n v="0.89135775178182408"/>
    <n v="560.94200000000001"/>
    <s v="Crépin"/>
    <s v="CR-AU-D1"/>
    <s v="PALF"/>
    <x v="5"/>
    <s v="Congo"/>
    <m/>
    <m/>
    <m/>
  </r>
  <r>
    <x v="205"/>
    <s v="Bonus pour 16 gendarmes ayant participé à l'opération"/>
    <s v="Travel Subsistence"/>
    <s v="Operations"/>
    <n v="160000"/>
    <n v="285.23448057018373"/>
    <n v="560.94200000000001"/>
    <s v="Crépin"/>
    <s v="CR-AU-R1-9"/>
    <s v="PALF"/>
    <x v="5"/>
    <s v="Congo"/>
    <m/>
    <m/>
    <m/>
  </r>
  <r>
    <x v="205"/>
    <s v="Bonus pour 02 EF ayant participé à l'opération"/>
    <s v="Travel Subsistence"/>
    <s v="Operations"/>
    <n v="20000"/>
    <n v="35.654310071272967"/>
    <n v="560.94200000000001"/>
    <s v="Crépin"/>
    <s v="CR-AU-R1-10"/>
    <s v="PALF"/>
    <x v="5"/>
    <s v="Congo"/>
    <m/>
    <m/>
    <m/>
  </r>
  <r>
    <x v="205"/>
    <s v="Taxi moto: Gendarmerie-Hôtel"/>
    <s v="Transport"/>
    <s v="Legal"/>
    <n v="500"/>
    <n v="0.89135775178182408"/>
    <n v="560.94200000000001"/>
    <s v="Crépin"/>
    <s v="CR-AU-D1"/>
    <s v="PALF"/>
    <x v="5"/>
    <s v="Congo"/>
    <m/>
    <m/>
    <m/>
  </r>
  <r>
    <x v="205"/>
    <s v="Taxi: Bureau - Charden Farell/transfert d'argent à Crépin , Evariste et Donald-Roméo"/>
    <s v="Transport"/>
    <s v="Office"/>
    <n v="500"/>
    <n v="0.89135775178182408"/>
    <n v="560.94200000000001"/>
    <s v="Parfaite"/>
    <s v="P-AU-D1"/>
    <s v="PALF"/>
    <x v="5"/>
    <s v="Congo"/>
    <m/>
    <m/>
    <m/>
  </r>
  <r>
    <x v="205"/>
    <s v="Taxi: Charden Farell- Bureau/transferft d'argent"/>
    <s v="Transport"/>
    <s v="Office"/>
    <n v="500"/>
    <n v="0.89135775178182408"/>
    <n v="560.94200000000001"/>
    <s v="Parfaite"/>
    <s v="P-AU-D1"/>
    <s v="PALF"/>
    <x v="5"/>
    <s v="Congo"/>
    <m/>
    <m/>
    <m/>
  </r>
  <r>
    <x v="205"/>
    <s v="P29 -CONGO Frais d'hotel du 23 au 26/08/2025 à Impfondo lieu op(T73) (03 Nuitées)"/>
    <s v="Travel Subsistence"/>
    <s v="Investigations"/>
    <n v="75000"/>
    <n v="133.70366276727361"/>
    <n v="560.94200000000001"/>
    <s v="P29"/>
    <s v="P29-AU-R10"/>
    <s v="PALF"/>
    <x v="5"/>
    <s v="Congo"/>
    <m/>
    <m/>
    <m/>
  </r>
  <r>
    <x v="205"/>
    <s v="P29 -CONGO Frais d'hotel du 23 au 26/08/2025 à Impfondo lieu op(Crépin) (03 Nuitées)"/>
    <s v="Travel Subsistence"/>
    <s v="Investigations"/>
    <n v="75000"/>
    <n v="133.70366276727361"/>
    <n v="560.94200000000001"/>
    <s v="P29"/>
    <s v="P29-AU-R11"/>
    <s v="PALF"/>
    <x v="5"/>
    <s v="Congo"/>
    <m/>
    <m/>
    <m/>
  </r>
  <r>
    <x v="205"/>
    <s v="Taxi moto : hotel paulina - centre ville ( prospection a enyele)"/>
    <s v="Transport"/>
    <s v="Investigations"/>
    <n v="500"/>
    <n v="0.89135775178182408"/>
    <n v="560.94200000000001"/>
    <s v="T73"/>
    <s v="T73-AU-D1"/>
    <s v="PALF"/>
    <x v="5"/>
    <s v="Congo"/>
    <m/>
    <m/>
    <m/>
  </r>
  <r>
    <x v="205"/>
    <s v="Taxi moto : centre ville - hotel ( prospection a enyele)"/>
    <s v="Transport"/>
    <s v="Investigations"/>
    <n v="500"/>
    <n v="0.89135775178182408"/>
    <n v="560.94200000000001"/>
    <s v="T73"/>
    <s v="T73-AU-D1"/>
    <s v="PALF"/>
    <x v="5"/>
    <s v="Congo"/>
    <m/>
    <m/>
    <m/>
  </r>
  <r>
    <x v="205"/>
    <s v="Achat eau mineral 10 LITRES/Bureau"/>
    <s v="Office Materiels"/>
    <s v="Office "/>
    <n v="25000"/>
    <n v="44.567887589091207"/>
    <n v="560.94200000000001"/>
    <s v="Abraham"/>
    <s v="CA-AU-R13"/>
    <s v="PALF"/>
    <x v="5"/>
    <s v="Congo"/>
    <m/>
    <m/>
    <m/>
  </r>
  <r>
    <x v="205"/>
    <s v="Taxi moto Hôtel Mithé-La Brigade de Recherche/ Pour la visite geôle du 26/08/2025 à 07h"/>
    <s v="Transport "/>
    <s v="Legal"/>
    <n v="500"/>
    <n v="0.89135775178182408"/>
    <n v="560.94200000000001"/>
    <s v="Donald-Roméo"/>
    <s v="DR-AU-D1"/>
    <s v="PALF"/>
    <x v="5"/>
    <s v="Congo"/>
    <m/>
    <m/>
    <m/>
  </r>
  <r>
    <x v="205"/>
    <s v="Ration d'une prevenue/ MOUKAHOU Clarisse/ A la gandarmerie d'Impfondo/Matin"/>
    <s v="Jail visit"/>
    <s v="Legal"/>
    <n v="1500"/>
    <n v="2.6740732553454722"/>
    <n v="560.94200000000001"/>
    <s v="Donald-Roméo"/>
    <s v="DR-AU-D3"/>
    <s v="PALF"/>
    <x v="5"/>
    <s v="Congo"/>
    <m/>
    <m/>
    <m/>
  </r>
  <r>
    <x v="205"/>
    <s v="Taxi moto La Brigade de Recherche- Hôtel Mithé"/>
    <s v="Transport "/>
    <s v="Legal"/>
    <n v="500"/>
    <n v="0.89135775178182408"/>
    <n v="560.94200000000001"/>
    <s v="Donald-Roméo"/>
    <s v="DR-AU-D1"/>
    <s v="PALF"/>
    <x v="5"/>
    <s v="Congo"/>
    <m/>
    <m/>
    <m/>
  </r>
  <r>
    <x v="205"/>
    <s v="Taxi moto Hôtel Mithé-La gendarmerie/ Auditions"/>
    <s v="Transport "/>
    <s v="Legal"/>
    <n v="500"/>
    <n v="0.89135775178182408"/>
    <n v="560.94200000000001"/>
    <s v="Donald-Roméo"/>
    <s v="DR-AU-D1"/>
    <s v="PALF"/>
    <x v="5"/>
    <s v="Congo"/>
    <m/>
    <m/>
    <m/>
  </r>
  <r>
    <x v="205"/>
    <s v="Taxi moto La gendarmerie- Hôtel Mithé"/>
    <s v="Transport "/>
    <s v="Legal"/>
    <n v="500"/>
    <n v="0.89135775178182408"/>
    <n v="560.94200000000001"/>
    <s v="Donald-Roméo"/>
    <s v="DR-AU-D1"/>
    <s v="PALF"/>
    <x v="5"/>
    <s v="Congo"/>
    <m/>
    <m/>
    <m/>
  </r>
  <r>
    <x v="205"/>
    <s v="Taxi moto Hôtel Mithé-La Brigade de Recherche/ Pour la visite geôle du 26/08/2025 à 20h"/>
    <s v="Transport "/>
    <s v="Legal"/>
    <n v="500"/>
    <n v="0.89135775178182408"/>
    <n v="560.94200000000001"/>
    <s v="Donald-Roméo"/>
    <s v="DR-AU-D1"/>
    <s v="PALF"/>
    <x v="5"/>
    <s v="Congo"/>
    <m/>
    <m/>
    <m/>
  </r>
  <r>
    <x v="205"/>
    <s v="Ration d'une prevenue/ MOUKAHOU Clarisse/ A la gandarmerie d'Impfondo/Soir"/>
    <s v="Jail visit"/>
    <s v="Legal"/>
    <n v="1500"/>
    <n v="2.6740732553454722"/>
    <n v="560.94200000000001"/>
    <s v="Donald-Roméo"/>
    <s v="DR-AU-D3"/>
    <s v="PALF"/>
    <x v="5"/>
    <s v="Congo"/>
    <m/>
    <m/>
    <m/>
  </r>
  <r>
    <x v="205"/>
    <s v="Taxi moto La Brigade de Recherche- Hôtel Mithé"/>
    <s v="Transport "/>
    <s v="Legal"/>
    <n v="500"/>
    <n v="0.89135775178182408"/>
    <n v="560.94200000000001"/>
    <s v="Donald-Roméo"/>
    <s v="DR-AU-D1"/>
    <s v="PALF"/>
    <x v="5"/>
    <s v="Congo"/>
    <m/>
    <m/>
    <m/>
  </r>
  <r>
    <x v="205"/>
    <s v="Taxi moto, Hôtel Mithé2-Region de gendarmerie"/>
    <s v="Transport"/>
    <s v="Media"/>
    <n v="500"/>
    <n v="0.89135775178182408"/>
    <n v="560.94200000000001"/>
    <s v="Evariste"/>
    <s v="EV-AU-D1"/>
    <s v="PALF"/>
    <x v="5"/>
    <s v="Congo"/>
    <m/>
    <m/>
    <m/>
  </r>
  <r>
    <x v="205"/>
    <s v="Taxi moto, Région de gendarmerie-Charden Farell"/>
    <s v="Transport"/>
    <s v="Media"/>
    <n v="500"/>
    <n v="0.89135775178182408"/>
    <n v="560.94200000000001"/>
    <s v="Evariste"/>
    <s v="EV-AU-D1"/>
    <s v="PALF"/>
    <x v="5"/>
    <s v="Congo"/>
    <m/>
    <m/>
    <m/>
  </r>
  <r>
    <x v="205"/>
    <s v="Taxi moto, Charden Farell-Region de gendarmerie"/>
    <s v="Transport"/>
    <s v="Media"/>
    <n v="500"/>
    <n v="0.89135775178182408"/>
    <n v="560.94200000000001"/>
    <s v="Evariste"/>
    <s v="EV-AU-D1"/>
    <s v="PALF"/>
    <x v="5"/>
    <s v="Congo"/>
    <m/>
    <m/>
    <m/>
  </r>
  <r>
    <x v="205"/>
    <s v="Taxi moto, Région de Gendarmerie-Hôtel Mithé2"/>
    <s v="Transport"/>
    <s v="Media"/>
    <n v="500"/>
    <n v="0.89135775178182408"/>
    <n v="560.94200000000001"/>
    <s v="Evariste"/>
    <s v="EV-AU-D1"/>
    <s v="PALF"/>
    <x v="5"/>
    <s v="Congo"/>
    <m/>
    <m/>
    <m/>
  </r>
  <r>
    <x v="205"/>
    <s v="Bonus media portant sur le bilan des activités PALF de Janvier à Juillet pièces presse Internet (https://www.panoramik-actu.com)"/>
    <s v="Bonus to media officer"/>
    <s v="Media"/>
    <n v="6000"/>
    <n v="10.696293021381889"/>
    <n v="560.94200000000001"/>
    <s v="Evariste"/>
    <s v="CA-AU-D1"/>
    <s v="PALF"/>
    <x v="5"/>
    <s v="Congo"/>
    <m/>
    <m/>
    <m/>
  </r>
  <r>
    <x v="205"/>
    <s v="Bonus media portant sur le bilan des activités PALF de Janvier à Juillet pièces presse Internet (https://www.tribune-eco.cg)"/>
    <s v="Bonus to media officer"/>
    <s v="Media"/>
    <n v="6000"/>
    <n v="10.696293021381889"/>
    <n v="560.94200000000001"/>
    <s v="Evariste"/>
    <s v="CA-AU-D1"/>
    <s v="PALF"/>
    <x v="5"/>
    <s v="Congo"/>
    <m/>
    <m/>
    <m/>
  </r>
  <r>
    <x v="205"/>
    <s v="Bonus media portant sur le bilan des activités PALF de Janvier à Juillet pièces presse Internet (https://www.groupecongomedias.com)"/>
    <s v="Bonus to media officer"/>
    <s v="Media"/>
    <n v="6000"/>
    <n v="10.696293021381889"/>
    <n v="560.94200000000001"/>
    <s v="Evariste"/>
    <s v="CA-AU-D1"/>
    <s v="PALF"/>
    <x v="5"/>
    <s v="Congo"/>
    <m/>
    <m/>
    <m/>
  </r>
  <r>
    <x v="205"/>
    <s v="Bonus media portant sur le bilan des activités PALF de Janvier à Juillet pièces presse Internet (https://www.labreveonline.com)"/>
    <s v="Bonus to media officer"/>
    <s v="Media"/>
    <n v="6000"/>
    <n v="10.696293021381889"/>
    <n v="560.94200000000001"/>
    <s v="Evariste"/>
    <s v="CA-AU-D1"/>
    <s v="PALF"/>
    <x v="5"/>
    <s v="Congo"/>
    <m/>
    <m/>
    <m/>
  </r>
  <r>
    <x v="205"/>
    <s v="Bonus media portant sur le bilan des activités PALF de Janvier à Juillet pièces presse Internet (https://www.adiac-congo.com)"/>
    <s v="Bonus to media officer"/>
    <s v="Media"/>
    <n v="6000"/>
    <n v="10.696293021381889"/>
    <n v="560.94200000000001"/>
    <s v="Evariste"/>
    <s v="CA-AU-D1"/>
    <s v="PALF"/>
    <x v="5"/>
    <s v="Congo"/>
    <m/>
    <m/>
    <m/>
  </r>
  <r>
    <x v="205"/>
    <s v="Bonus media portant sur le bilan des activités PALF de Janvier à Juillet pièces presse Internet (https://www.lasemaineafricaine.info)"/>
    <s v="Bonus to media officer"/>
    <s v="Media"/>
    <n v="6000"/>
    <n v="10.696293021381889"/>
    <n v="560.94200000000001"/>
    <s v="Evariste"/>
    <s v="CA-AU-D1"/>
    <s v="PALF"/>
    <x v="5"/>
    <s v="Congo"/>
    <m/>
    <m/>
    <m/>
  </r>
  <r>
    <x v="205"/>
    <s v="Bonus media portant sur le bilan des activités PALF de Janvier à Juillet pièces presse Internet (https://www.matinlibre.cg)"/>
    <s v="Bonus to media officer"/>
    <s v="Media"/>
    <n v="6000"/>
    <n v="10.696293021381889"/>
    <n v="560.94200000000001"/>
    <s v="Evariste"/>
    <s v="CA-AU-D1"/>
    <s v="PALF"/>
    <x v="5"/>
    <s v="Congo"/>
    <m/>
    <m/>
    <m/>
  </r>
  <r>
    <x v="205"/>
    <s v="Bonus media portant sur le bilan des activités PALF de Janvier à Juillet pièces presse Internet (https://www.firstmediac.com)"/>
    <s v="Bonus to media officer"/>
    <s v="Media"/>
    <n v="6000"/>
    <n v="10.696293021381889"/>
    <n v="560.94200000000001"/>
    <s v="Evariste"/>
    <s v="CA-AU-D1"/>
    <s v="PALF"/>
    <x v="5"/>
    <s v="Congo"/>
    <m/>
    <m/>
    <m/>
  </r>
  <r>
    <x v="205"/>
    <s v="Bonus media portant sur le bilan des activités PALF de Janvier à Juillet pièces presse Internet (https://www.journaldebrazza.com)"/>
    <s v="Bonus to media officer"/>
    <s v="Media"/>
    <n v="6000"/>
    <n v="10.696293021381889"/>
    <n v="560.94200000000001"/>
    <s v="Evariste"/>
    <s v="CA-AU-D1"/>
    <s v="PALF"/>
    <x v="5"/>
    <s v="Congo"/>
    <m/>
    <m/>
    <m/>
  </r>
  <r>
    <x v="205"/>
    <s v="Bonus media portant sur le bilan des activités PALF de Janvier à Juillet pièces presse Internet (https://vmmedias.info)"/>
    <s v="Bonus to media officer"/>
    <s v="Media"/>
    <n v="6000"/>
    <n v="10.696293021381889"/>
    <n v="560.94200000000001"/>
    <s v="Evariste"/>
    <s v="CA-AU-D1"/>
    <s v="PALF"/>
    <x v="5"/>
    <s v="Congo"/>
    <m/>
    <m/>
    <m/>
  </r>
  <r>
    <x v="205"/>
    <s v="Bonus media portant sur le bilan des activités PALF de Janvier à Juillet pièces presse Internet (https://aci.cg)"/>
    <s v="Bonus to media officer"/>
    <s v="Media"/>
    <n v="6000"/>
    <n v="10.696293021381889"/>
    <n v="560.94200000000001"/>
    <s v="Evariste"/>
    <s v="CA-AU-D1"/>
    <s v="PALF"/>
    <x v="5"/>
    <s v="Congo"/>
    <m/>
    <m/>
    <m/>
  </r>
  <r>
    <x v="205"/>
    <s v="Bonus media portant sur le bilan des activités PALF de Janvier à Juillet pièces presse Internet (https://lesechos-congobrazza.com/)"/>
    <s v="Bonus to media officer"/>
    <s v="Media"/>
    <n v="6000"/>
    <n v="10.696293021381889"/>
    <n v="560.94200000000001"/>
    <s v="Evariste"/>
    <s v="CA-AU-D1"/>
    <s v="PALF"/>
    <x v="5"/>
    <s v="Congo"/>
    <m/>
    <m/>
    <m/>
  </r>
  <r>
    <x v="205"/>
    <s v="Bonus media portant sur le bilan des activités PALF de Janvier à Juillet pièces presse Internet (https://opinionpublique.cg)"/>
    <s v="Bonus to media officer"/>
    <s v="Media"/>
    <n v="6000"/>
    <n v="10.696293021381889"/>
    <n v="560.94200000000001"/>
    <s v="Evariste"/>
    <s v="CA-AU-D1"/>
    <s v="PALF"/>
    <x v="5"/>
    <s v="Congo"/>
    <m/>
    <m/>
    <m/>
  </r>
  <r>
    <x v="205"/>
    <s v="Bonus media portant sur le bilan des activités PALF de Janvier à Juillet pièces presse Internet (https://www.lhorizonafricain.com)"/>
    <s v="Bonus to media officer"/>
    <s v="Media"/>
    <n v="6000"/>
    <n v="10.696293021381889"/>
    <n v="560.94200000000001"/>
    <s v="Evariste"/>
    <s v="CA-AU-D1"/>
    <s v="PALF"/>
    <x v="5"/>
    <s v="Congo"/>
    <m/>
    <m/>
    <m/>
  </r>
  <r>
    <x v="205"/>
    <s v="Bonus media portant sur le bilan des activités PALF de Janvier à Juillet pièces presse Papier (Dépêches de Brazzaville)"/>
    <s v="Bonus to media officer"/>
    <s v="Media"/>
    <n v="10000"/>
    <n v="17.827155035636483"/>
    <n v="560.94200000000001"/>
    <s v="Evariste"/>
    <s v="CA-AU-D2"/>
    <s v="PALF"/>
    <x v="5"/>
    <s v="Congo"/>
    <m/>
    <m/>
    <m/>
  </r>
  <r>
    <x v="205"/>
    <s v="Bonus media portant sur le bilan des activités PALF de Janvier à Juillet pièces presse Papier (la semaine Africaine)"/>
    <s v="Bonus to media officer"/>
    <s v="Media"/>
    <n v="10000"/>
    <n v="17.827155035636483"/>
    <n v="560.94200000000001"/>
    <s v="Evariste"/>
    <s v="CA-AU-D2"/>
    <s v="PALF"/>
    <x v="5"/>
    <s v="Congo"/>
    <m/>
    <m/>
    <m/>
  </r>
  <r>
    <x v="205"/>
    <s v="Bonus media portant sur le bilan des activités PALF de Janvier à Juillet pièces presse Papier( l'horizon Africain)"/>
    <s v="Bonus to media officer"/>
    <s v="Media"/>
    <n v="10000"/>
    <n v="17.827155035636483"/>
    <n v="560.94200000000001"/>
    <s v="Evariste"/>
    <s v="CA-AU-D2"/>
    <s v="PALF"/>
    <x v="5"/>
    <s v="Congo"/>
    <m/>
    <m/>
    <m/>
  </r>
  <r>
    <x v="205"/>
    <s v="Bonus media portant sur le bilan des activités PALF de Janvier à Juillet pièces presse Papier (l'Agence congolaise de l'information)"/>
    <s v="Bonus to media officer"/>
    <s v="Media"/>
    <n v="10000"/>
    <n v="17.827155035636483"/>
    <n v="560.94200000000001"/>
    <s v="Evariste"/>
    <s v="CA-AU-D2"/>
    <s v="PALF"/>
    <x v="5"/>
    <s v="Congo"/>
    <m/>
    <m/>
    <m/>
  </r>
  <r>
    <x v="205"/>
    <s v="Bonus media portant sur le bilan des activités PALF de Janvier à Juillet pièces Radio, (Radio Citoyenne des Jeunes)"/>
    <s v="Bonus to media officer"/>
    <s v="Media"/>
    <n v="6000"/>
    <n v="10.696293021381889"/>
    <n v="560.94200000000001"/>
    <s v="Evariste"/>
    <s v="CA-AU-D3"/>
    <s v="PALF"/>
    <x v="5"/>
    <s v="Congo"/>
    <m/>
    <m/>
    <m/>
  </r>
  <r>
    <x v="205"/>
    <s v="Taxi: Bureau-Charden Farell/Pour le transfert d'argent"/>
    <s v="Transport"/>
    <s v="Legal"/>
    <n v="500"/>
    <n v="0.89135775178182408"/>
    <n v="560.94200000000001"/>
    <s v="Romain"/>
    <s v="RM-AU-D1"/>
    <s v="PALF"/>
    <x v="5"/>
    <s v="Congo"/>
    <m/>
    <m/>
    <m/>
  </r>
  <r>
    <x v="205"/>
    <s v="Frais de tansfert d'argent à Evariste"/>
    <s v="Transfert fees"/>
    <s v="Office"/>
    <n v="3900"/>
    <n v="6.9525904638982281"/>
    <n v="560.94200000000001"/>
    <s v="Romain"/>
    <s v="CA-AU-R12"/>
    <s v="PALF"/>
    <x v="5"/>
    <s v="Congo"/>
    <m/>
    <m/>
    <m/>
  </r>
  <r>
    <x v="205"/>
    <s v="Taxi: Charden Farell-Bureau"/>
    <s v="Transport"/>
    <s v="Legal"/>
    <n v="500"/>
    <n v="0.89135775178182408"/>
    <n v="560.94200000000001"/>
    <s v="Romain"/>
    <s v="RM-AU-D1"/>
    <s v="PALF"/>
    <x v="5"/>
    <s v="Congo"/>
    <m/>
    <m/>
    <m/>
  </r>
  <r>
    <x v="206"/>
    <s v="Maison-Bureau"/>
    <s v="Transport"/>
    <s v="Management"/>
    <n v="1000"/>
    <n v="1.7827155035636482"/>
    <n v="560.94200000000001"/>
    <s v="DOVI"/>
    <s v="DH-AU-D1"/>
    <s v="PALF"/>
    <x v="5"/>
    <s v="Congo"/>
    <m/>
    <m/>
    <m/>
  </r>
  <r>
    <x v="206"/>
    <s v="Bureau-Maison"/>
    <s v="Transport"/>
    <s v="Management"/>
    <n v="1000"/>
    <n v="1.7827155035636482"/>
    <n v="560.94200000000001"/>
    <s v="DOVI"/>
    <s v="DH-AU-D1"/>
    <s v="PALF"/>
    <x v="5"/>
    <s v="Congo"/>
    <m/>
    <m/>
    <m/>
  </r>
  <r>
    <x v="206"/>
    <s v="Taxi moto: Hôtel-Gendarmerie"/>
    <s v="Transport"/>
    <s v="Legal"/>
    <n v="500"/>
    <n v="0.89135775178182408"/>
    <n v="560.94200000000001"/>
    <s v="Crépin"/>
    <s v="CR-AU-D1"/>
    <s v="PALF"/>
    <x v="5"/>
    <s v="Congo"/>
    <m/>
    <m/>
    <m/>
  </r>
  <r>
    <x v="206"/>
    <s v="Taxi moto: Gendarmerie-Hôtel Mithé"/>
    <s v="Transport"/>
    <s v="Legal"/>
    <n v="500"/>
    <n v="0.89135775178182408"/>
    <n v="560.94200000000001"/>
    <s v="Crépin"/>
    <s v="CR-AU-D1"/>
    <s v="PALF"/>
    <x v="5"/>
    <s v="Congo"/>
    <m/>
    <m/>
    <m/>
  </r>
  <r>
    <x v="206"/>
    <s v=" Frais de prestation de nettoyage jardin PALF Août 2025"/>
    <s v="Services"/>
    <s v="Office"/>
    <n v="20000"/>
    <n v="35.654310071272967"/>
    <n v="560.94200000000001"/>
    <s v="Parfaite"/>
    <s v="CA-AU-R16"/>
    <s v="PALF"/>
    <x v="5"/>
    <s v="Congo"/>
    <m/>
    <m/>
    <m/>
  </r>
  <r>
    <x v="206"/>
    <s v="Reglement prestation de nettoyage  PALF du mois de Août 2025"/>
    <s v="Services"/>
    <s v="Office"/>
    <n v="75625"/>
    <n v="134.81785995700091"/>
    <n v="560.94200000000001"/>
    <s v="Parfaite"/>
    <s v="CA-AU-R17"/>
    <s v="PALF"/>
    <x v="5"/>
    <s v="Congo"/>
    <m/>
    <m/>
    <m/>
  </r>
  <r>
    <x v="206"/>
    <s v="Frais de tansfert d'argent à crépin, Donald-Roméo et Evariste "/>
    <s v="Transfert fees"/>
    <s v="Office"/>
    <n v="10020"/>
    <n v="17.862809345707756"/>
    <n v="560.94200000000001"/>
    <s v="Parfaite"/>
    <s v="CA-AU-R18"/>
    <s v="PALF"/>
    <x v="5"/>
    <s v="Congo"/>
    <m/>
    <m/>
    <m/>
  </r>
  <r>
    <x v="206"/>
    <s v="Taxi : Bureau - Mitoko/ Prospection"/>
    <s v="Transport"/>
    <s v="Investigations"/>
    <n v="2000"/>
    <n v="3.5654310071272963"/>
    <n v="560.94200000000001"/>
    <s v="IT87"/>
    <s v="IT87-AU-D1"/>
    <s v="PALF"/>
    <x v="5"/>
    <s v="Congo"/>
    <m/>
    <m/>
    <m/>
  </r>
  <r>
    <x v="206"/>
    <s v="Taxi : Mitoko - PK/ Prospection"/>
    <s v="Transport"/>
    <s v="Investigations"/>
    <n v="2000"/>
    <n v="3.5654310071272963"/>
    <n v="560.94200000000001"/>
    <s v="IT87"/>
    <s v="IT87-AU-D1"/>
    <s v="PALF"/>
    <x v="5"/>
    <s v="Congo"/>
    <m/>
    <m/>
    <m/>
  </r>
  <r>
    <x v="206"/>
    <s v="Taxi : PK - Kinsoundi/ Prospection"/>
    <s v="Transport"/>
    <s v="Investigations"/>
    <n v="1000"/>
    <n v="1.7827155035636482"/>
    <n v="560.94200000000001"/>
    <s v="IT87"/>
    <s v="IT87-AU-D1"/>
    <s v="PALF"/>
    <x v="5"/>
    <s v="Congo"/>
    <m/>
    <m/>
    <m/>
  </r>
  <r>
    <x v="206"/>
    <s v="Taxi : Kinsoundi - Domicile/ Retour de prospection"/>
    <s v="Transport"/>
    <s v="Investigations"/>
    <n v="1500"/>
    <n v="2.6740732553454722"/>
    <n v="560.94200000000001"/>
    <s v="IT87"/>
    <s v="IT87-AU-D1"/>
    <s v="PALF"/>
    <x v="5"/>
    <s v="Congo"/>
    <m/>
    <m/>
    <m/>
  </r>
  <r>
    <x v="206"/>
    <s v="Taxi:Bureau-Agence océan du nord de la liberté pour la reservation des billets "/>
    <s v="Transport"/>
    <s v="Legal"/>
    <n v="1000"/>
    <n v="1.7827155035636482"/>
    <n v="560.94200000000001"/>
    <s v="Roderlin"/>
    <s v="RO-AU-D1"/>
    <s v="PALF"/>
    <x v="5"/>
    <s v="Congo"/>
    <m/>
    <m/>
    <m/>
  </r>
  <r>
    <x v="206"/>
    <s v="Taxi:Agence Océan du nord de la liberté-Bureau"/>
    <s v="Transport"/>
    <s v="Legal"/>
    <n v="1000"/>
    <n v="1.7827155035636482"/>
    <n v="560.94200000000001"/>
    <s v="Roderlin"/>
    <s v="RO-AU-D1"/>
    <s v="PALF"/>
    <x v="5"/>
    <s v="Congo"/>
    <m/>
    <m/>
    <m/>
  </r>
  <r>
    <x v="206"/>
    <s v="Frais de transport mission Maitre Alain à Impfondo du 28 /08au 01/09/2025"/>
    <s v="Transport"/>
    <s v="Legal"/>
    <n v="84000"/>
    <n v="149.74810229934644"/>
    <n v="560.94200000000001"/>
    <s v="Roderlin"/>
    <s v="CA-AU-R14"/>
    <s v="PALF"/>
    <x v="5"/>
    <s v="Congo"/>
    <m/>
    <m/>
    <m/>
  </r>
  <r>
    <x v="206"/>
    <s v="Ration et frais d'hotel mission maitre Alain à Impfondo du 28/08 au 01/09/2025"/>
    <s v="Travel Subsistence"/>
    <s v="Legal"/>
    <n v="100000"/>
    <n v="178.27155035636483"/>
    <n v="560.94200000000001"/>
    <s v="Roderlin"/>
    <s v="CA-AU-R15"/>
    <s v="PALF"/>
    <x v="5"/>
    <s v="Congo"/>
    <m/>
    <m/>
    <m/>
  </r>
  <r>
    <x v="206"/>
    <s v="Taxi:Bureau-Cabinet BANZOUZI pour la rémise du budget"/>
    <s v="Transport"/>
    <s v="Legal"/>
    <n v="1000"/>
    <n v="1.7827155035636482"/>
    <n v="560.94200000000001"/>
    <s v="Roderlin"/>
    <s v="RO-AU-D1"/>
    <s v="PALF"/>
    <x v="5"/>
    <s v="Congo"/>
    <m/>
    <m/>
    <m/>
  </r>
  <r>
    <x v="206"/>
    <s v="Taxi:Cabinet BANZOUZI-Bureau"/>
    <s v="Transport"/>
    <s v="Legal"/>
    <n v="1000"/>
    <n v="1.7827155035636482"/>
    <n v="560.94200000000001"/>
    <s v="Roderlin"/>
    <s v="RO-AU-D1"/>
    <s v="PALF"/>
    <x v="5"/>
    <s v="Congo"/>
    <m/>
    <m/>
    <m/>
  </r>
  <r>
    <x v="206"/>
    <s v="Taxi moto Hôtel Mithé-La Brigade de Recherche/ Pour la visite geôle du 27/08/2025 à 07h"/>
    <s v="Transport "/>
    <s v="Legal"/>
    <n v="500"/>
    <n v="0.89135775178182408"/>
    <n v="560.94200000000001"/>
    <s v="Donald-Roméo"/>
    <s v="DR-AU-D1"/>
    <s v="PALF"/>
    <x v="5"/>
    <s v="Congo"/>
    <m/>
    <m/>
    <m/>
  </r>
  <r>
    <x v="206"/>
    <s v="Ration d'une prevenue/ MOUKAHOU Clarisse/ A la gandarmerie d'Impfondo/Matin"/>
    <s v="Jail visit"/>
    <s v="Legal"/>
    <n v="1500"/>
    <n v="2.6740732553454722"/>
    <n v="560.94200000000001"/>
    <s v="Donald-Roméo"/>
    <s v="DR-AU-D3"/>
    <s v="PALF"/>
    <x v="5"/>
    <s v="Congo"/>
    <m/>
    <m/>
    <m/>
  </r>
  <r>
    <x v="206"/>
    <s v="Taxi moto La Brigade de Recherche- Hôtel Mithé"/>
    <s v="Transport "/>
    <s v="Legal"/>
    <n v="500"/>
    <n v="0.89135775178182408"/>
    <n v="560.94200000000001"/>
    <s v="Donald-Roméo"/>
    <s v="DR-AU-D1"/>
    <s v="PALF"/>
    <x v="5"/>
    <s v="Congo"/>
    <m/>
    <m/>
    <m/>
  </r>
  <r>
    <x v="206"/>
    <s v="Taxi moto Hôtel Mithé-La gendarmerie/ Comptages des écailles"/>
    <s v="Transport "/>
    <s v="Legal"/>
    <n v="500"/>
    <n v="0.89135775178182408"/>
    <n v="560.94200000000001"/>
    <s v="Donald-Roméo"/>
    <s v="DR-AU-D1"/>
    <s v="PALF"/>
    <x v="5"/>
    <s v="Congo"/>
    <m/>
    <m/>
    <m/>
  </r>
  <r>
    <x v="206"/>
    <s v="Taxi moto La gendarmerie- DDEF/ Saisie de la procédure"/>
    <s v="Transport "/>
    <s v="Legal"/>
    <n v="500"/>
    <n v="0.89135775178182408"/>
    <n v="560.94200000000001"/>
    <s v="Donald-Roméo"/>
    <s v="DR-AU-D1"/>
    <s v="PALF"/>
    <x v="5"/>
    <s v="Congo"/>
    <m/>
    <m/>
    <m/>
  </r>
  <r>
    <x v="206"/>
    <s v="Taxi moto DDEF-Charden farell/ Retrait de fonds"/>
    <s v="Transport "/>
    <s v="Legal"/>
    <n v="500"/>
    <n v="0.89135775178182408"/>
    <n v="560.94200000000001"/>
    <s v="Donald-Roméo"/>
    <s v="DR-AU-D1"/>
    <s v="PALF"/>
    <x v="5"/>
    <s v="Congo"/>
    <m/>
    <m/>
    <m/>
  </r>
  <r>
    <x v="206"/>
    <s v="Taxi moto Charden farell-Hôtel Mithé"/>
    <s v="Transport "/>
    <s v="Legal"/>
    <n v="500"/>
    <n v="0.89135775178182408"/>
    <n v="560.94200000000001"/>
    <s v="Donald-Roméo"/>
    <s v="DR-AU-D1"/>
    <s v="PALF"/>
    <x v="5"/>
    <s v="Congo"/>
    <m/>
    <m/>
    <m/>
  </r>
  <r>
    <x v="206"/>
    <s v="Taxi moto Hôtel Mithé-La Brigade de Recherche/ Pour la visite geôle du 27/08/2025 à 20h"/>
    <s v="Transport "/>
    <s v="Legal"/>
    <n v="500"/>
    <n v="0.89135775178182408"/>
    <n v="560.94200000000001"/>
    <s v="Donald-Roméo"/>
    <s v="DR-AU-D1"/>
    <s v="PALF"/>
    <x v="5"/>
    <s v="Congo"/>
    <m/>
    <m/>
    <m/>
  </r>
  <r>
    <x v="206"/>
    <s v="Ration d'une prevenue/ MOUKAHOU Clarisse/ A la gandarmerie d'Impfondo/Soir"/>
    <s v="Jail visit"/>
    <s v="Legal"/>
    <n v="1500"/>
    <n v="2.6740732553454722"/>
    <n v="560.94200000000001"/>
    <s v="Donald-Roméo"/>
    <s v="DR-AU-D3"/>
    <s v="PALF"/>
    <x v="5"/>
    <s v="Congo"/>
    <m/>
    <m/>
    <m/>
  </r>
  <r>
    <x v="206"/>
    <s v="Taxi moto La Brigade de Recherche- Hôtel Mithé"/>
    <s v="Transport "/>
    <s v="Legal"/>
    <n v="500"/>
    <n v="0.89135775178182408"/>
    <n v="560.94200000000001"/>
    <s v="Donald-Roméo"/>
    <s v="DR-AU-D1"/>
    <s v="PALF"/>
    <x v="5"/>
    <s v="Congo"/>
    <m/>
    <m/>
    <m/>
  </r>
  <r>
    <x v="206"/>
    <s v="Taxi moto, Hôtel Mithé2-Région de Gendarmerie"/>
    <s v="Transport"/>
    <s v="Media"/>
    <n v="500"/>
    <n v="0.89135775178182408"/>
    <n v="560.94200000000001"/>
    <s v="Evariste"/>
    <s v="EV-AU-D1"/>
    <s v="PALF"/>
    <x v="5"/>
    <s v="Congo"/>
    <m/>
    <m/>
    <m/>
  </r>
  <r>
    <x v="206"/>
    <s v="Taxi moto, Région de Gendarmerie-Hôtel Mithé2"/>
    <s v="Transport"/>
    <s v="Media"/>
    <n v="500"/>
    <n v="0.89135775178182408"/>
    <n v="560.94200000000001"/>
    <s v="Evariste"/>
    <s v="EV-AU-D1"/>
    <s v="PALF"/>
    <x v="5"/>
    <s v="Congo"/>
    <m/>
    <m/>
    <m/>
  </r>
  <r>
    <x v="207"/>
    <s v=" Achat billet Brazzaville-Impfondo / Roderlin"/>
    <s v="Transport"/>
    <s v="Legal"/>
    <n v="37000"/>
    <n v="65.960473631854981"/>
    <n v="560.94200000000001"/>
    <s v="Roderlin"/>
    <s v="RO-AU-R7"/>
    <s v="PALF"/>
    <x v="5"/>
    <s v="Congo"/>
    <m/>
    <m/>
    <m/>
  </r>
  <r>
    <x v="207"/>
    <s v="Maison-Bureau"/>
    <s v="Transport"/>
    <s v="Management"/>
    <n v="1000"/>
    <n v="1.7827155035636482"/>
    <n v="560.94200000000001"/>
    <s v="DOVI"/>
    <s v="DH-AU-D1"/>
    <s v="PALF"/>
    <x v="5"/>
    <s v="Congo"/>
    <m/>
    <m/>
    <m/>
  </r>
  <r>
    <x v="207"/>
    <s v="Bureau-Cabinet d'huissier"/>
    <s v="Transport"/>
    <s v="Management"/>
    <n v="1000"/>
    <n v="1.7827155035636482"/>
    <n v="560.94200000000001"/>
    <s v="DOVI"/>
    <s v="DH-AU-D1"/>
    <s v="PALF"/>
    <x v="5"/>
    <s v="Congo"/>
    <m/>
    <m/>
    <m/>
  </r>
  <r>
    <x v="207"/>
    <s v="Cabinet d'huissier - Bureau"/>
    <s v="Transport"/>
    <s v="Management"/>
    <n v="1000"/>
    <n v="1.7827155035636482"/>
    <n v="560.94200000000001"/>
    <s v="DOVI"/>
    <s v="DH-AU-D1"/>
    <s v="PALF"/>
    <x v="5"/>
    <s v="Congo"/>
    <m/>
    <m/>
    <m/>
  </r>
  <r>
    <x v="207"/>
    <s v="Bureau-Maison"/>
    <s v="Transport"/>
    <s v="Management"/>
    <n v="1000"/>
    <n v="1.7827155035636482"/>
    <n v="560.94200000000001"/>
    <s v="DOVI"/>
    <s v="DH-AU-D1"/>
    <s v="PALF"/>
    <x v="5"/>
    <s v="Congo"/>
    <m/>
    <m/>
    <m/>
  </r>
  <r>
    <x v="207"/>
    <s v="Taxi moto: Hôtel-Gendarmerie"/>
    <s v="Transport"/>
    <s v="Legal"/>
    <n v="500"/>
    <n v="0.89135775178182408"/>
    <n v="560.94200000000001"/>
    <s v="Crépin"/>
    <s v="CR-AU-D1"/>
    <s v="PALF"/>
    <x v="5"/>
    <s v="Congo"/>
    <m/>
    <m/>
    <m/>
  </r>
  <r>
    <x v="207"/>
    <s v="Taxi moto: Gendarmerie-Hôtel"/>
    <s v="Transport"/>
    <s v="Legal"/>
    <n v="500"/>
    <n v="0.89135775178182408"/>
    <n v="560.94200000000001"/>
    <s v="Crépin"/>
    <s v="CR-AU-D1"/>
    <s v="PALF"/>
    <x v="5"/>
    <s v="Congo"/>
    <m/>
    <m/>
    <m/>
  </r>
  <r>
    <x v="207"/>
    <s v="Taxi moto hotel-marché,pour prospection"/>
    <s v="Transport"/>
    <s v="Investigations"/>
    <n v="500"/>
    <n v="0.89135775178182408"/>
    <n v="560.94200000000001"/>
    <s v="P29"/>
    <s v="P29-AU-D1"/>
    <s v="PALF"/>
    <x v="5"/>
    <s v="Congo"/>
    <m/>
    <m/>
    <m/>
  </r>
  <r>
    <x v="207"/>
    <s v="Taxi moto marché-centre,prospection"/>
    <s v="Transport"/>
    <s v="Investigations"/>
    <n v="500"/>
    <n v="0.89135775178182408"/>
    <n v="560.94200000000001"/>
    <s v="P29"/>
    <s v="P29-AU-D1"/>
    <s v="PALF"/>
    <x v="5"/>
    <s v="Congo"/>
    <m/>
    <m/>
    <m/>
  </r>
  <r>
    <x v="207"/>
    <s v="Taxi moto centre-hotel"/>
    <s v="Transport"/>
    <s v="Investigations"/>
    <n v="500"/>
    <n v="0.89135775178182408"/>
    <n v="560.94200000000001"/>
    <s v="P29"/>
    <s v="P29-AU-D1"/>
    <s v="PALF"/>
    <x v="5"/>
    <s v="Congo"/>
    <m/>
    <m/>
    <m/>
  </r>
  <r>
    <x v="207"/>
    <s v="Taxi: Domicile - marché  tagoma / prospection"/>
    <s v="Transport"/>
    <s v="Investigations"/>
    <n v="1000"/>
    <n v="1.7827155035636482"/>
    <n v="560.94200000000001"/>
    <s v="G12"/>
    <s v="G12-AU-D1"/>
    <s v="PALF"/>
    <x v="5"/>
    <s v="Congo"/>
    <m/>
    <m/>
    <m/>
  </r>
  <r>
    <x v="207"/>
    <s v="Taxi:Macrché tagoma - 5 chemin / prospection"/>
    <s v="Transport"/>
    <s v="Investigations"/>
    <n v="1000"/>
    <n v="1.7827155035636482"/>
    <n v="560.94200000000001"/>
    <s v="G12"/>
    <s v="G12-AU-D1"/>
    <s v="PALF"/>
    <x v="5"/>
    <s v="Congo"/>
    <m/>
    <m/>
    <m/>
  </r>
  <r>
    <x v="207"/>
    <s v="Taxi:5 chemin - matour / prospection"/>
    <s v="Transport"/>
    <s v="Investigations"/>
    <n v="1000"/>
    <n v="1.7827155035636482"/>
    <n v="560.94200000000001"/>
    <s v="G12"/>
    <s v="G12-AU-D1"/>
    <s v="PALF"/>
    <x v="5"/>
    <s v="Congo"/>
    <m/>
    <m/>
    <m/>
  </r>
  <r>
    <x v="207"/>
    <s v="Taxi: Matour: domicile"/>
    <s v="Transport"/>
    <s v="Investigations"/>
    <n v="1000"/>
    <n v="1.7827155035636482"/>
    <n v="560.94200000000001"/>
    <s v="G12"/>
    <s v="G12-AU-D1"/>
    <s v="PALF"/>
    <x v="5"/>
    <s v="Congo"/>
    <m/>
    <m/>
    <m/>
  </r>
  <r>
    <x v="207"/>
    <s v="Taxi:Domicile-Agence Océan du nord de Talangaî "/>
    <s v="Transport"/>
    <s v="Legal"/>
    <n v="1000"/>
    <n v="1.7827155035636482"/>
    <n v="560.94200000000001"/>
    <s v="Roderlin"/>
    <s v="RO-AU-D1"/>
    <s v="PALF"/>
    <x v="5"/>
    <s v="Congo"/>
    <m/>
    <m/>
    <m/>
  </r>
  <r>
    <x v="207"/>
    <s v="Taxi:Agence Océan du nord de Ouesso-Hôtel Divine "/>
    <s v="Transport"/>
    <s v="Legal"/>
    <n v="500"/>
    <n v="0.89135775178182408"/>
    <n v="560.94200000000001"/>
    <s v="Roderlin"/>
    <s v="RO-AU-D1"/>
    <s v="PALF"/>
    <x v="5"/>
    <s v="Congo"/>
    <m/>
    <m/>
    <m/>
  </r>
  <r>
    <x v="207"/>
    <s v="RODERLIN-CONGO Ration du 28/08/ au 01/09/2025 à Ouesso/Enyele/ Impfondo (04 nuitées)"/>
    <s v="Travel Subsistence"/>
    <s v="Legal"/>
    <n v="40000"/>
    <n v="71.308620142545934"/>
    <n v="560.94200000000001"/>
    <s v="Roderlin"/>
    <s v="RO-AU-D4"/>
    <s v="PALF"/>
    <x v="5"/>
    <s v="Congo"/>
    <m/>
    <m/>
    <m/>
  </r>
  <r>
    <x v="207"/>
    <s v="Taxi moto Hôtel Mithé-La Brigade de Recherche/ Pour la visite geôle du 28/08/2025 à 07h"/>
    <s v="Transport "/>
    <s v="Legal"/>
    <n v="500"/>
    <n v="0.89135775178182408"/>
    <n v="560.94200000000001"/>
    <s v="Donald-Roméo"/>
    <s v="DR-AU-D1"/>
    <s v="PALF"/>
    <x v="5"/>
    <s v="Congo"/>
    <m/>
    <m/>
    <m/>
  </r>
  <r>
    <x v="207"/>
    <s v="Ration d'une prevenue/ MOUKAHOU Clarisse/ A la gandarmerie d'Impfondo/Matin"/>
    <s v="Jail visit"/>
    <s v="Legal"/>
    <n v="1500"/>
    <n v="2.6740732553454722"/>
    <n v="560.94200000000001"/>
    <s v="Donald-Roméo"/>
    <s v="DR-AU-D3"/>
    <s v="PALF"/>
    <x v="5"/>
    <s v="Congo"/>
    <m/>
    <m/>
    <m/>
  </r>
  <r>
    <x v="207"/>
    <s v="Taxi moto La Brigade de Recherche- Hôtel Mithé"/>
    <s v="Transport "/>
    <s v="Legal"/>
    <n v="500"/>
    <n v="0.89135775178182408"/>
    <n v="560.94200000000001"/>
    <s v="Donald-Roméo"/>
    <s v="DR-AU-D1"/>
    <s v="PALF"/>
    <x v="5"/>
    <s v="Congo"/>
    <m/>
    <m/>
    <m/>
  </r>
  <r>
    <x v="207"/>
    <s v="Taxi moto Hôtel Mithé-La gendarmerie/ Comptages des écailles"/>
    <s v="Transport "/>
    <s v="Legal"/>
    <n v="500"/>
    <n v="0.89135775178182408"/>
    <n v="560.94200000000001"/>
    <s v="Donald-Roméo"/>
    <s v="DR-AU-D1"/>
    <s v="PALF"/>
    <x v="5"/>
    <s v="Congo"/>
    <m/>
    <m/>
    <m/>
  </r>
  <r>
    <x v="207"/>
    <s v="Taxi moto La gendarmerie- DDEF/ Saisie de la procédure"/>
    <s v="Transport "/>
    <s v="Legal"/>
    <n v="500"/>
    <n v="0.89135775178182408"/>
    <n v="560.94200000000001"/>
    <s v="Donald-Roméo"/>
    <s v="DR-AU-D1"/>
    <s v="PALF"/>
    <x v="5"/>
    <s v="Congo"/>
    <m/>
    <m/>
    <m/>
  </r>
  <r>
    <x v="207"/>
    <s v="Taxi moto DDEF-Hôtel Mithé"/>
    <s v="Transport "/>
    <s v="Legal"/>
    <n v="500"/>
    <n v="0.89135775178182408"/>
    <n v="560.94200000000001"/>
    <s v="Donald-Roméo"/>
    <s v="DR-AU-D1"/>
    <s v="PALF"/>
    <x v="5"/>
    <s v="Congo"/>
    <m/>
    <m/>
    <m/>
  </r>
  <r>
    <x v="207"/>
    <s v="Taxi moto Hôtel Mithé-La Brigade de Recherche/ Pour la visite geôle du 28/08/2025 à 20h"/>
    <s v="Transport "/>
    <s v="Legal"/>
    <n v="500"/>
    <n v="0.89135775178182408"/>
    <n v="560.94200000000001"/>
    <s v="Donald-Roméo"/>
    <s v="DR-AU-D1"/>
    <s v="PALF"/>
    <x v="5"/>
    <s v="Congo"/>
    <m/>
    <m/>
    <m/>
  </r>
  <r>
    <x v="207"/>
    <s v="Ration d'une prevenue/ MOUKAHOU Clarisse/ A la gandarmerie d'Impfondo/Soir"/>
    <s v="Jail visit"/>
    <s v="Legal"/>
    <n v="1500"/>
    <n v="2.6740732553454722"/>
    <n v="560.94200000000001"/>
    <s v="Donald-Roméo"/>
    <s v="DR-AU-D3"/>
    <s v="PALF"/>
    <x v="5"/>
    <s v="Congo"/>
    <m/>
    <m/>
    <m/>
  </r>
  <r>
    <x v="207"/>
    <s v="Taxi moto La Brigade de Recherche- Hôtel Mithé"/>
    <s v="Transport "/>
    <s v="Legal"/>
    <n v="500"/>
    <n v="0.89135775178182408"/>
    <n v="560.94200000000001"/>
    <s v="Donald-Roméo"/>
    <s v="DR-AU-D1"/>
    <s v="PALF"/>
    <x v="5"/>
    <s v="Congo"/>
    <m/>
    <m/>
    <m/>
  </r>
  <r>
    <x v="207"/>
    <s v="Taxi moto, Hôtel Mithé2-Agence Océan du Nord d'Impfondo"/>
    <s v="Transport"/>
    <s v="Media"/>
    <n v="500"/>
    <n v="0.89135775178182408"/>
    <n v="560.94200000000001"/>
    <s v="Evariste"/>
    <s v="EV-AU-D1"/>
    <s v="PALF"/>
    <x v="5"/>
    <s v="Congo"/>
    <m/>
    <m/>
    <m/>
  </r>
  <r>
    <x v="207"/>
    <s v="Taxi moto, Agence Océan du Nord d'Impfondo-Hôtel Mité 2"/>
    <s v="Transport"/>
    <s v="Media"/>
    <n v="500"/>
    <n v="0.89135775178182408"/>
    <n v="560.94200000000001"/>
    <s v="Evariste"/>
    <s v="EV-AU-D1"/>
    <s v="PALF"/>
    <x v="5"/>
    <s v="Congo"/>
    <m/>
    <m/>
    <m/>
  </r>
  <r>
    <x v="208"/>
    <s v="Maison-Cabinet d'huissier"/>
    <s v="Transport"/>
    <s v="Management"/>
    <n v="1000"/>
    <n v="1.7827155035636482"/>
    <n v="560.94200000000001"/>
    <s v="DOVI"/>
    <s v="DH-AU-D1"/>
    <s v="PALF"/>
    <x v="5"/>
    <s v="Congo"/>
    <m/>
    <m/>
    <m/>
  </r>
  <r>
    <x v="208"/>
    <s v="Cabinet d'huissier - Bureau"/>
    <s v="Transport"/>
    <s v="Management"/>
    <n v="1000"/>
    <n v="1.7827155035636482"/>
    <n v="560.94200000000001"/>
    <s v="DOVI"/>
    <s v="DH-AU-D1"/>
    <s v="PALF"/>
    <x v="5"/>
    <s v="Congo"/>
    <m/>
    <m/>
    <m/>
  </r>
  <r>
    <x v="208"/>
    <s v="Bureau-Maison"/>
    <s v="Transport"/>
    <s v="Management"/>
    <n v="1000"/>
    <n v="1.7827155035636482"/>
    <n v="560.94200000000001"/>
    <s v="DOVI"/>
    <s v="DH-AU-D1"/>
    <s v="PALF"/>
    <x v="5"/>
    <s v="Congo"/>
    <m/>
    <m/>
    <m/>
  </r>
  <r>
    <x v="208"/>
    <s v="Taxi moto: Hôtel-Parquet"/>
    <s v="Transport"/>
    <s v="Legal"/>
    <n v="500"/>
    <n v="0.89135775178182408"/>
    <n v="560.94200000000001"/>
    <s v="Crépin"/>
    <s v="CR-AU-D1"/>
    <s v="PALF"/>
    <x v="5"/>
    <s v="Congo"/>
    <m/>
    <m/>
    <m/>
  </r>
  <r>
    <x v="208"/>
    <s v="Taxi moto: Parquet-Hôtel"/>
    <s v="Transport"/>
    <s v="Legal"/>
    <n v="500"/>
    <n v="0.89135775178182408"/>
    <n v="560.94200000000001"/>
    <s v="Crépin"/>
    <s v="CR-AU-D1"/>
    <s v="PALF"/>
    <x v="5"/>
    <s v="Congo"/>
    <m/>
    <m/>
    <m/>
  </r>
  <r>
    <x v="208"/>
    <s v="Taxi:Bureau- Direction Canal Box/ Paiement internet du mois deSeptembre2025"/>
    <s v="Transport"/>
    <s v="Office"/>
    <n v="1000"/>
    <n v="1.7827155035636482"/>
    <n v="560.94200000000001"/>
    <s v="Parfaite"/>
    <s v="P-AU-D1"/>
    <s v="PALF"/>
    <x v="5"/>
    <s v="Congo"/>
    <m/>
    <m/>
    <m/>
  </r>
  <r>
    <x v="208"/>
    <s v="Taxi: Direction Canal Box-Bureau/ Paiement internet du mois de Septembre 2025"/>
    <s v="Transport"/>
    <s v="Office"/>
    <n v="1000"/>
    <n v="1.7827155035636482"/>
    <n v="560.94200000000001"/>
    <s v="Parfaite"/>
    <s v="P-AU-D1"/>
    <s v="PALF"/>
    <x v="5"/>
    <s v="Congo"/>
    <m/>
    <m/>
    <m/>
  </r>
  <r>
    <x v="208"/>
    <s v="Frais de ramassage Ordure d'Août 2025"/>
    <s v="Rent &amp; Utilities"/>
    <s v="Office"/>
    <n v="6000"/>
    <n v="10.696293021381889"/>
    <n v="560.94200000000001"/>
    <s v="Parfaite"/>
    <s v="CA-AU-R19"/>
    <s v="PALF"/>
    <x v="5"/>
    <s v="Congo"/>
    <m/>
    <m/>
    <m/>
  </r>
  <r>
    <x v="208"/>
    <s v="Reglement facture internet periode du 01/09 au 30/09/2025 bureau PALF"/>
    <s v="Internet"/>
    <s v="Office"/>
    <n v="45050"/>
    <n v="80.311333435542352"/>
    <n v="560.94200000000001"/>
    <s v="Parfaite"/>
    <s v="CA-AU-R20"/>
    <s v="PALF"/>
    <x v="5"/>
    <s v="Congo"/>
    <m/>
    <m/>
    <m/>
  </r>
  <r>
    <x v="208"/>
    <s v="Taxi moto hotel-agence,achat billet"/>
    <s v="Transport"/>
    <s v="Investigations"/>
    <n v="500"/>
    <n v="0.89135775178182408"/>
    <n v="560.94200000000001"/>
    <s v="P29"/>
    <s v="P29-AU-D1"/>
    <s v="PALF"/>
    <x v="5"/>
    <s v="Congo"/>
    <m/>
    <m/>
    <m/>
  </r>
  <r>
    <x v="208"/>
    <s v="Taxi moto agence-hotel"/>
    <s v="Transport"/>
    <s v="Investigations"/>
    <n v="500"/>
    <n v="0.89135775178182408"/>
    <n v="560.94200000000001"/>
    <s v="P29"/>
    <s v="P29-AU-D1"/>
    <s v="PALF"/>
    <x v="5"/>
    <s v="Congo"/>
    <m/>
    <m/>
    <m/>
  </r>
  <r>
    <x v="208"/>
    <s v="Taxi: Bureau-Charden Farel/Transfert des fonds"/>
    <s v="Transport"/>
    <s v="Legal"/>
    <n v="500"/>
    <n v="0.89135775178182408"/>
    <n v="560.94200000000001"/>
    <s v="Abraham"/>
    <s v="AB-AU-D1"/>
    <s v="PALF"/>
    <x v="5"/>
    <s v="Congo"/>
    <m/>
    <m/>
    <m/>
  </r>
  <r>
    <x v="208"/>
    <s v="Taxi: Charden-Farel Bureau"/>
    <s v="Transport"/>
    <s v="Legal"/>
    <n v="500"/>
    <n v="0.89135775178182408"/>
    <n v="560.94200000000001"/>
    <s v="Abraham"/>
    <s v="AB-AU-D1"/>
    <s v="PALF"/>
    <x v="5"/>
    <s v="Congo"/>
    <m/>
    <m/>
    <m/>
  </r>
  <r>
    <x v="208"/>
    <s v="Frais de tansfert d'argent à Evariste"/>
    <s v="Transfert fees"/>
    <s v="Office"/>
    <n v="8250"/>
    <n v="14.707402904400098"/>
    <n v="560.94200000000001"/>
    <s v="Abraham"/>
    <s v="CA-AU-R21"/>
    <s v="PALF"/>
    <x v="5"/>
    <s v="Congo"/>
    <m/>
    <m/>
    <m/>
  </r>
  <r>
    <x v="208"/>
    <s v="RODERLIN-CONGO Frais d'hôtel du 28 au 29/08/2025 à Ouesso (01 nuitée)"/>
    <s v="Travel Subsistence"/>
    <s v="Legal"/>
    <n v="15000"/>
    <n v="26.740732553454723"/>
    <n v="560.94200000000001"/>
    <s v="Roderlin"/>
    <s v="RO-AU-R8"/>
    <s v="PALF"/>
    <x v="5"/>
    <s v="Congo"/>
    <m/>
    <m/>
    <m/>
  </r>
  <r>
    <x v="208"/>
    <s v="Taxi:Hôtel Divine-Agence Océan du nord de Ouesso"/>
    <s v="Transport"/>
    <s v="Legal"/>
    <n v="500"/>
    <n v="0.89135775178182408"/>
    <n v="560.94200000000001"/>
    <s v="Roderlin"/>
    <s v="RO-AU-D1"/>
    <s v="PALF"/>
    <x v="5"/>
    <s v="Congo"/>
    <m/>
    <m/>
    <m/>
  </r>
  <r>
    <x v="208"/>
    <s v="Taxi-moto:Agence Océan du nord de Enyele-Hôtel Paulina "/>
    <s v="Transport"/>
    <s v="Legal"/>
    <n v="500"/>
    <n v="0.89135775178182408"/>
    <n v="560.94200000000001"/>
    <s v="Roderlin"/>
    <s v="RO-AU-D1"/>
    <s v="PALF"/>
    <x v="5"/>
    <s v="Congo"/>
    <m/>
    <m/>
    <m/>
  </r>
  <r>
    <x v="208"/>
    <s v="Taxi moto Hôtel Mithé-La Brigade de Recherche/ Pour la visite geôle du 29/08/2025 à 07h"/>
    <s v="Transport "/>
    <s v="Legal"/>
    <n v="500"/>
    <n v="0.89135775178182408"/>
    <n v="560.94200000000001"/>
    <s v="Donald-Roméo"/>
    <s v="DR-AU-D1"/>
    <s v="PALF"/>
    <x v="5"/>
    <s v="Congo"/>
    <m/>
    <m/>
    <m/>
  </r>
  <r>
    <x v="208"/>
    <s v="Ration d'une prevenue/ MOUKAHOU Clarisse/ A la gandarmerie d'Impfondo/Matin"/>
    <s v="Jail visit"/>
    <s v="Legal"/>
    <n v="1500"/>
    <n v="2.6740732553454722"/>
    <n v="560.94200000000001"/>
    <s v="Donald-Roméo"/>
    <s v="DR-AU-D3"/>
    <s v="PALF"/>
    <x v="5"/>
    <s v="Congo"/>
    <m/>
    <m/>
    <m/>
  </r>
  <r>
    <x v="208"/>
    <s v="Taxi moto La Brigade de Recherche- Hôtel Mithé"/>
    <s v="Transport "/>
    <s v="Legal"/>
    <n v="500"/>
    <n v="0.89135775178182408"/>
    <n v="560.94200000000001"/>
    <s v="Donald-Roméo"/>
    <s v="DR-AU-D1"/>
    <s v="PALF"/>
    <x v="5"/>
    <s v="Congo"/>
    <m/>
    <m/>
    <m/>
  </r>
  <r>
    <x v="208"/>
    <s v="Taxi moto Hôtel Mithé-Cyber café/ Faire imprimer la procédure de la Gendarmerie"/>
    <s v="Transport "/>
    <s v="Legal"/>
    <n v="500"/>
    <n v="0.89135775178182408"/>
    <n v="560.94200000000001"/>
    <s v="Donald-Roméo"/>
    <s v="DR-AU-D1"/>
    <s v="PALF"/>
    <x v="5"/>
    <s v="Congo"/>
    <m/>
    <m/>
    <m/>
  </r>
  <r>
    <x v="208"/>
    <s v="Frais d'impression de la procédure de la gendarmerie"/>
    <s v="Office Materials"/>
    <s v="Operations"/>
    <n v="25200"/>
    <n v="44.924430689803934"/>
    <n v="560.94200000000001"/>
    <s v="Donald-Roméo"/>
    <s v="DR-AU-R9"/>
    <s v="PALF"/>
    <x v="5"/>
    <s v="Congo"/>
    <m/>
    <m/>
    <m/>
  </r>
  <r>
    <x v="208"/>
    <s v="Taxi moto Cyber café-Region de gendarmerie/ Faire signer les PV aux prévenus"/>
    <s v="Transport "/>
    <s v="Legal"/>
    <n v="500"/>
    <n v="0.89135775178182408"/>
    <n v="560.94200000000001"/>
    <s v="Donald-Roméo"/>
    <s v="DR-AU-D1"/>
    <s v="PALF"/>
    <x v="5"/>
    <s v="Congo"/>
    <m/>
    <m/>
    <m/>
  </r>
  <r>
    <x v="208"/>
    <s v="Taxi moto TGI- Hôtel Mithé"/>
    <s v="Transport "/>
    <s v="Legal"/>
    <n v="500"/>
    <n v="0.89135775178182408"/>
    <n v="560.94200000000001"/>
    <s v="Donald-Roméo"/>
    <s v="DR-AU-D1"/>
    <s v="PALF"/>
    <x v="5"/>
    <s v="Congo"/>
    <m/>
    <m/>
    <m/>
  </r>
  <r>
    <x v="208"/>
    <s v="Taxi moto, Hôtel Mithé2-Charden Farell"/>
    <s v="Transport"/>
    <s v="Media"/>
    <n v="500"/>
    <n v="0.89135775178182408"/>
    <n v="560.94200000000001"/>
    <s v="Evariste"/>
    <s v="EV-AU-D1"/>
    <s v="PALF"/>
    <x v="5"/>
    <s v="Congo"/>
    <m/>
    <m/>
    <m/>
  </r>
  <r>
    <x v="208"/>
    <s v="Bonus medias(TV Congo) portant sur l'interpetation d'une trafiquante de produit de  faune le 25 Août Août 2025 à Impfondo (pieces télé Congo français)"/>
    <s v="Bonus to media officer"/>
    <s v="Media"/>
    <n v="50000"/>
    <n v="89.135775178182413"/>
    <n v="560.94200000000001"/>
    <s v="Evariste"/>
    <s v="CA-AU-D4"/>
    <s v="PALF"/>
    <x v="5"/>
    <s v="Congo"/>
    <m/>
    <m/>
    <m/>
  </r>
  <r>
    <x v="208"/>
    <s v="Bonus medias(TV Congo) portant sur l'interpetation d'une trafiquante de produit de  faune le 25 Août Août 2025 à Impfondo pieces (télé Congo kituba)"/>
    <s v="Bonus to media officer"/>
    <s v="Media"/>
    <n v="50000"/>
    <n v="89.135775178182413"/>
    <n v="560.94200000000001"/>
    <s v="Evariste"/>
    <s v="CA-AU-D4"/>
    <s v="PALF"/>
    <x v="5"/>
    <s v="Congo"/>
    <m/>
    <m/>
    <m/>
  </r>
  <r>
    <x v="208"/>
    <s v="Bonus medias(TV Congo) portant sur l'interpetation d'une trafiquante de produit de  faune le 25 Août Août 2025 à Impfondo pieces (télé Congo, lingala )"/>
    <s v="Bonus to media officer"/>
    <s v="Media"/>
    <n v="50000"/>
    <n v="89.135775178182413"/>
    <n v="560.94200000000001"/>
    <s v="Evariste"/>
    <s v="CA-AU-D4"/>
    <s v="PALF"/>
    <x v="5"/>
    <s v="Congo"/>
    <m/>
    <m/>
    <m/>
  </r>
  <r>
    <x v="208"/>
    <s v="Bonus medias(TV Congo) portant sur l'interpetation d'une trafiquante de produit de  faune le 25 Août Août 2025 à Impfondo pieces( télé Congo montages)"/>
    <s v="Bonus to media officer"/>
    <s v="Media"/>
    <n v="50000"/>
    <n v="89.135775178182413"/>
    <n v="560.94200000000001"/>
    <s v="Evariste"/>
    <s v="CA-AU-D4"/>
    <s v="PALF"/>
    <x v="5"/>
    <s v="Congo"/>
    <m/>
    <m/>
    <m/>
  </r>
  <r>
    <x v="208"/>
    <s v="Taxi moto, Charden Farell-Hôtel Mithé2"/>
    <s v="Transport"/>
    <s v="Media"/>
    <n v="500"/>
    <n v="0.89135775178182408"/>
    <n v="560.94200000000001"/>
    <s v="Evariste"/>
    <s v="EV-AU-D1"/>
    <s v="PALF"/>
    <x v="5"/>
    <s v="Congo"/>
    <m/>
    <m/>
    <m/>
  </r>
  <r>
    <x v="208"/>
    <s v="Reglement honoraire du mois d'Août 2025/G12/3654427"/>
    <s v="Personnel"/>
    <s v="Investigations"/>
    <n v="222097"/>
    <n v="395.9357651949756"/>
    <n v="560.94200000000001"/>
    <s v="BCI"/>
    <s v="BQ-AU-R17"/>
    <s v="PALF"/>
    <x v="5"/>
    <s v="Congo"/>
    <m/>
    <m/>
    <m/>
  </r>
  <r>
    <x v="208"/>
    <s v="Reglement honoraire du mois d'Août 2025/IT87/3654426"/>
    <s v="Personnel"/>
    <s v="Investigations"/>
    <n v="255000"/>
    <n v="454.59245340873031"/>
    <n v="560.94200000000001"/>
    <s v="BCI"/>
    <s v="BQ-AU-R18"/>
    <s v="PALF"/>
    <x v="5"/>
    <s v="Congo"/>
    <m/>
    <m/>
    <m/>
  </r>
  <r>
    <x v="209"/>
    <s v="RODERLIN-CONGO Frais d'hôtel du 29 au 30/08/2025 à Enyele (01 nuitée)"/>
    <s v="Travel Subsistence"/>
    <s v="Legal"/>
    <n v="15000"/>
    <n v="26.740732553454723"/>
    <n v="560.94200000000001"/>
    <s v="Roderlin"/>
    <s v="RO-AU-R9"/>
    <s v="PALF"/>
    <x v="5"/>
    <s v="Congo"/>
    <m/>
    <m/>
    <m/>
  </r>
  <r>
    <x v="209"/>
    <s v="Taxi:Hôtel Paulina-Agence Océan du nord de Enyele "/>
    <s v="Transport"/>
    <s v="Legal"/>
    <n v="500"/>
    <n v="0.89135775178182408"/>
    <n v="560.94200000000001"/>
    <s v="Roderlin"/>
    <s v="RO-AU-D1"/>
    <s v="PALF"/>
    <x v="5"/>
    <s v="Congo"/>
    <m/>
    <m/>
    <m/>
  </r>
  <r>
    <x v="209"/>
    <s v="Taxi-moto:Agence Océan du nord d'Impfondo-Hôtel Mithe"/>
    <s v="Transport"/>
    <s v="Legal"/>
    <n v="500"/>
    <n v="0.89135775178182408"/>
    <n v="560.94200000000001"/>
    <s v="Roderlin"/>
    <s v="RO-AU-D1"/>
    <s v="PALF"/>
    <x v="5"/>
    <s v="Congo"/>
    <m/>
    <m/>
    <m/>
  </r>
  <r>
    <x v="210"/>
    <s v="Achat billet enyelle-Brazzaville/P29"/>
    <s v="Transport"/>
    <s v="Investigations"/>
    <n v="35000"/>
    <n v="62.395042624727687"/>
    <n v="560.94200000000001"/>
    <s v="P29"/>
    <s v="P29-AU-R12"/>
    <s v="PALF"/>
    <x v="5"/>
    <s v="Congo"/>
    <m/>
    <m/>
    <m/>
  </r>
  <r>
    <x v="210"/>
    <s v="P29 -CONGO Frais d'hotel du 25 au 31/08/2025 à  enyelle (06 Nuitées)"/>
    <s v="Travel Subsistence"/>
    <s v="Investigations"/>
    <n v="90000"/>
    <n v="160.44439532072835"/>
    <n v="560.94200000000001"/>
    <s v="P29"/>
    <s v="P29-AU-R13"/>
    <s v="PALF"/>
    <x v="5"/>
    <s v="Congo"/>
    <m/>
    <m/>
    <m/>
  </r>
  <r>
    <x v="210"/>
    <s v="Taxi agence-hotel,arrivé à gamboma"/>
    <s v="Transport"/>
    <s v="Investigations"/>
    <n v="1000"/>
    <n v="1.7827155035636482"/>
    <n v="560.94200000000001"/>
    <s v="P29"/>
    <s v="P29-AU-D1"/>
    <s v="PALF"/>
    <x v="5"/>
    <s v="Congo"/>
    <m/>
    <m/>
    <m/>
  </r>
  <r>
    <x v="210"/>
    <s v="Achat billet  Enyelle - Brazzaville/T73"/>
    <s v="Transport"/>
    <s v="Investigations"/>
    <n v="35000"/>
    <n v="62.395042624727687"/>
    <n v="560.94200000000001"/>
    <s v="T73"/>
    <s v="T73-AU-R10"/>
    <s v="PALF"/>
    <x v="5"/>
    <s v="Congo"/>
    <m/>
    <m/>
    <m/>
  </r>
  <r>
    <x v="210"/>
    <s v="T73 - CONGO Frais d'hotel du 25 au 31/08/2025 à Enyelle ( 06 nuitée)"/>
    <s v="Travel Subsistence"/>
    <s v="Investigations"/>
    <n v="90000"/>
    <n v="160.44439532072835"/>
    <n v="560.94200000000001"/>
    <s v="T73"/>
    <s v="T73-AU-R11"/>
    <s v="PALF"/>
    <x v="5"/>
    <s v="Congo"/>
    <m/>
    <m/>
    <m/>
  </r>
  <r>
    <x v="211"/>
    <s v="Maison-Bureau"/>
    <s v="Transport"/>
    <s v="Management"/>
    <n v="1000"/>
    <n v="1.8744037053212446"/>
    <n v="533.50300000000004"/>
    <s v="DOVI"/>
    <s v="DH-S-D1"/>
    <s v="PALF"/>
    <x v="7"/>
    <s v="Congo"/>
    <m/>
    <m/>
    <m/>
  </r>
  <r>
    <x v="211"/>
    <s v="Bureau-Maison"/>
    <s v="Transport"/>
    <s v="Management"/>
    <n v="1000"/>
    <n v="1.8744037053212446"/>
    <n v="533.50300000000004"/>
    <s v="DOVI"/>
    <s v="DH-S-D1"/>
    <s v="PALF"/>
    <x v="7"/>
    <s v="Congo"/>
    <m/>
    <m/>
    <m/>
  </r>
  <r>
    <x v="211"/>
    <s v="Credit telephonique MTN/PALF/ du 01 au 07 Septembre 2025/DOVI"/>
    <s v="Telephone"/>
    <s v="Management"/>
    <n v="12500"/>
    <n v="23.430046316515558"/>
    <n v="533.50300000000004"/>
    <s v="DOVI"/>
    <s v="DH-S-R1"/>
    <s v="PALF"/>
    <x v="7"/>
    <s v="Congo"/>
    <m/>
    <m/>
    <m/>
  </r>
  <r>
    <x v="211"/>
    <s v="CREPIN-CONGO Ration du 02 au 14/09/2025 à Impfondo"/>
    <s v="Travel Subsistence"/>
    <s v="Legal"/>
    <n v="120000"/>
    <n v="224.92844463854934"/>
    <n v="533.50300000000004"/>
    <s v="Crépin"/>
    <s v="CR-S-D2"/>
    <s v="PALF"/>
    <x v="7"/>
    <s v="Congo"/>
    <m/>
    <m/>
    <m/>
  </r>
  <r>
    <x v="211"/>
    <s v="Credit telephonique MTN PALF/du 01 au 07 septembre 2025/ crepin"/>
    <s v="Telephone"/>
    <s v="Legal"/>
    <n v="10000"/>
    <n v="18.744037053212445"/>
    <n v="533.50300000000004"/>
    <s v="Crépin"/>
    <s v="CR-S-R1"/>
    <s v="PALF"/>
    <x v="7"/>
    <s v="Congo"/>
    <m/>
    <m/>
    <m/>
  </r>
  <r>
    <x v="211"/>
    <s v="Taxi:  Bureau-Banque BCI/ Retrait espece"/>
    <s v="Transport"/>
    <s v="Office"/>
    <n v="1000"/>
    <n v="1.8744037053212446"/>
    <n v="533.50300000000004"/>
    <s v="Parfaite"/>
    <s v="P-S-D1"/>
    <s v="PALF"/>
    <x v="7"/>
    <s v="Congo"/>
    <m/>
    <m/>
    <m/>
  </r>
  <r>
    <x v="211"/>
    <s v="Taxi:  Banque BCI - Direction MTN /Achat crédit bureau PALF"/>
    <s v="Transport"/>
    <s v="Office"/>
    <n v="500"/>
    <n v="0.93720185266062228"/>
    <n v="533.50300000000004"/>
    <s v="Parfaite"/>
    <s v="P-S-D1"/>
    <s v="PALF"/>
    <x v="7"/>
    <s v="Congo"/>
    <m/>
    <m/>
    <m/>
  </r>
  <r>
    <x v="211"/>
    <s v="Taxi: Direction MTN-Bureau/"/>
    <s v="Transport"/>
    <s v="Office"/>
    <n v="1000"/>
    <n v="1.8744037053212446"/>
    <n v="533.50300000000004"/>
    <s v="Parfaite"/>
    <s v="P-S-D1"/>
    <s v="PALF"/>
    <x v="7"/>
    <s v="Congo"/>
    <m/>
    <m/>
    <m/>
  </r>
  <r>
    <x v="211"/>
    <s v="Ration et frais d'hotel mission maitre Alain à Impfondo du 01 au 07/09/2025"/>
    <s v="Travel Subsistence"/>
    <s v="Legal"/>
    <n v="150000"/>
    <n v="281.16055579818669"/>
    <n v="533.50300000000004"/>
    <s v="Parfaite"/>
    <s v="CA-S-R1"/>
    <s v="PALF"/>
    <x v="7"/>
    <s v="Congo"/>
    <m/>
    <m/>
    <m/>
  </r>
  <r>
    <x v="211"/>
    <s v="Frais de transport mission Maitre Alain à Impfondo du 01 au 07/09/2025"/>
    <s v="Transport"/>
    <s v="Legal"/>
    <n v="12000"/>
    <n v="21.392586042763778"/>
    <n v="560.94200000000001"/>
    <s v="Parfaite"/>
    <s v="CA-S-R2"/>
    <s v="PALF"/>
    <x v="5"/>
    <s v="Congo"/>
    <m/>
    <m/>
    <m/>
  </r>
  <r>
    <x v="211"/>
    <s v="Taxi: Bureau - Charden Farell/transfert d'argent à Roderlin et Maitre Alain"/>
    <s v="Transport"/>
    <s v="Office"/>
    <n v="500"/>
    <n v="0.89135775178182408"/>
    <n v="560.94200000000001"/>
    <s v="Parfaite"/>
    <s v="P-S-D1"/>
    <s v="PALF"/>
    <x v="5"/>
    <s v="Congo"/>
    <m/>
    <m/>
    <m/>
  </r>
  <r>
    <x v="211"/>
    <s v="Taxi: Charden Farell- Bureau/transferft d'argent"/>
    <s v="Transfert fees"/>
    <s v="Office"/>
    <n v="9360"/>
    <n v="16.686217113355749"/>
    <n v="560.94200000000001"/>
    <s v="Parfaite"/>
    <s v="CA-S-R3"/>
    <s v="PALF"/>
    <x v="5"/>
    <s v="Congo"/>
    <m/>
    <m/>
    <m/>
  </r>
  <r>
    <x v="211"/>
    <s v="Taxi: Charden Farell- Bureau/transferft d'argent"/>
    <s v="Transport"/>
    <s v="Office"/>
    <n v="500"/>
    <n v="0.89135775178182408"/>
    <n v="560.94200000000001"/>
    <s v="Parfaite"/>
    <s v="P-S-D1"/>
    <s v="PALF"/>
    <x v="5"/>
    <s v="Congo"/>
    <m/>
    <m/>
    <m/>
  </r>
  <r>
    <x v="211"/>
    <s v="Credit teléphonique MTN PALF/ du 01 au 07 septembre 2025/ Parfaite"/>
    <s v="Telephone"/>
    <s v="Management"/>
    <n v="7500"/>
    <n v="13.370366276727362"/>
    <n v="560.94200000000001"/>
    <s v="Parfaite"/>
    <s v="P-S-R1"/>
    <s v="PALF"/>
    <x v="5"/>
    <s v="Congo"/>
    <m/>
    <m/>
    <m/>
  </r>
  <r>
    <x v="211"/>
    <s v="P29 -CONGO Frais d'hotel du 31/08 au 01/09/2025 à  Gamboma (01 Nuitée)"/>
    <s v="Travel Subsistence"/>
    <s v="Investigations"/>
    <n v="15000"/>
    <n v="26.740732553454723"/>
    <n v="560.94200000000001"/>
    <s v="P29"/>
    <s v="P29-S-R1"/>
    <s v="PALF"/>
    <x v="5"/>
    <s v="Congo"/>
    <m/>
    <m/>
    <m/>
  </r>
  <r>
    <x v="211"/>
    <s v="Taxi hotel-agence,départ pour brazza"/>
    <s v="Transport"/>
    <s v="Investigations"/>
    <n v="1000"/>
    <n v="1.7827155035636482"/>
    <n v="560.94200000000001"/>
    <s v="P29"/>
    <s v="P29-S-D1"/>
    <s v="PALF"/>
    <x v="5"/>
    <s v="Congo"/>
    <m/>
    <m/>
    <m/>
  </r>
  <r>
    <x v="211"/>
    <s v="Taxi agence-domicile,arrivé à brazzaville"/>
    <s v="Transport"/>
    <s v="Investigations"/>
    <n v="2500"/>
    <n v="4.4567887589091209"/>
    <n v="560.94200000000001"/>
    <s v="P29"/>
    <s v="P29-S-D1"/>
    <s v="PALF"/>
    <x v="5"/>
    <s v="Congo"/>
    <m/>
    <m/>
    <m/>
  </r>
  <r>
    <x v="211"/>
    <s v="Credit telephonique MTN PALF/ du 01 au 07 Septembre 2025/ Investigation/P29"/>
    <s v="Telephone"/>
    <s v="Investigations"/>
    <n v="10000"/>
    <n v="17.827155035636483"/>
    <n v="560.94200000000001"/>
    <s v="P29"/>
    <s v="P29-S-R2"/>
    <s v="PALF"/>
    <x v="5"/>
    <s v="Congo"/>
    <m/>
    <m/>
    <m/>
  </r>
  <r>
    <x v="211"/>
    <s v="T73 - CONGO Frais d'hotel du 31 au 01/08/2025 ( 01 nuitée) à Gamboma"/>
    <s v="Travel Subsistence"/>
    <s v="Investigations"/>
    <n v="15000"/>
    <n v="26.740732553454723"/>
    <n v="560.94200000000001"/>
    <s v="T73"/>
    <s v="T73-S-R1"/>
    <s v="PALF"/>
    <x v="5"/>
    <s v="Congo"/>
    <m/>
    <m/>
    <m/>
  </r>
  <r>
    <x v="211"/>
    <s v="Credit telephonique MTN PALF/ du 01 au 07 septembre 2025/ Investigation/T73"/>
    <s v="Telephone"/>
    <s v="Investigations"/>
    <n v="10000"/>
    <n v="17.827155035636483"/>
    <n v="560.94200000000001"/>
    <s v="T73"/>
    <s v="T73-S-R2"/>
    <s v="PALF"/>
    <x v="5"/>
    <s v="Congo"/>
    <m/>
    <m/>
    <m/>
  </r>
  <r>
    <x v="211"/>
    <s v="Credit telephonique MTN PALF/du 01 au 07 septembre 2025/IT87"/>
    <s v="Telephone"/>
    <s v="Investigations"/>
    <n v="10000"/>
    <n v="17.827155035636483"/>
    <n v="560.94200000000001"/>
    <s v="IT87"/>
    <s v="IT87-S-R1"/>
    <s v="PALF"/>
    <x v="5"/>
    <s v="Congo"/>
    <m/>
    <m/>
    <m/>
  </r>
  <r>
    <x v="211"/>
    <s v="Credit telephonique MTN PALF/du 01 au 07 septembre 2025/G12"/>
    <s v="Telephone"/>
    <s v="Investigations"/>
    <n v="10000"/>
    <n v="17.827155035636483"/>
    <n v="560.94200000000001"/>
    <s v="G12"/>
    <s v="G12-S-R1"/>
    <s v="PALF"/>
    <x v="5"/>
    <s v="Congo"/>
    <m/>
    <m/>
    <m/>
  </r>
  <r>
    <x v="211"/>
    <s v="Credit telephonique MTN PALF/ du 01 au 07 septembre 2025/Abraham"/>
    <s v="Telephone"/>
    <s v="Legal"/>
    <n v="7500"/>
    <n v="13.370366276727362"/>
    <n v="560.94200000000001"/>
    <s v="Abraham"/>
    <s v="AB-S-R1"/>
    <s v="PALF"/>
    <x v="5"/>
    <s v="Congo"/>
    <m/>
    <m/>
    <m/>
  </r>
  <r>
    <x v="211"/>
    <s v="Taxi-moto:Hôtel Mithe-TGI de Ouesso"/>
    <s v="Transport"/>
    <s v="Legal"/>
    <n v="500"/>
    <n v="0.89135775178182408"/>
    <n v="560.94200000000001"/>
    <s v="Roderlin"/>
    <s v="RO-S-D1"/>
    <s v="PALF"/>
    <x v="5"/>
    <s v="Congo"/>
    <m/>
    <m/>
    <m/>
  </r>
  <r>
    <x v="211"/>
    <s v="Taxi-moto:TGI-Hôtel Mithe"/>
    <s v="Transport"/>
    <s v="Legal"/>
    <n v="500"/>
    <n v="0.89135775178182408"/>
    <n v="560.94200000000001"/>
    <s v="Roderlin"/>
    <s v="RO-S-D1"/>
    <s v="PALF"/>
    <x v="5"/>
    <s v="Congo"/>
    <m/>
    <m/>
    <m/>
  </r>
  <r>
    <x v="211"/>
    <s v="Achat billet Impfondo-Brazzaville/ Roderlin"/>
    <s v="Transport"/>
    <s v="Legal"/>
    <n v="37000"/>
    <n v="65.960473631854981"/>
    <n v="560.94200000000001"/>
    <s v="Roderlin"/>
    <s v="RO-S-R1"/>
    <s v="PALF"/>
    <x v="5"/>
    <s v="Congo"/>
    <m/>
    <m/>
    <m/>
  </r>
  <r>
    <x v="211"/>
    <s v="RODERLIN-CONGO Ration du 01 au 07/09/2025 à Impfondo (06 nuitées)"/>
    <s v="Travel Subsistence"/>
    <s v="Legal"/>
    <n v="60000"/>
    <n v="106.96293021381889"/>
    <n v="560.94200000000001"/>
    <s v="Roderlin"/>
    <s v="RO-S-D2"/>
    <s v="PALF"/>
    <x v="5"/>
    <s v="Congo"/>
    <m/>
    <m/>
    <m/>
  </r>
  <r>
    <x v="211"/>
    <s v="Credit telephonique MTN PALF/du 01 au 07 Septembre 2025/Roderlin"/>
    <s v="Telephone"/>
    <s v="Legal"/>
    <n v="7500"/>
    <n v="13.370366276727362"/>
    <n v="560.94200000000001"/>
    <s v="Roderlin"/>
    <s v="RO-S-R2"/>
    <s v="PALF"/>
    <x v="5"/>
    <s v="Congo"/>
    <m/>
    <m/>
    <m/>
  </r>
  <r>
    <x v="211"/>
    <s v="Taxi moto Hôtel Mithé-TGI/ Suivi d'audience"/>
    <s v="Transport "/>
    <s v="Legal"/>
    <n v="500"/>
    <n v="0.89135775178182408"/>
    <n v="560.94200000000001"/>
    <s v="Donald-Roméo"/>
    <s v="DR-S-D1"/>
    <s v="PALF"/>
    <x v="5"/>
    <s v="Congo"/>
    <m/>
    <m/>
    <m/>
  </r>
  <r>
    <x v="211"/>
    <s v="Taxi moto TGI- Agence Océan du Nord/ Pour la reservation des billets"/>
    <s v="Transport "/>
    <s v="Legal"/>
    <n v="500"/>
    <n v="0.89135775178182408"/>
    <n v="560.94200000000001"/>
    <s v="Donald-Roméo"/>
    <s v="DR-S-D1"/>
    <s v="PALF"/>
    <x v="5"/>
    <s v="Congo"/>
    <m/>
    <m/>
    <m/>
  </r>
  <r>
    <x v="211"/>
    <s v="Credit telephonique MTN PALF/du 01 au 07 septembre 2025"/>
    <s v="Telephone"/>
    <s v="Legal"/>
    <n v="10000"/>
    <n v="17.827155035636483"/>
    <n v="560.94200000000001"/>
    <s v="Donald-Roméo"/>
    <s v="DR-S-R1"/>
    <s v="PALF"/>
    <x v="5"/>
    <s v="Congo"/>
    <m/>
    <m/>
    <m/>
  </r>
  <r>
    <x v="211"/>
    <s v="Taxi moto Agence Océan du Nord-Hôtel Mithé"/>
    <s v="Transport "/>
    <s v="Legal"/>
    <n v="500"/>
    <n v="0.89135775178182408"/>
    <n v="560.94200000000001"/>
    <s v="Donald-Roméo"/>
    <s v="DR-S-D1"/>
    <s v="PALF"/>
    <x v="5"/>
    <s v="Congo"/>
    <m/>
    <m/>
    <m/>
  </r>
  <r>
    <x v="211"/>
    <s v="Donald-Roméo CONGO Ration  du  02 au 14/09/2025 à Oyo, Impfondo et  Enyellé/ Donald-Roméo"/>
    <s v="Travel Subsistence"/>
    <s v="Legal"/>
    <n v="120000"/>
    <n v="213.92586042763779"/>
    <n v="560.94200000000001"/>
    <s v="Donald-Roméo"/>
    <s v="DR-S-D2"/>
    <s v="PALF"/>
    <x v="5"/>
    <s v="Congo"/>
    <m/>
    <m/>
    <m/>
  </r>
  <r>
    <x v="212"/>
    <s v="Taxi moto Hôtel Mithé-Charden farell/ Retrait de fonds"/>
    <s v="Transport "/>
    <s v="Legal"/>
    <n v="500"/>
    <n v="0.89135775178182408"/>
    <n v="560.94200000000001"/>
    <s v="Donald-Roméo"/>
    <s v="DR-S-D1"/>
    <s v="PALF"/>
    <x v="5"/>
    <s v="Congo"/>
    <m/>
    <m/>
    <m/>
  </r>
  <r>
    <x v="211"/>
    <s v="Achat billet Impfondo-Brazzaville"/>
    <s v="Transport"/>
    <s v="Media"/>
    <n v="37000"/>
    <n v="65.960473631854981"/>
    <n v="560.94200000000001"/>
    <s v="Evariste"/>
    <s v="EV-S-R1"/>
    <s v="PALF"/>
    <x v="5"/>
    <s v="Congo"/>
    <m/>
    <m/>
    <m/>
  </r>
  <r>
    <x v="211"/>
    <s v="EVARISTE-CONGO Frais de l'hôtel du 16 août au 01 septembre 2025 à Impfondo ( 16 nuitées) "/>
    <s v="Travel Subsistence"/>
    <s v="Media"/>
    <n v="240000"/>
    <n v="427.85172085527557"/>
    <n v="560.94200000000001"/>
    <s v="Evariste"/>
    <s v="EV-S-R2"/>
    <s v="PALF"/>
    <x v="5"/>
    <s v="Congo"/>
    <m/>
    <m/>
    <m/>
  </r>
  <r>
    <x v="211"/>
    <s v="Taxi moto, Hôtel Mithé2-Agence Océan du Nord d'Impfondo"/>
    <s v="Transport"/>
    <s v="Media"/>
    <n v="500"/>
    <n v="0.89135775178182408"/>
    <n v="560.94200000000001"/>
    <s v="Evariste"/>
    <s v="EV-S-D1"/>
    <s v="PALF"/>
    <x v="5"/>
    <s v="Congo"/>
    <m/>
    <m/>
    <m/>
  </r>
  <r>
    <x v="211"/>
    <s v="Credit telephonique MTN PALF/du 01 au 07 septembre 2025/ Evariste"/>
    <s v="Telephone"/>
    <s v="Media"/>
    <n v="10000"/>
    <n v="17.827155035636483"/>
    <n v="560.94200000000001"/>
    <s v="Evariste"/>
    <s v="EV-S-R3"/>
    <s v="PALF"/>
    <x v="5"/>
    <s v="Congo"/>
    <m/>
    <m/>
    <m/>
  </r>
  <r>
    <x v="211"/>
    <s v="Credit telephonique MTN PALF/du 01 au 07 Septembre 2025/Romain"/>
    <s v="Telephone"/>
    <s v="Legal"/>
    <n v="7500"/>
    <n v="13.370366276727362"/>
    <n v="560.94200000000001"/>
    <s v="Romain"/>
    <s v="RM-S-R1"/>
    <s v="PALF"/>
    <x v="5"/>
    <s v="Congo"/>
    <m/>
    <m/>
    <m/>
  </r>
  <r>
    <x v="212"/>
    <s v="Maison-Cabinet d'huissier"/>
    <s v="Transport"/>
    <s v="Management"/>
    <n v="1000"/>
    <n v="1.7827155035636482"/>
    <n v="560.94200000000001"/>
    <s v="DOVI"/>
    <s v="DH-S-D1"/>
    <s v="PALF"/>
    <x v="5"/>
    <s v="Congo"/>
    <m/>
    <m/>
    <m/>
  </r>
  <r>
    <x v="212"/>
    <s v="Cabinet d'huissier - Bureau"/>
    <s v="Transport"/>
    <s v="Management"/>
    <n v="1000"/>
    <n v="1.7827155035636482"/>
    <n v="560.94200000000001"/>
    <s v="DOVI"/>
    <s v="DH-S-D1"/>
    <s v="PALF"/>
    <x v="5"/>
    <s v="Congo"/>
    <m/>
    <m/>
    <m/>
  </r>
  <r>
    <x v="212"/>
    <s v="Bureau-Maison"/>
    <s v="Transport"/>
    <s v="Management"/>
    <n v="1000"/>
    <n v="1.7827155035636482"/>
    <n v="560.94200000000001"/>
    <s v="DOVI"/>
    <s v="DH-S-D1"/>
    <s v="PALF"/>
    <x v="5"/>
    <s v="Congo"/>
    <m/>
    <m/>
    <m/>
  </r>
  <r>
    <x v="212"/>
    <s v="Frais de notification affaire de merveille/ Maître OKEMBA NGABOMBA"/>
    <s v="Lawyer Fees"/>
    <s v="Legal"/>
    <n v="113500"/>
    <n v="202.33820965447407"/>
    <n v="560.94200000000001"/>
    <s v="Parfaite"/>
    <s v="CA-S-R5"/>
    <s v="PALF"/>
    <x v="5"/>
    <s v="Congo"/>
    <m/>
    <m/>
    <m/>
  </r>
  <r>
    <x v="212"/>
    <s v="Taxi: Bureau-Charden Farell/Transfert de fonds"/>
    <s v="Transport"/>
    <s v="Legal"/>
    <n v="500"/>
    <n v="0.89135775178182408"/>
    <n v="560.94200000000001"/>
    <s v="Abraham"/>
    <s v="AB-S-D1"/>
    <s v="PALF"/>
    <x v="5"/>
    <s v="Congo"/>
    <m/>
    <m/>
    <m/>
  </r>
  <r>
    <x v="212"/>
    <s v="Taxi: Charden-Farel Bureau"/>
    <s v="Transport"/>
    <s v="Legal"/>
    <n v="500"/>
    <n v="0.89135775178182408"/>
    <n v="560.94200000000001"/>
    <s v="Abraham"/>
    <s v="AB-S-D1"/>
    <s v="PALF"/>
    <x v="5"/>
    <s v="Congo"/>
    <m/>
    <m/>
    <m/>
  </r>
  <r>
    <x v="212"/>
    <s v="Frais de tansfert d'argent à Donald-Roméo et Crepin"/>
    <s v="Transfert fees"/>
    <s v="Office"/>
    <n v="7950"/>
    <n v="14.172588253331003"/>
    <n v="560.94200000000001"/>
    <s v="Abraham"/>
    <s v="CA-S-R4"/>
    <s v="PALF"/>
    <x v="5"/>
    <s v="Congo"/>
    <m/>
    <m/>
    <m/>
  </r>
  <r>
    <x v="212"/>
    <s v="Taxi-moto:Hôtel Mithe-Charden Farrel"/>
    <s v="Transport"/>
    <s v="Legal"/>
    <n v="500"/>
    <n v="0.89135775178182408"/>
    <n v="560.94200000000001"/>
    <s v="Roderlin"/>
    <s v="RO-S-D1"/>
    <s v="PALF"/>
    <x v="5"/>
    <s v="Congo"/>
    <m/>
    <m/>
    <m/>
  </r>
  <r>
    <x v="212"/>
    <s v="Taxi-moto:Charden Farrel-Hôtel Mithe "/>
    <s v="Transport"/>
    <s v="Legal"/>
    <n v="500"/>
    <n v="0.89135775178182408"/>
    <n v="560.94200000000001"/>
    <s v="Roderlin"/>
    <s v="RO-S-D1"/>
    <s v="PALF"/>
    <x v="5"/>
    <s v="Congo"/>
    <m/>
    <m/>
    <m/>
  </r>
  <r>
    <x v="212"/>
    <s v="Taxi moto Charden farell-Hôtel Mithé"/>
    <s v="Transport "/>
    <s v="Legal"/>
    <n v="500"/>
    <n v="0.89135775178182408"/>
    <n v="560.94200000000001"/>
    <s v="Donald-Roméo"/>
    <s v="DR-S-D1"/>
    <s v="PALF"/>
    <x v="5"/>
    <s v="Congo"/>
    <m/>
    <m/>
    <m/>
  </r>
  <r>
    <x v="213"/>
    <s v="Taxi moto Hôtel Mithé- Agence Océan du Nord/ Pour le repport des billets"/>
    <s v="Transport "/>
    <s v="Legal"/>
    <n v="500"/>
    <n v="0.93720185266062228"/>
    <n v="533.50300000000004"/>
    <s v="Donald-Roméo"/>
    <s v="DR-S-D1"/>
    <s v="PALF"/>
    <x v="3"/>
    <s v="Congo"/>
    <m/>
    <m/>
    <m/>
  </r>
  <r>
    <x v="212"/>
    <s v="EVARISTE-CONGO Frais de l'hôtel du 01 au 02 septembre  à Enyellé ( une nuitée) "/>
    <s v="Travel Subsistence"/>
    <s v="Media"/>
    <n v="15000"/>
    <n v="26.740732553454723"/>
    <n v="560.94200000000001"/>
    <s v="Evariste"/>
    <s v="EV-S-R4"/>
    <s v="PALF"/>
    <x v="5"/>
    <s v="Congo"/>
    <m/>
    <m/>
    <m/>
  </r>
  <r>
    <x v="212"/>
    <s v="Reglement honoraire du mois de de d'Août 2025/P29/3654429"/>
    <s v="Personnel"/>
    <s v="Investigations"/>
    <n v="450000"/>
    <n v="802.22197660364168"/>
    <n v="560.94200000000001"/>
    <s v="BCI"/>
    <s v="BQ-S-R1"/>
    <s v="PALF"/>
    <x v="5"/>
    <s v="Congo"/>
    <m/>
    <m/>
    <m/>
  </r>
  <r>
    <x v="212"/>
    <s v="Reglement honoraire du mois d'Août 2025/T73/3654430"/>
    <s v="Personnel"/>
    <s v="Investigations"/>
    <n v="375000"/>
    <n v="668.51831383636807"/>
    <n v="560.94200000000001"/>
    <s v="BCI"/>
    <s v="BQ-S-R2"/>
    <s v="PALF"/>
    <x v="5"/>
    <s v="Congo"/>
    <m/>
    <m/>
    <m/>
  </r>
  <r>
    <x v="214"/>
    <s v="Maison-Bureau"/>
    <s v="Transport"/>
    <s v="Management"/>
    <n v="1000"/>
    <n v="1.7827155035636482"/>
    <n v="560.94200000000001"/>
    <s v="DOVI"/>
    <s v="DH-S-D1"/>
    <s v="PALF"/>
    <x v="5"/>
    <s v="Congo"/>
    <m/>
    <m/>
    <m/>
  </r>
  <r>
    <x v="214"/>
    <s v="Bureau - Maison"/>
    <s v="Transport"/>
    <s v="Management"/>
    <n v="1000"/>
    <n v="1.7827155035636482"/>
    <n v="560.94200000000001"/>
    <s v="DOVI"/>
    <s v="DH-S-D1"/>
    <s v="PALF"/>
    <x v="5"/>
    <s v="Congo"/>
    <m/>
    <m/>
    <m/>
  </r>
  <r>
    <x v="214"/>
    <s v="Achat billet Brazzaville-Dolisie/ P29"/>
    <s v="Transport"/>
    <s v="Investigations"/>
    <n v="9000"/>
    <n v="16.044439532072836"/>
    <n v="560.94200000000001"/>
    <s v="P29"/>
    <s v="P29-S-R3"/>
    <s v="PALF"/>
    <x v="5"/>
    <s v="Congo"/>
    <m/>
    <m/>
    <m/>
  </r>
  <r>
    <x v="214"/>
    <s v="Taxi bureau-agence, pour achat billet"/>
    <s v="Transport"/>
    <s v="Investigations"/>
    <n v="1000"/>
    <n v="1.7827155035636482"/>
    <n v="560.94200000000001"/>
    <s v="P29"/>
    <s v="P29-S-D1"/>
    <s v="PALF"/>
    <x v="5"/>
    <s v="Congo"/>
    <m/>
    <m/>
    <m/>
  </r>
  <r>
    <x v="214"/>
    <s v="Taxi agence-bureau"/>
    <s v="Transport"/>
    <s v="Investigations"/>
    <n v="1500"/>
    <n v="2.6740732553454722"/>
    <n v="560.94200000000001"/>
    <s v="P29"/>
    <s v="P29-S-D1"/>
    <s v="PALF"/>
    <x v="5"/>
    <s v="Congo"/>
    <m/>
    <m/>
    <m/>
  </r>
  <r>
    <x v="214"/>
    <s v="Taxi :bureau - agence trans bony"/>
    <s v="Transport"/>
    <s v="Investigations"/>
    <n v="1000"/>
    <n v="1.7827155035636482"/>
    <n v="560.94200000000001"/>
    <s v="T73"/>
    <s v="T73-S-D1"/>
    <s v="PALF"/>
    <x v="5"/>
    <s v="Congo"/>
    <m/>
    <m/>
    <m/>
  </r>
  <r>
    <x v="214"/>
    <s v="Taxi :agence trans bony - domicile"/>
    <s v="Transport"/>
    <s v="Investigations"/>
    <n v="1000"/>
    <n v="1.7827155035636482"/>
    <n v="560.94200000000001"/>
    <s v="T73"/>
    <s v="T73-S-D1"/>
    <s v="PALF"/>
    <x v="5"/>
    <s v="Congo"/>
    <m/>
    <m/>
    <m/>
  </r>
  <r>
    <x v="214"/>
    <s v="Achat billet : Brazzaville - dolisie/T73"/>
    <s v="Transport"/>
    <s v="Investigations"/>
    <n v="9000"/>
    <n v="16.044439532072836"/>
    <n v="560.94200000000001"/>
    <s v="T73"/>
    <s v="T73-S-R3"/>
    <s v="PALF"/>
    <x v="5"/>
    <s v="Congo"/>
    <m/>
    <m/>
    <m/>
  </r>
  <r>
    <x v="214"/>
    <s v="Achat carte Sim MTN /T73"/>
    <s v="Investigation materials"/>
    <s v="Investigations"/>
    <n v="10000"/>
    <n v="17.827155035636483"/>
    <n v="560.94200000000001"/>
    <s v="T73"/>
    <s v="CA-S-R6"/>
    <s v="PALF"/>
    <x v="5"/>
    <s v="Congo"/>
    <m/>
    <m/>
    <m/>
  </r>
  <r>
    <x v="214"/>
    <s v="Taxi : Bureau - Agence Trans bony/ Achat billet"/>
    <s v="Transport"/>
    <s v="Investigations"/>
    <n v="1000"/>
    <n v="1.7827155035636482"/>
    <n v="560.94200000000001"/>
    <s v="IT87"/>
    <s v="IT87-S-D1"/>
    <s v="PALF"/>
    <x v="5"/>
    <s v="Congo"/>
    <m/>
    <m/>
    <m/>
  </r>
  <r>
    <x v="214"/>
    <s v="Achat billet Brazzaville - Mouyondzi/ IT87"/>
    <s v="Transport"/>
    <s v="Investigations"/>
    <n v="7000"/>
    <n v="12.479008524945538"/>
    <n v="560.94200000000001"/>
    <s v="IT87"/>
    <s v="IT87-S-R2"/>
    <s v="PALF"/>
    <x v="5"/>
    <s v="Congo"/>
    <m/>
    <m/>
    <m/>
  </r>
  <r>
    <x v="214"/>
    <s v="Taxi Agence trans bony - Domicile/ Retour d'achat billet"/>
    <s v="Transport"/>
    <s v="Investigations"/>
    <n v="2000"/>
    <n v="3.5654310071272963"/>
    <n v="560.94200000000001"/>
    <s v="IT87"/>
    <s v="IT87-S-D1"/>
    <s v="PALF"/>
    <x v="5"/>
    <s v="Congo"/>
    <m/>
    <m/>
    <m/>
  </r>
  <r>
    <x v="214"/>
    <s v="EVARISTE-CONGOFrais de l'hôtel du 02 au 03 septembre 2025 à Gamboma ( une nuitée) "/>
    <s v="Travel Subsistence"/>
    <s v="Media"/>
    <n v="15000"/>
    <n v="26.740732553454723"/>
    <n v="560.94200000000001"/>
    <s v="Evariste"/>
    <s v="EV-S-R5"/>
    <s v="PALF"/>
    <x v="5"/>
    <s v="Congo"/>
    <m/>
    <m/>
    <m/>
  </r>
  <r>
    <x v="214"/>
    <s v="Taxi, Agence Océan du Nord de Talangaï-Domicile"/>
    <s v="Transport"/>
    <s v="Media"/>
    <n v="3000"/>
    <n v="5.3481465106909445"/>
    <n v="560.94200000000001"/>
    <s v="Evariste"/>
    <s v="EV-S-D1"/>
    <s v="PALF"/>
    <x v="5"/>
    <s v="Congo"/>
    <m/>
    <m/>
    <m/>
  </r>
  <r>
    <x v="214"/>
    <s v="Reglement Facture Gardiennage Mois d'Août 2025/365443654431"/>
    <s v="Services"/>
    <s v="Office"/>
    <n v="260000"/>
    <n v="463.50603092654853"/>
    <n v="560.94200000000001"/>
    <s v="BCI"/>
    <s v="BQ-S-R3"/>
    <s v="PALF"/>
    <x v="5"/>
    <s v="Congo"/>
    <m/>
    <m/>
    <m/>
  </r>
  <r>
    <x v="214"/>
    <s v="Reglement loyer du mois d'Août 2025/3654420"/>
    <s v="Rent &amp; Utilities"/>
    <s v="Office"/>
    <n v="500000"/>
    <n v="891.35775178182416"/>
    <n v="560.94200000000001"/>
    <s v="BCI"/>
    <s v="BQ-S-R4"/>
    <s v="PALF"/>
    <x v="5"/>
    <s v="Congo"/>
    <m/>
    <m/>
    <m/>
  </r>
  <r>
    <x v="213"/>
    <s v="Maison-Bureau"/>
    <s v="Transport"/>
    <s v="Management"/>
    <n v="1000"/>
    <n v="1.8744037053212446"/>
    <n v="533.50300000000004"/>
    <s v="DOVI"/>
    <s v="DH-S-D1"/>
    <s v="PALF"/>
    <x v="3"/>
    <s v="Congo"/>
    <m/>
    <m/>
    <m/>
  </r>
  <r>
    <x v="213"/>
    <s v="Bureau-Maison"/>
    <s v="Transport"/>
    <s v="Management"/>
    <n v="1000"/>
    <n v="1.8744037053212446"/>
    <n v="533.50300000000004"/>
    <s v="DOVI"/>
    <s v="DH-S-D1"/>
    <s v="PALF"/>
    <x v="3"/>
    <s v="Congo"/>
    <m/>
    <m/>
    <m/>
  </r>
  <r>
    <x v="213"/>
    <s v="P29 - CONGO Ration  du 04 /09/2025  au 05/10/2025 à Dolisie (31 Nuitées)"/>
    <s v="Travel Subsistence"/>
    <s v="Investigations"/>
    <n v="310000"/>
    <n v="581.06514864958581"/>
    <n v="533.50300000000004"/>
    <s v="P29"/>
    <s v="P29-S-D2"/>
    <s v="PALF"/>
    <x v="3"/>
    <s v="Congo"/>
    <m/>
    <m/>
    <m/>
  </r>
  <r>
    <x v="213"/>
    <s v="Taxi domicile-agence,départ mission"/>
    <s v="Transport"/>
    <s v="Investigations"/>
    <n v="1000"/>
    <n v="1.8744037053212446"/>
    <n v="533.50300000000004"/>
    <s v="P29"/>
    <s v="P29-S-D1"/>
    <s v="PALF"/>
    <x v="3"/>
    <s v="Congo"/>
    <m/>
    <m/>
    <m/>
  </r>
  <r>
    <x v="213"/>
    <s v="Taxi agence-hotel,arrivé à dolisie"/>
    <s v="Transport"/>
    <s v="Investigations"/>
    <n v="1000"/>
    <n v="1.8744037053212446"/>
    <n v="533.50300000000004"/>
    <s v="P29"/>
    <s v="P29-S-D1"/>
    <s v="PALF"/>
    <x v="3"/>
    <s v="Congo"/>
    <m/>
    <m/>
    <m/>
  </r>
  <r>
    <x v="213"/>
    <s v="Taxi hotel-gaya,prospection"/>
    <s v="Transport"/>
    <s v="Investigations"/>
    <n v="1000"/>
    <n v="1.8744037053212446"/>
    <n v="533.50300000000004"/>
    <s v="P29"/>
    <s v="P29-S-D1"/>
    <s v="PALF"/>
    <x v="3"/>
    <s v="Congo"/>
    <m/>
    <m/>
    <m/>
  </r>
  <r>
    <x v="213"/>
    <s v="Taxi gaya-hotel"/>
    <s v="Transport"/>
    <s v="Investigations"/>
    <n v="1000"/>
    <n v="1.8744037053212446"/>
    <n v="533.50300000000004"/>
    <s v="P29"/>
    <s v="P29-S-D1"/>
    <s v="PALF"/>
    <x v="3"/>
    <s v="Congo"/>
    <m/>
    <m/>
    <m/>
  </r>
  <r>
    <x v="213"/>
    <s v="T73 CONGO Ration du 04 au 05/10/2025 à Dolisie (31 Nuitées)"/>
    <s v="Travel Subsistence"/>
    <s v="Investigations"/>
    <n v="310000"/>
    <n v="581.06514864958581"/>
    <n v="533.50300000000004"/>
    <s v="T73"/>
    <s v="T73-S-D2"/>
    <s v="PALF"/>
    <x v="3"/>
    <s v="Congo"/>
    <m/>
    <m/>
    <m/>
  </r>
  <r>
    <x v="213"/>
    <s v="Taxi : domicile - agence bony"/>
    <s v="Transport"/>
    <s v="Investigations"/>
    <n v="1000"/>
    <n v="1.8744037053212446"/>
    <n v="533.50300000000004"/>
    <s v="T73"/>
    <s v="T73-S-D1"/>
    <s v="PALF"/>
    <x v="3"/>
    <s v="Congo"/>
    <m/>
    <m/>
    <m/>
  </r>
  <r>
    <x v="213"/>
    <s v="Taxi : agence bony - hotel le pharaon"/>
    <s v="Transport"/>
    <s v="Investigations"/>
    <n v="1000"/>
    <n v="1.8744037053212446"/>
    <n v="533.50300000000004"/>
    <s v="T73"/>
    <s v="T73-S-D1"/>
    <s v="PALF"/>
    <x v="3"/>
    <s v="Congo"/>
    <m/>
    <m/>
    <m/>
  </r>
  <r>
    <x v="213"/>
    <s v="IT87-CONGO Ration du 04 au 10/09/2025 à Mouyondzi, Yamba et Bouansa"/>
    <s v="Travel Subsistence"/>
    <s v="Investigations"/>
    <n v="60000"/>
    <n v="112.46422231927467"/>
    <n v="533.50300000000004"/>
    <s v="IT87"/>
    <s v="IT87-S-D3"/>
    <s v="PALF"/>
    <x v="3"/>
    <s v="Congo"/>
    <m/>
    <m/>
    <m/>
  </r>
  <r>
    <x v="213"/>
    <s v="Taxi : Domicile - Agence Trans Bony/ Départ de Brazzaville pour Mouyondzi"/>
    <s v="Transport"/>
    <s v="Investigations"/>
    <n v="2500"/>
    <n v="4.6860092633031112"/>
    <n v="533.50300000000004"/>
    <s v="IT87"/>
    <s v="IT87-S-D1"/>
    <s v="PALF"/>
    <x v="3"/>
    <s v="Congo"/>
    <m/>
    <m/>
    <m/>
  </r>
  <r>
    <x v="213"/>
    <s v="Taxi tricycle : Agence trans bony - Hôtel DZA MATSAKA/ Arrivé à Mouyondzi"/>
    <s v="Transport"/>
    <s v="Investigations"/>
    <n v="600"/>
    <n v="1.1246422231927466"/>
    <n v="533.50300000000004"/>
    <s v="IT87"/>
    <s v="IT87-S-D1"/>
    <s v="PALF"/>
    <x v="3"/>
    <s v="Congo"/>
    <m/>
    <m/>
    <m/>
  </r>
  <r>
    <x v="213"/>
    <s v="Taxi moto Agence Océan du Nord-Hôtel Mithé"/>
    <s v="Transport "/>
    <s v="Legal"/>
    <n v="500"/>
    <n v="0.93720185266062228"/>
    <n v="533.50300000000004"/>
    <s v="Donald-Roméo"/>
    <s v="DR-S-D1"/>
    <s v="PALF"/>
    <x v="3"/>
    <s v="Congo"/>
    <m/>
    <m/>
    <m/>
  </r>
  <r>
    <x v="215"/>
    <s v="Taxi moto Hôtel Mithé-Charden farell/ Retrait de fonds"/>
    <s v="Transport "/>
    <s v="Legal"/>
    <n v="500"/>
    <n v="0.93720185266062228"/>
    <n v="533.50300000000004"/>
    <s v="Donald-Roméo"/>
    <s v="DR-S-D1"/>
    <s v="PALF"/>
    <x v="3"/>
    <s v="Congo"/>
    <m/>
    <m/>
    <m/>
  </r>
  <r>
    <x v="213"/>
    <s v="Taxi, Bureau PALF-Les Dépêches de Brazzaville"/>
    <s v="Transport"/>
    <s v="Media"/>
    <n v="1000"/>
    <n v="1.8744037053212446"/>
    <n v="533.50300000000004"/>
    <s v="Evariste"/>
    <s v="EV-S-D1"/>
    <s v="PALF"/>
    <x v="3"/>
    <s v="Congo"/>
    <m/>
    <m/>
    <m/>
  </r>
  <r>
    <x v="213"/>
    <s v="Taxi, Les dépêches de Brazzaville-Agence Congolaise d'information"/>
    <s v="Transport"/>
    <s v="Media"/>
    <n v="1000"/>
    <n v="1.8744037053212446"/>
    <n v="533.50300000000004"/>
    <s v="Evariste"/>
    <s v="EV-S-D1"/>
    <s v="PALF"/>
    <x v="3"/>
    <s v="Congo"/>
    <m/>
    <m/>
    <m/>
  </r>
  <r>
    <x v="213"/>
    <s v="Taxi, Agence Congolaise d'Information-Radio Citoyenne des Jeunes"/>
    <s v="Transport"/>
    <s v="Media"/>
    <n v="1000"/>
    <n v="1.8744037053212446"/>
    <n v="533.50300000000004"/>
    <s v="Evariste"/>
    <s v="EV-S-D1"/>
    <s v="PALF"/>
    <x v="3"/>
    <s v="Congo"/>
    <m/>
    <m/>
    <m/>
  </r>
  <r>
    <x v="213"/>
    <s v="Taxi, Radio Citoyenne des jeunes-groupecongomedias.com"/>
    <s v="Transport"/>
    <s v="Media"/>
    <n v="1000"/>
    <n v="1.8744037053212446"/>
    <n v="533.50300000000004"/>
    <s v="Evariste"/>
    <s v="EV-S-D1"/>
    <s v="PALF"/>
    <x v="3"/>
    <s v="Congo"/>
    <m/>
    <m/>
    <m/>
  </r>
  <r>
    <x v="213"/>
    <s v="Taxi, groupecongomedias.com-panoramik-atu.com"/>
    <s v="Transport"/>
    <s v="Media"/>
    <n v="1000"/>
    <n v="1.8744037053212446"/>
    <n v="533.50300000000004"/>
    <s v="Evariste"/>
    <s v="EV-S-D1"/>
    <s v="PALF"/>
    <x v="3"/>
    <s v="Congo"/>
    <m/>
    <m/>
    <m/>
  </r>
  <r>
    <x v="213"/>
    <s v="Taxi, panoramik-actu.com-tribune-eco.com"/>
    <s v="Transport"/>
    <s v="Media"/>
    <n v="1000"/>
    <n v="1.8744037053212446"/>
    <n v="533.50300000000004"/>
    <s v="Evariste"/>
    <s v="EV-S-D1"/>
    <s v="PALF"/>
    <x v="3"/>
    <s v="Congo"/>
    <m/>
    <m/>
    <m/>
  </r>
  <r>
    <x v="213"/>
    <s v="Taxi, tribune-eco.com-Bureau PALF"/>
    <s v="Transport"/>
    <s v="Media"/>
    <n v="1000"/>
    <n v="1.8744037053212446"/>
    <n v="533.50300000000004"/>
    <s v="Evariste"/>
    <s v="EV-S-D1"/>
    <s v="PALF"/>
    <x v="3"/>
    <s v="Congo"/>
    <m/>
    <m/>
    <m/>
  </r>
  <r>
    <x v="213"/>
    <s v="Bonus media portant sur l'interpelation d'une trafiquante de produit de faune le 25 août 2025 à Impfondo  pièces presse Internet (https://www.panoramik-actu.com)"/>
    <s v="Bonus to media officer"/>
    <s v="Media"/>
    <n v="6000"/>
    <n v="11.246422231927466"/>
    <n v="533.50300000000004"/>
    <s v="Evariste"/>
    <s v="CA-S-D1"/>
    <s v="PALF"/>
    <x v="3"/>
    <s v="Congo"/>
    <m/>
    <m/>
    <m/>
  </r>
  <r>
    <x v="213"/>
    <s v="Bonus media portant sur l'interpelation d'une trafiquante de produit de faune le 25 août 2025 à Impfondo pièces presse Internet (https://www.tribune-eco.cg)"/>
    <s v="Bonus to media officer"/>
    <s v="Media"/>
    <n v="6000"/>
    <n v="11.246422231927466"/>
    <n v="533.50300000000004"/>
    <s v="Evariste"/>
    <s v="CA-S-D1"/>
    <s v="PALF"/>
    <x v="3"/>
    <s v="Congo"/>
    <m/>
    <m/>
    <m/>
  </r>
  <r>
    <x v="213"/>
    <s v="Bonus media portant sur l'interpelation d'une trafiquante de produit de faune le 25 août 2025 à Impfondo pièces presse Internet (https://www.groupecongomedias.com)"/>
    <s v="Bonus to media officer"/>
    <s v="Media"/>
    <n v="6000"/>
    <n v="11.246422231927466"/>
    <n v="533.50300000000004"/>
    <s v="Evariste"/>
    <s v="CA-S-D1"/>
    <s v="PALF"/>
    <x v="3"/>
    <s v="Congo"/>
    <m/>
    <m/>
    <m/>
  </r>
  <r>
    <x v="213"/>
    <s v="Bonus media portant sur l'interpelation d'une trafiquante de produit de faune le 25 août 2025 à Impfondo pièces presse Internet (https://www.labreveonline.com)"/>
    <s v="Bonus to media officer"/>
    <s v="Media"/>
    <n v="6000"/>
    <n v="11.246422231927466"/>
    <n v="533.50300000000004"/>
    <s v="Evariste"/>
    <s v="CA-S-D1"/>
    <s v="PALF"/>
    <x v="3"/>
    <s v="Congo"/>
    <m/>
    <m/>
    <m/>
  </r>
  <r>
    <x v="213"/>
    <s v="Bonus media portant sur l'interpelation d'une trafiquante de produit de faune le 25 août 2025 à Impfondo pièces presse Internet (https://www.adiac-congo.com)"/>
    <s v="Bonus to media officer"/>
    <s v="Media"/>
    <n v="6000"/>
    <n v="11.246422231927466"/>
    <n v="533.50300000000004"/>
    <s v="Evariste"/>
    <s v="CA-S-D1"/>
    <s v="PALF"/>
    <x v="3"/>
    <s v="Congo"/>
    <m/>
    <m/>
    <m/>
  </r>
  <r>
    <x v="213"/>
    <s v="Bonus media portant sur l'interpelation d'une trafiquante de produit de faune le 25 août 2025 à Impfondo pièces presse Internet (https://www.lasemaineafricaine.info)"/>
    <s v="Bonus to media officer"/>
    <s v="Media"/>
    <n v="6000"/>
    <n v="11.246422231927466"/>
    <n v="533.50300000000004"/>
    <s v="Evariste"/>
    <s v="CA-S-D1"/>
    <s v="PALF"/>
    <x v="3"/>
    <s v="Congo"/>
    <m/>
    <m/>
    <m/>
  </r>
  <r>
    <x v="213"/>
    <s v="Bonus media portant sur l'interpelation d'une trafiquante de produit de faune le 25 août 2025 à Impfondo pièces presse Internet (https://www.matinlibre.cg)"/>
    <s v="Bonus to media officer"/>
    <s v="Media"/>
    <n v="6000"/>
    <n v="11.246422231927466"/>
    <n v="533.50300000000004"/>
    <s v="Evariste"/>
    <s v="CA-S-D1"/>
    <s v="PALF"/>
    <x v="3"/>
    <s v="Congo"/>
    <m/>
    <m/>
    <m/>
  </r>
  <r>
    <x v="213"/>
    <s v="Bonus media portant sur l'interpelation d'une trafiquante de produit de faune le 25 août 2025 à Impfondo pièces presse Internet (https://www.firstmediac.com)"/>
    <s v="Bonus to media officer"/>
    <s v="Media"/>
    <n v="6000"/>
    <n v="11.246422231927466"/>
    <n v="533.50300000000004"/>
    <s v="Evariste"/>
    <s v="CA-S-D1"/>
    <s v="PALF"/>
    <x v="3"/>
    <s v="Congo"/>
    <m/>
    <m/>
    <m/>
  </r>
  <r>
    <x v="213"/>
    <s v="Bonus media portant sur l'interpelation d'une trafiquante de produit de faune le 25 août 2025 à Impfondo pièces presse Internet (https://www.journaldebrazza.com)"/>
    <s v="Bonus to media officer"/>
    <s v="Media"/>
    <n v="6000"/>
    <n v="11.246422231927466"/>
    <n v="533.50300000000004"/>
    <s v="Evariste"/>
    <s v="CA-S-D1"/>
    <s v="PALF"/>
    <x v="3"/>
    <s v="Congo"/>
    <m/>
    <m/>
    <m/>
  </r>
  <r>
    <x v="213"/>
    <s v="Bonus media portant sur l'interpelation d'une trafiquante de produit de faune le 25 août 2025 à Impfondo pièces presse Internet (https://vmmedias.info)"/>
    <s v="Bonus to media officer"/>
    <s v="Media"/>
    <n v="6000"/>
    <n v="11.246422231927466"/>
    <n v="533.50300000000004"/>
    <s v="Evariste"/>
    <s v="CA-S-D1"/>
    <s v="PALF"/>
    <x v="3"/>
    <s v="Congo"/>
    <m/>
    <m/>
    <m/>
  </r>
  <r>
    <x v="213"/>
    <s v="Bonus media portant sur l'interpelation d'une trafiquante de produit de faune le 25 août 2025 à Impfondo pièces presse Internet (https://aci.cg)"/>
    <s v="Bonus to media officer"/>
    <s v="Media"/>
    <n v="6000"/>
    <n v="11.246422231927466"/>
    <n v="533.50300000000004"/>
    <s v="Evariste"/>
    <s v="CA-S-D1"/>
    <s v="PALF"/>
    <x v="3"/>
    <s v="Congo"/>
    <m/>
    <m/>
    <m/>
  </r>
  <r>
    <x v="213"/>
    <s v="Bonus media portant sur l'interpelation d'une trafiquante de produit de faune le 25 août 2025 à Impfondo pièces presse Internet (https://lesechos-congobrazza.com/)"/>
    <s v="Bonus to media officer"/>
    <s v="Media"/>
    <n v="6000"/>
    <n v="11.246422231927466"/>
    <n v="533.50300000000004"/>
    <s v="Evariste"/>
    <s v="CA-S-D1"/>
    <s v="PALF"/>
    <x v="3"/>
    <s v="Congo"/>
    <m/>
    <m/>
    <m/>
  </r>
  <r>
    <x v="213"/>
    <s v="Bonus media portant sur l'interpelation d'une trafiquante de produit de faune le 25 août 2025 à Impfondo pièces presse Internet (https://opinionpublique.cg)"/>
    <s v="Bonus to media officer"/>
    <s v="Media"/>
    <n v="6000"/>
    <n v="11.246422231927466"/>
    <n v="533.50300000000004"/>
    <s v="Evariste"/>
    <s v="CA-S-D1"/>
    <s v="PALF"/>
    <x v="3"/>
    <s v="Congo"/>
    <m/>
    <m/>
    <m/>
  </r>
  <r>
    <x v="213"/>
    <s v="Bonus media portant sur l'interpelation d'une trafiquante de produit de faune le 25 août 2025 à Impfondo pièces presse Internet (https://www.lhorizonafricain.com)"/>
    <s v="Bonus to media officer"/>
    <s v="Media"/>
    <n v="6000"/>
    <n v="11.246422231927466"/>
    <n v="533.50300000000004"/>
    <s v="Evariste"/>
    <s v="CA-S-D1"/>
    <s v="PALF"/>
    <x v="3"/>
    <s v="Congo"/>
    <m/>
    <m/>
    <m/>
  </r>
  <r>
    <x v="213"/>
    <s v="Bonus media portant sur l'interpelation d'une trafiquante de produit de faune le 25 août 2025 à Impfondo pièces presse Papier (Dépêches de Brazzaville)"/>
    <s v="Bonus to media officer"/>
    <s v="Media"/>
    <n v="10000"/>
    <n v="18.744037053212445"/>
    <n v="533.50300000000004"/>
    <s v="Evariste"/>
    <s v="CA-S-D2"/>
    <s v="PALF"/>
    <x v="3"/>
    <s v="Congo"/>
    <m/>
    <m/>
    <m/>
  </r>
  <r>
    <x v="213"/>
    <s v="Bonus media portant sur l'interpelation d'une trafiquante de produit de faune le 25 août 2025 à Impfondo pièces presse Papier (la semaine Africaine)"/>
    <s v="Bonus to media officer"/>
    <s v="Media"/>
    <n v="10000"/>
    <n v="18.744037053212445"/>
    <n v="533.50300000000004"/>
    <s v="Evariste"/>
    <s v="CA-S-D2"/>
    <s v="PALF"/>
    <x v="3"/>
    <s v="Congo"/>
    <m/>
    <m/>
    <m/>
  </r>
  <r>
    <x v="213"/>
    <s v="Bonus media portant sur l'interpelation d'une trafiquante de produit de faune le 25 août 2025 à Impfondo pièces presse Papier( l'horizon Africain)"/>
    <s v="Bonus to media officer"/>
    <s v="Media"/>
    <n v="10000"/>
    <n v="18.744037053212445"/>
    <n v="533.50300000000004"/>
    <s v="Evariste"/>
    <s v="CA-S-D2"/>
    <s v="PALF"/>
    <x v="3"/>
    <s v="Congo"/>
    <m/>
    <m/>
    <m/>
  </r>
  <r>
    <x v="213"/>
    <s v="Bonus media portant sur l'interpelation d'une trafiquante de produit de faune le 25 août 2025 à Impfondo pièces presse Papier (l'Agence congolaise de l'information)"/>
    <s v="Bonus to media officer"/>
    <s v="Media"/>
    <n v="10000"/>
    <n v="18.744037053212445"/>
    <n v="533.50300000000004"/>
    <s v="Evariste"/>
    <s v="CA-S-D2"/>
    <s v="PALF"/>
    <x v="3"/>
    <s v="Congo"/>
    <m/>
    <m/>
    <m/>
  </r>
  <r>
    <x v="213"/>
    <s v="Bonus media portant sur l'interpelation d'une trafiquante de produit de faune le 25 août 2025 à Impfondo pièces presse Radio (radio citoyenne des jeunes)"/>
    <s v="Bonus to media officer"/>
    <s v="Media"/>
    <n v="6000"/>
    <n v="11.246422231927466"/>
    <n v="533.50300000000004"/>
    <s v="Evariste"/>
    <s v="CA-S-D3"/>
    <s v="PALF"/>
    <x v="3"/>
    <s v="Congo"/>
    <m/>
    <m/>
    <m/>
  </r>
  <r>
    <x v="213"/>
    <s v="Bonus media portant sur l'interpelation d'une trafiquante de produit de faune le 25 août 2025 à Impfondo pièces presse Radio (radioLiberté français)"/>
    <s v="Bonus to media officer"/>
    <s v="Media"/>
    <n v="6000"/>
    <n v="11.246422231927466"/>
    <n v="533.50300000000004"/>
    <s v="Evariste"/>
    <s v="CA-S-D3"/>
    <s v="PALF"/>
    <x v="3"/>
    <s v="Congo"/>
    <m/>
    <m/>
    <m/>
  </r>
  <r>
    <x v="213"/>
    <s v="Bonus media portant sur l'interpelation d'une trafiquante de produit de faune le 25 août 2025 à Impfondo pièces presse Radio (radioLiberté kituba)"/>
    <s v="Bonus to media officer"/>
    <s v="Media"/>
    <n v="6000"/>
    <n v="11.246422231927466"/>
    <n v="533.50300000000004"/>
    <s v="Evariste"/>
    <s v="CA-S-D3"/>
    <s v="PALF"/>
    <x v="3"/>
    <s v="Congo"/>
    <m/>
    <m/>
    <m/>
  </r>
  <r>
    <x v="213"/>
    <s v="Bonus media portant sur l'interpelation d'une trafiquante de produit de faune le 25 août 2025 à Impfondo pièces presse Radio (radioLiberté lingala)"/>
    <s v="Bonus to media officer"/>
    <s v="Media"/>
    <n v="6000"/>
    <n v="11.246422231927466"/>
    <n v="533.50300000000004"/>
    <s v="Evariste"/>
    <s v="CA-S-D3"/>
    <s v="PALF"/>
    <x v="3"/>
    <s v="Congo"/>
    <m/>
    <m/>
    <m/>
  </r>
  <r>
    <x v="215"/>
    <s v="Maison-Bureau"/>
    <s v="Transport"/>
    <s v="Management"/>
    <n v="1000"/>
    <n v="1.8744037053212446"/>
    <n v="533.50300000000004"/>
    <s v="DOVI"/>
    <s v="DH-S-D1"/>
    <s v="PALF"/>
    <x v="3"/>
    <s v="Congo"/>
    <m/>
    <m/>
    <m/>
  </r>
  <r>
    <x v="215"/>
    <s v="Bureau-Maison"/>
    <s v="Transport"/>
    <s v="Management"/>
    <n v="1000"/>
    <n v="1.8744037053212446"/>
    <n v="533.50300000000004"/>
    <s v="DOVI"/>
    <s v="DH-S-D1"/>
    <s v="PALF"/>
    <x v="3"/>
    <s v="Congo"/>
    <m/>
    <m/>
    <m/>
  </r>
  <r>
    <x v="215"/>
    <s v="Taxi hotel-capable,prospection"/>
    <s v="Transport"/>
    <s v="Investigations"/>
    <n v="1000"/>
    <n v="1.8744037053212446"/>
    <n v="533.50300000000004"/>
    <s v="P29"/>
    <s v="P29-S-D1"/>
    <s v="PALF"/>
    <x v="3"/>
    <s v="Congo"/>
    <m/>
    <m/>
    <m/>
  </r>
  <r>
    <x v="215"/>
    <s v="Taxi capable-centre,prospection"/>
    <s v="Transport"/>
    <s v="Investigations"/>
    <n v="1000"/>
    <n v="1.8744037053212446"/>
    <n v="533.50300000000004"/>
    <s v="P29"/>
    <s v="P29-S-D1"/>
    <s v="PALF"/>
    <x v="3"/>
    <s v="Congo"/>
    <m/>
    <m/>
    <m/>
  </r>
  <r>
    <x v="215"/>
    <s v="Taxi centre-tahiti,prospection"/>
    <s v="Transport"/>
    <s v="Investigations"/>
    <n v="1000"/>
    <n v="1.8744037053212446"/>
    <n v="533.50300000000004"/>
    <s v="P29"/>
    <s v="P29-S-D1"/>
    <s v="PALF"/>
    <x v="3"/>
    <s v="Congo"/>
    <m/>
    <m/>
    <m/>
  </r>
  <r>
    <x v="215"/>
    <s v="Taxi tahiti-marché,prospection"/>
    <s v="Transport"/>
    <s v="Investigations"/>
    <n v="1000"/>
    <n v="1.8744037053212446"/>
    <n v="533.50300000000004"/>
    <s v="P29"/>
    <s v="P29-S-D1"/>
    <s v="PALF"/>
    <x v="3"/>
    <s v="Congo"/>
    <m/>
    <m/>
    <m/>
  </r>
  <r>
    <x v="215"/>
    <s v="Taxi marché-hotel"/>
    <s v="Transport"/>
    <s v="Investigations"/>
    <n v="1000"/>
    <n v="1.8744037053212446"/>
    <n v="533.50300000000004"/>
    <s v="P29"/>
    <s v="P29-S-D1"/>
    <s v="PALF"/>
    <x v="3"/>
    <s v="Congo"/>
    <m/>
    <m/>
    <m/>
  </r>
  <r>
    <x v="215"/>
    <s v="Achat boison avec un cible"/>
    <s v="Trust Building"/>
    <s v="Investigations"/>
    <n v="1000"/>
    <n v="1.8744037053212446"/>
    <n v="533.50300000000004"/>
    <s v="P29"/>
    <s v="P29-S-D3"/>
    <s v="PALF"/>
    <x v="3"/>
    <s v="Congo"/>
    <m/>
    <m/>
    <m/>
  </r>
  <r>
    <x v="215"/>
    <s v="Taxi : hotel le pharaon - marché (prospection à dolisie)"/>
    <s v="Transport"/>
    <s v="Investigations"/>
    <n v="1000"/>
    <n v="1.8744037053212446"/>
    <n v="533.50300000000004"/>
    <s v="T73"/>
    <s v="T73-S-D1"/>
    <s v="PALF"/>
    <x v="3"/>
    <s v="Congo"/>
    <m/>
    <m/>
    <m/>
  </r>
  <r>
    <x v="215"/>
    <s v="Taxi : marché - centre ville (prospection à dolisie)"/>
    <s v="Transport"/>
    <s v="Investigations"/>
    <n v="1000"/>
    <n v="1.8744037053212446"/>
    <n v="533.50300000000004"/>
    <s v="T73"/>
    <s v="T73-S-D1"/>
    <s v="PALF"/>
    <x v="3"/>
    <s v="Congo"/>
    <m/>
    <m/>
    <m/>
  </r>
  <r>
    <x v="215"/>
    <s v="Taxi : centre ville - mony fleury (prospection à dolisie)"/>
    <s v="Transport"/>
    <s v="Investigations"/>
    <n v="1000"/>
    <n v="1.8744037053212446"/>
    <n v="533.50300000000004"/>
    <s v="T73"/>
    <s v="T73-S-D1"/>
    <s v="PALF"/>
    <x v="3"/>
    <s v="Congo"/>
    <m/>
    <m/>
    <m/>
  </r>
  <r>
    <x v="215"/>
    <s v="Taxi : mony fleury - charden farel (prospection à dolisie)"/>
    <s v="Transport"/>
    <s v="Investigations"/>
    <n v="1000"/>
    <n v="1.8744037053212446"/>
    <n v="533.50300000000004"/>
    <s v="T73"/>
    <s v="T73-S-D1"/>
    <s v="PALF"/>
    <x v="3"/>
    <s v="Congo"/>
    <m/>
    <m/>
    <m/>
  </r>
  <r>
    <x v="215"/>
    <s v="Taxi : charden farel - hotel (prospection à dolisie)"/>
    <s v="Transport"/>
    <s v="Investigations"/>
    <n v="1000"/>
    <n v="1.8744037053212446"/>
    <n v="533.50300000000004"/>
    <s v="T73"/>
    <s v="T73-S-D1"/>
    <s v="PALF"/>
    <x v="3"/>
    <s v="Congo"/>
    <m/>
    <m/>
    <m/>
  </r>
  <r>
    <x v="215"/>
    <s v="achat boisson/une cible"/>
    <s v="Trust Building"/>
    <s v="Investigations"/>
    <n v="2000"/>
    <n v="3.7488074106424891"/>
    <n v="533.50300000000004"/>
    <s v="T73"/>
    <s v="T73-S-D3"/>
    <s v="PALF"/>
    <x v="3"/>
    <s v="Congo"/>
    <m/>
    <m/>
    <m/>
  </r>
  <r>
    <x v="215"/>
    <s v="Taxi tricycle : Hôtel - Nkila/ Prospection"/>
    <s v="Transport"/>
    <s v="Investigations"/>
    <n v="700"/>
    <n v="1.3120825937248712"/>
    <n v="533.50300000000004"/>
    <s v="IT87"/>
    <s v="IT87-S-D1"/>
    <s v="PALF"/>
    <x v="3"/>
    <s v="Congo"/>
    <m/>
    <m/>
    <m/>
  </r>
  <r>
    <x v="215"/>
    <s v="Taxi tricycle : Nkila - Place publique/ Prospection"/>
    <s v="Transport"/>
    <s v="Investigations"/>
    <n v="600"/>
    <n v="1.1246422231927466"/>
    <n v="533.50300000000004"/>
    <s v="IT87"/>
    <s v="IT87-S-D1"/>
    <s v="PALF"/>
    <x v="3"/>
    <s v="Congo"/>
    <m/>
    <m/>
    <m/>
  </r>
  <r>
    <x v="215"/>
    <s v="Achat boisson avec une cible"/>
    <s v="Trust Building"/>
    <s v="Investigations"/>
    <n v="2000"/>
    <n v="3.7488074106424891"/>
    <n v="533.50300000000004"/>
    <s v="IT87"/>
    <s v="IT87-S-D2"/>
    <s v="PALF"/>
    <x v="3"/>
    <s v="Congo"/>
    <m/>
    <m/>
    <m/>
  </r>
  <r>
    <x v="215"/>
    <s v="Taxi tricycle : Place publique - Charden Farell/ Retrait d'argent"/>
    <s v="Transport"/>
    <s v="Investigations"/>
    <n v="600"/>
    <n v="1.1246422231927466"/>
    <n v="533.50300000000004"/>
    <s v="IT87"/>
    <s v="IT87-S-D1"/>
    <s v="PALF"/>
    <x v="3"/>
    <s v="Congo"/>
    <m/>
    <m/>
    <m/>
  </r>
  <r>
    <x v="215"/>
    <s v="Taxi tricycle : Charden Farel - Rond point/ Prospection"/>
    <s v="Transport"/>
    <s v="Investigations"/>
    <n v="700"/>
    <n v="1.3120825937248712"/>
    <n v="533.50300000000004"/>
    <s v="IT87"/>
    <s v="IT87-S-D1"/>
    <s v="PALF"/>
    <x v="3"/>
    <s v="Congo"/>
    <m/>
    <m/>
    <m/>
  </r>
  <r>
    <x v="215"/>
    <s v="Taxi tricycle : Rond point - Av. Midzingou/ Prospection"/>
    <s v="Transport"/>
    <s v="Investigations"/>
    <n v="700"/>
    <n v="1.3120825937248712"/>
    <n v="533.50300000000004"/>
    <s v="IT87"/>
    <s v="IT87-S-D1"/>
    <s v="PALF"/>
    <x v="3"/>
    <s v="Congo"/>
    <m/>
    <m/>
    <m/>
  </r>
  <r>
    <x v="215"/>
    <s v="Taxi tricycle : Av. Midzingou - Hôtel/ Retour de Prospection"/>
    <s v="Transport"/>
    <s v="Investigations"/>
    <n v="700"/>
    <n v="1.3120825937248712"/>
    <n v="533.50300000000004"/>
    <s v="IT87"/>
    <s v="IT87-S-D1"/>
    <s v="PALF"/>
    <x v="3"/>
    <s v="Congo"/>
    <m/>
    <m/>
    <m/>
  </r>
  <r>
    <x v="215"/>
    <s v="Taxi: Bureau-Charden Farell/Transfert de fonds"/>
    <s v="Transport"/>
    <s v="Legal"/>
    <n v="500"/>
    <n v="0.93720185266062228"/>
    <n v="533.50300000000004"/>
    <s v="Abraham"/>
    <s v="AB-S-D1"/>
    <s v="PALF"/>
    <x v="3"/>
    <s v="Congo"/>
    <m/>
    <m/>
    <m/>
  </r>
  <r>
    <x v="215"/>
    <s v="Taxi: Charden Farel-Bureau"/>
    <s v="Transport"/>
    <s v="Legal"/>
    <n v="500"/>
    <n v="0.93720185266062228"/>
    <n v="533.50300000000004"/>
    <s v="Abraham"/>
    <s v="AB-S-D1"/>
    <s v="PALF"/>
    <x v="3"/>
    <s v="Congo"/>
    <m/>
    <m/>
    <m/>
  </r>
  <r>
    <x v="215"/>
    <s v="Taxi: Bureau-DGEF Dépôt des contrats"/>
    <s v="Transport"/>
    <s v="Legal"/>
    <n v="1000"/>
    <n v="1.8744037053212446"/>
    <n v="533.50300000000004"/>
    <s v="Abraham"/>
    <s v="AB-S-D1"/>
    <s v="PALF"/>
    <x v="3"/>
    <s v="Congo"/>
    <m/>
    <m/>
    <m/>
  </r>
  <r>
    <x v="215"/>
    <s v="Taxi: DGEF-Bureau"/>
    <s v="Transport"/>
    <s v="Legal"/>
    <n v="1000"/>
    <n v="1.8744037053212446"/>
    <n v="533.50300000000004"/>
    <s v="Abraham"/>
    <s v="AB-S-D1"/>
    <s v="PALF"/>
    <x v="3"/>
    <s v="Congo"/>
    <m/>
    <m/>
    <m/>
  </r>
  <r>
    <x v="215"/>
    <s v="Frais de tansfert d'argent à P29, Crepin,T73, IT87 et Donald-Roméo"/>
    <s v="Transfert fees"/>
    <s v="Office"/>
    <n v="14790"/>
    <n v="27.722430801701208"/>
    <n v="533.50300000000004"/>
    <s v="Abraham"/>
    <s v="CA-S-R7"/>
    <s v="PALF"/>
    <x v="3"/>
    <s v="Congo"/>
    <m/>
    <m/>
    <m/>
  </r>
  <r>
    <x v="215"/>
    <s v="Taxi: Bureau-Charden Farell/Transfert de fonds"/>
    <s v="Transport"/>
    <s v="Legal"/>
    <n v="500"/>
    <n v="0.93720185266062228"/>
    <n v="533.50300000000004"/>
    <s v="Abraham"/>
    <s v="AB-S-D1"/>
    <s v="PALF"/>
    <x v="3"/>
    <s v="Congo"/>
    <m/>
    <m/>
    <m/>
  </r>
  <r>
    <x v="215"/>
    <s v="Taxi: Charden Farel-Bureau"/>
    <s v="Transport"/>
    <s v="Legal"/>
    <n v="500"/>
    <n v="0.93720185266062228"/>
    <n v="533.50300000000004"/>
    <s v="Abraham"/>
    <s v="AB-S-D1"/>
    <s v="PALF"/>
    <x v="3"/>
    <s v="Congo"/>
    <m/>
    <m/>
    <m/>
  </r>
  <r>
    <x v="215"/>
    <s v="RODERLIN-CONGO Frais d'hôtel du 30/08/ au 05/09/2025 à Impfondo (06 nuitée)"/>
    <s v="Travel Subsistence"/>
    <s v="Legal"/>
    <n v="90000"/>
    <n v="168.69633347891201"/>
    <n v="533.50300000000004"/>
    <s v="Roderlin"/>
    <s v="RO-S-R3"/>
    <s v="PALF"/>
    <x v="3"/>
    <s v="Congo"/>
    <m/>
    <m/>
    <m/>
  </r>
  <r>
    <x v="215"/>
    <s v="Tax-moto:Hôtel Mithe-Agence Océan du nord "/>
    <s v="Transport"/>
    <s v="Legal"/>
    <n v="500"/>
    <n v="0.93720185266062228"/>
    <n v="533.50300000000004"/>
    <s v="Roderlin"/>
    <s v="RO-S-D1"/>
    <s v="PALF"/>
    <x v="3"/>
    <s v="Congo"/>
    <m/>
    <m/>
    <m/>
  </r>
  <r>
    <x v="215"/>
    <s v="Taxi-moto:Agence Océan du nord de Enyele-Hôtel Paulina "/>
    <s v="Transport"/>
    <s v="Legal"/>
    <n v="500"/>
    <n v="0.93720185266062228"/>
    <n v="533.50300000000004"/>
    <s v="Roderlin"/>
    <s v="RO-S-D1"/>
    <s v="PALF"/>
    <x v="3"/>
    <s v="Congo"/>
    <m/>
    <m/>
    <m/>
  </r>
  <r>
    <x v="215"/>
    <s v="Taxi moto Charden farell-Hôtel Mithé"/>
    <s v="Transport "/>
    <s v="Legal"/>
    <n v="500"/>
    <n v="0.93720185266062228"/>
    <n v="533.50300000000004"/>
    <s v="Donald-Roméo"/>
    <s v="DR-S-D1"/>
    <s v="PALF"/>
    <x v="3"/>
    <s v="Congo"/>
    <m/>
    <m/>
    <m/>
  </r>
  <r>
    <x v="216"/>
    <s v="Taxi moto Hôtel Mithé-Region de gendarmerie/ Rencontrer le CEMREG"/>
    <s v="Transport "/>
    <s v="Legal"/>
    <n v="500"/>
    <n v="0.93720185266062228"/>
    <n v="533.50300000000004"/>
    <s v="Donald-Roméo"/>
    <s v="DR-S-D1"/>
    <s v="PALF"/>
    <x v="3"/>
    <s v="Congo"/>
    <m/>
    <m/>
    <m/>
  </r>
  <r>
    <x v="215"/>
    <s v="Taxi, Bureau PALF-firstmedias.com"/>
    <s v="Transport"/>
    <s v="Media"/>
    <n v="1000"/>
    <n v="1.8744037053212446"/>
    <n v="533.50300000000004"/>
    <s v="Evariste"/>
    <s v="EV-S-D1"/>
    <s v="PALF"/>
    <x v="3"/>
    <s v="Congo"/>
    <m/>
    <m/>
    <m/>
  </r>
  <r>
    <x v="215"/>
    <s v="Taxi, firstmedias.com-Radio Liberté"/>
    <s v="Transport"/>
    <s v="Media"/>
    <n v="1000"/>
    <n v="1.8744037053212446"/>
    <n v="533.50300000000004"/>
    <s v="Evariste"/>
    <s v="EV-S-D1"/>
    <s v="PALF"/>
    <x v="3"/>
    <s v="Congo"/>
    <m/>
    <m/>
    <m/>
  </r>
  <r>
    <x v="215"/>
    <s v="Taxi, Radio Liberté-La Semaine Africaine"/>
    <s v="Transport"/>
    <s v="Media"/>
    <n v="1000"/>
    <n v="1.8744037053212446"/>
    <n v="533.50300000000004"/>
    <s v="Evariste"/>
    <s v="EV-S-D1"/>
    <s v="PALF"/>
    <x v="3"/>
    <s v="Congo"/>
    <m/>
    <m/>
    <m/>
  </r>
  <r>
    <x v="215"/>
    <s v="Taxi, La Semaine Africaine-Bureau PALF"/>
    <s v="Transport"/>
    <s v="Media"/>
    <n v="1000"/>
    <n v="1.8744037053212446"/>
    <n v="533.50300000000004"/>
    <s v="Evariste"/>
    <s v="EV-S-D1"/>
    <s v="PALF"/>
    <x v="3"/>
    <s v="Congo"/>
    <m/>
    <m/>
    <m/>
  </r>
  <r>
    <x v="216"/>
    <s v="Taxi moto: Hôtel-Gendarmerie"/>
    <s v="Transport"/>
    <s v="Legal"/>
    <n v="500"/>
    <n v="0.93720185266062228"/>
    <n v="533.50300000000004"/>
    <s v="Crépin"/>
    <s v="CR-S-D1"/>
    <s v="PALF"/>
    <x v="3"/>
    <s v="Congo"/>
    <m/>
    <m/>
    <m/>
  </r>
  <r>
    <x v="216"/>
    <s v="Taxi moto: Gendarmerie-Hôtel"/>
    <s v="Transport"/>
    <s v="Legal"/>
    <n v="500"/>
    <n v="0.93720185266062228"/>
    <n v="533.50300000000004"/>
    <s v="Crépin"/>
    <s v="CR-S-D1"/>
    <s v="PALF"/>
    <x v="3"/>
    <s v="Congo"/>
    <m/>
    <m/>
    <m/>
  </r>
  <r>
    <x v="216"/>
    <s v="Taxi hotel-capable,prospection"/>
    <s v="Transport"/>
    <s v="Investigations"/>
    <n v="1000"/>
    <n v="1.8744037053212446"/>
    <n v="533.50300000000004"/>
    <s v="P29"/>
    <s v="P29-S-D1"/>
    <s v="PALF"/>
    <x v="3"/>
    <s v="Congo"/>
    <m/>
    <m/>
    <m/>
  </r>
  <r>
    <x v="216"/>
    <s v="Taxi capable-sab,prospection"/>
    <s v="Transport"/>
    <s v="Investigations"/>
    <n v="1000"/>
    <n v="1.8744037053212446"/>
    <n v="533.50300000000004"/>
    <s v="P29"/>
    <s v="P29-S-D1"/>
    <s v="PALF"/>
    <x v="3"/>
    <s v="Congo"/>
    <m/>
    <m/>
    <m/>
  </r>
  <r>
    <x v="216"/>
    <s v="Taxi sab-belolo,prospection"/>
    <s v="Transport"/>
    <s v="Investigations"/>
    <n v="1000"/>
    <n v="1.8744037053212446"/>
    <n v="533.50300000000004"/>
    <s v="P29"/>
    <s v="P29-S-D1"/>
    <s v="PALF"/>
    <x v="3"/>
    <s v="Congo"/>
    <m/>
    <m/>
    <m/>
  </r>
  <r>
    <x v="216"/>
    <s v="Taxi belolo-bacongo,prospection"/>
    <s v="Transport"/>
    <s v="Investigations"/>
    <n v="1000"/>
    <n v="1.8744037053212446"/>
    <n v="533.50300000000004"/>
    <s v="P29"/>
    <s v="P29-S-D1"/>
    <s v="PALF"/>
    <x v="3"/>
    <s v="Congo"/>
    <m/>
    <m/>
    <m/>
  </r>
  <r>
    <x v="216"/>
    <s v="Taxi bacongo-hotel"/>
    <s v="Transport"/>
    <s v="Investigations"/>
    <n v="1000"/>
    <n v="1.8744037053212446"/>
    <n v="533.50300000000004"/>
    <s v="P29"/>
    <s v="P29-S-D1"/>
    <s v="PALF"/>
    <x v="3"/>
    <s v="Congo"/>
    <m/>
    <m/>
    <m/>
  </r>
  <r>
    <x v="216"/>
    <s v="Achat boison avec un cible"/>
    <s v="Trust Building"/>
    <s v="Investigations"/>
    <n v="2000"/>
    <n v="3.7488074106424891"/>
    <n v="533.50300000000004"/>
    <s v="P29"/>
    <s v="P29-S-D3"/>
    <s v="PALF"/>
    <x v="3"/>
    <s v="Congo"/>
    <m/>
    <m/>
    <m/>
  </r>
  <r>
    <x v="216"/>
    <s v="Taxi : hotel - gare routière (départ pour loudima)"/>
    <s v="Transport"/>
    <s v="Investigations"/>
    <n v="1000"/>
    <n v="1.8744037053212446"/>
    <n v="533.50300000000004"/>
    <s v="T73"/>
    <s v="T73-S-D1"/>
    <s v="PALF"/>
    <x v="3"/>
    <s v="Congo"/>
    <m/>
    <m/>
    <m/>
  </r>
  <r>
    <x v="216"/>
    <s v="Achat billet : dolisie - loudima/T73"/>
    <s v="Transport"/>
    <s v="Investigations"/>
    <n v="3000"/>
    <n v="5.6232111159637332"/>
    <n v="533.50300000000004"/>
    <s v="T73"/>
    <s v="T73-S-R4"/>
    <s v="PALF"/>
    <x v="3"/>
    <s v="Congo"/>
    <m/>
    <m/>
    <m/>
  </r>
  <r>
    <x v="216"/>
    <s v="Taxi moto : parking - RN1 ( prospection à loudima)"/>
    <s v="Transport"/>
    <s v="Investigations"/>
    <n v="1000"/>
    <n v="1.8744037053212446"/>
    <n v="533.50300000000004"/>
    <s v="T73"/>
    <s v="T73-S-D1"/>
    <s v="PALF"/>
    <x v="3"/>
    <s v="Congo"/>
    <m/>
    <m/>
    <m/>
  </r>
  <r>
    <x v="216"/>
    <s v="Taxi moto : RN1 - marché ( prospection à loudima)"/>
    <s v="Transport"/>
    <s v="Investigations"/>
    <n v="1000"/>
    <n v="1.8744037053212446"/>
    <n v="533.50300000000004"/>
    <s v="T73"/>
    <s v="T73-S-D1"/>
    <s v="PALF"/>
    <x v="3"/>
    <s v="Congo"/>
    <m/>
    <m/>
    <m/>
  </r>
  <r>
    <x v="216"/>
    <s v="Taxi moto : marché- centre ville ( prospection à loudima)"/>
    <s v="Transport"/>
    <s v="Investigations"/>
    <n v="1000"/>
    <n v="1.8744037053212446"/>
    <n v="533.50300000000004"/>
    <s v="T73"/>
    <s v="T73-S-D1"/>
    <s v="PALF"/>
    <x v="3"/>
    <s v="Congo"/>
    <m/>
    <m/>
    <m/>
  </r>
  <r>
    <x v="216"/>
    <s v="Taxi moto : centre ville- parking ( retour sur dolisie)"/>
    <s v="Transport"/>
    <s v="Investigations"/>
    <n v="1000"/>
    <n v="1.8744037053212446"/>
    <n v="533.50300000000004"/>
    <s v="T73"/>
    <s v="T73-S-D1"/>
    <s v="PALF"/>
    <x v="3"/>
    <s v="Congo"/>
    <m/>
    <m/>
    <m/>
  </r>
  <r>
    <x v="216"/>
    <s v="Achat billet: loudima - dolisie/T73"/>
    <s v="Transport"/>
    <s v="Investigations"/>
    <n v="3000"/>
    <n v="5.6232111159637332"/>
    <n v="533.50300000000004"/>
    <s v="T73"/>
    <s v="T73-S-R5"/>
    <s v="PALF"/>
    <x v="3"/>
    <s v="Congo"/>
    <m/>
    <m/>
    <m/>
  </r>
  <r>
    <x v="216"/>
    <s v="achat boisson/une cible"/>
    <s v="Trust Building"/>
    <s v="Investigations"/>
    <n v="1500"/>
    <n v="2.8116055579818666"/>
    <n v="533.50300000000004"/>
    <s v="T73"/>
    <s v="T73-S-D3"/>
    <s v="PALF"/>
    <x v="3"/>
    <s v="Congo"/>
    <m/>
    <m/>
    <m/>
  </r>
  <r>
    <x v="216"/>
    <s v="Taxi : gare routière - hotel pharaon( retour sur dolisie)"/>
    <s v="Transport"/>
    <s v="Investigations"/>
    <n v="1000"/>
    <n v="1.8744037053212446"/>
    <n v="533.50300000000004"/>
    <s v="T73"/>
    <s v="T73-S-D1"/>
    <s v="PALF"/>
    <x v="3"/>
    <s v="Congo"/>
    <m/>
    <m/>
    <m/>
  </r>
  <r>
    <x v="216"/>
    <s v="Taxi tricycle : Hôtel - Centre/ Prospection"/>
    <s v="Transport"/>
    <s v="Investigations"/>
    <n v="700"/>
    <n v="1.3120825937248712"/>
    <n v="533.50300000000004"/>
    <s v="IT87"/>
    <s v="IT87-S-D1"/>
    <s v="PALF"/>
    <x v="3"/>
    <s v="Congo"/>
    <m/>
    <m/>
    <m/>
  </r>
  <r>
    <x v="216"/>
    <s v="Achat boisson avec une cible"/>
    <s v="Trust Building"/>
    <s v="Investigations"/>
    <n v="1500"/>
    <n v="2.8116055579818666"/>
    <n v="533.50300000000004"/>
    <s v="IT87"/>
    <s v="IT87-S-D2"/>
    <s v="PALF"/>
    <x v="3"/>
    <s v="Congo"/>
    <m/>
    <m/>
    <m/>
  </r>
  <r>
    <x v="216"/>
    <s v="Taxi tricycle : Centre - Marché/ Prospection"/>
    <s v="Transport"/>
    <s v="Investigations"/>
    <n v="700"/>
    <n v="1.3120825937248712"/>
    <n v="533.50300000000004"/>
    <s v="IT87"/>
    <s v="IT87-S-D1"/>
    <s v="PALF"/>
    <x v="3"/>
    <s v="Congo"/>
    <m/>
    <m/>
    <m/>
  </r>
  <r>
    <x v="216"/>
    <s v="Taxi tricycle : Marché - Gare routière/ Prospection"/>
    <s v="Transport"/>
    <s v="Investigations"/>
    <n v="700"/>
    <n v="1.3120825937248712"/>
    <n v="533.50300000000004"/>
    <s v="IT87"/>
    <s v="IT87-S-D1"/>
    <s v="PALF"/>
    <x v="3"/>
    <s v="Congo"/>
    <m/>
    <m/>
    <m/>
  </r>
  <r>
    <x v="216"/>
    <s v="Achat boisson avec une cible"/>
    <s v="Trust Building"/>
    <s v="Investigations"/>
    <n v="2000"/>
    <n v="3.7488074106424891"/>
    <n v="533.50300000000004"/>
    <s v="IT87"/>
    <s v="IT87-S-D2"/>
    <s v="PALF"/>
    <x v="3"/>
    <s v="Congo"/>
    <m/>
    <m/>
    <m/>
  </r>
  <r>
    <x v="216"/>
    <s v="Taxi tricycle : Gare routière - Hôtel/ Retour de prospection"/>
    <s v="Transport"/>
    <s v="Investigations"/>
    <n v="700"/>
    <n v="1.3120825937248712"/>
    <n v="533.50300000000004"/>
    <s v="IT87"/>
    <s v="IT87-S-D1"/>
    <s v="PALF"/>
    <x v="3"/>
    <s v="Congo"/>
    <m/>
    <m/>
    <m/>
  </r>
  <r>
    <x v="216"/>
    <s v="RODERLIN-CONGO Frais d'hôtel du 05 au 06/09/2025 à Enyele (01 nuitée)"/>
    <s v="Travel Subsistence"/>
    <s v="Legal"/>
    <n v="15000"/>
    <n v="28.116055579818667"/>
    <n v="533.50300000000004"/>
    <s v="Roderlin"/>
    <s v="RO-S-R4"/>
    <s v="PALF"/>
    <x v="3"/>
    <s v="Congo"/>
    <m/>
    <m/>
    <m/>
  </r>
  <r>
    <x v="216"/>
    <s v="Taxi:Hôtel Paulina-Agence Océan du nord de Enyele "/>
    <s v="Transport"/>
    <s v="Legal"/>
    <n v="500"/>
    <n v="0.93720185266062228"/>
    <n v="533.50300000000004"/>
    <s v="Roderlin"/>
    <s v="RO-S-D1"/>
    <s v="PALF"/>
    <x v="3"/>
    <s v="Congo"/>
    <m/>
    <m/>
    <m/>
  </r>
  <r>
    <x v="216"/>
    <s v="Taxi-moto:Agence Océan du nord de Gamboma-Hôtel Baobab"/>
    <s v="Transport"/>
    <s v="Legal"/>
    <n v="500"/>
    <n v="0.93720185266062228"/>
    <n v="533.50300000000004"/>
    <s v="Roderlin"/>
    <s v="RO-S-D1"/>
    <s v="PALF"/>
    <x v="3"/>
    <s v="Congo"/>
    <m/>
    <m/>
    <m/>
  </r>
  <r>
    <x v="216"/>
    <s v="Taxi moto Gendarmerie- Hôtel Mithé"/>
    <s v="Transport "/>
    <s v="Legal"/>
    <n v="500"/>
    <n v="0.93720185266062228"/>
    <n v="533.50300000000004"/>
    <s v="Donald-Roméo"/>
    <s v="DR-S-D1"/>
    <s v="PALF"/>
    <x v="3"/>
    <s v="Congo"/>
    <m/>
    <m/>
    <m/>
  </r>
  <r>
    <x v="216"/>
    <s v="Taxi moto Hôtel Mithé- Agence Océan du Nord/ Pour le repport des billets"/>
    <s v="Transport "/>
    <s v="Legal"/>
    <n v="500"/>
    <n v="0.93720185266062228"/>
    <n v="533.50300000000004"/>
    <s v="Donald-Roméo"/>
    <s v="DR-S-D1"/>
    <s v="PALF"/>
    <x v="3"/>
    <s v="Congo"/>
    <m/>
    <m/>
    <m/>
  </r>
  <r>
    <x v="216"/>
    <s v="Taxi moto Agence Océan du Nord-Hôtel Mithé"/>
    <s v="Transport "/>
    <s v="Legal"/>
    <n v="500"/>
    <n v="0.93720185266062228"/>
    <n v="533.50300000000004"/>
    <s v="Donald-Roméo"/>
    <s v="DR-S-D1"/>
    <s v="PALF"/>
    <x v="3"/>
    <s v="Congo"/>
    <m/>
    <m/>
    <m/>
  </r>
  <r>
    <x v="217"/>
    <s v="Taxi moto Hôtel Mithé-Region de gendarmerie/ Rencontrer le CEMREG"/>
    <s v="Transport "/>
    <s v="Legal"/>
    <n v="500"/>
    <n v="0.93720185266062228"/>
    <n v="533.50300000000004"/>
    <s v="Donald-Roméo"/>
    <s v="DR-S-D1"/>
    <s v="PALF"/>
    <x v="3"/>
    <s v="Congo"/>
    <m/>
    <m/>
    <m/>
  </r>
  <r>
    <x v="217"/>
    <s v="Règlement Loyer Août/Coordinateur"/>
    <s v="Personnel"/>
    <s v="Management"/>
    <n v="174625"/>
    <n v="327.31774704172233"/>
    <n v="533.50300000000004"/>
    <s v="DOVI"/>
    <s v="DH-S-R2"/>
    <s v="PALF"/>
    <x v="3"/>
    <s v="Congo"/>
    <m/>
    <m/>
    <m/>
  </r>
  <r>
    <x v="217"/>
    <s v="Maison-Bureau"/>
    <s v="Transport"/>
    <s v="Management"/>
    <n v="1000"/>
    <n v="1.8744037053212446"/>
    <n v="533.50300000000004"/>
    <s v="DOVI"/>
    <s v="DH-S-D1"/>
    <s v="PALF"/>
    <x v="3"/>
    <s v="Congo"/>
    <m/>
    <m/>
    <m/>
  </r>
  <r>
    <x v="217"/>
    <s v="Bureau-Maison"/>
    <s v="Transport"/>
    <s v="Management"/>
    <n v="1000"/>
    <n v="1.8744037053212446"/>
    <n v="533.50300000000004"/>
    <s v="DOVI"/>
    <s v="DH-S-D1"/>
    <s v="PALF"/>
    <x v="3"/>
    <s v="Congo"/>
    <m/>
    <m/>
    <m/>
  </r>
  <r>
    <x v="217"/>
    <s v="Taxi moto: Hôtel-Gendarmerie"/>
    <s v="Transport"/>
    <s v="Legal"/>
    <n v="500"/>
    <n v="0.93720185266062228"/>
    <n v="533.50300000000004"/>
    <s v="Crépin"/>
    <s v="CR-S-D1"/>
    <s v="PALF"/>
    <x v="3"/>
    <s v="Congo"/>
    <m/>
    <m/>
    <m/>
  </r>
  <r>
    <x v="217"/>
    <s v="Taxi moto: Gendarmerie-Hôtel"/>
    <s v="Transport"/>
    <s v="Legal"/>
    <n v="500"/>
    <n v="0.93720185266062228"/>
    <n v="533.50300000000004"/>
    <s v="Crépin"/>
    <s v="CR-S-D1"/>
    <s v="PALF"/>
    <x v="3"/>
    <s v="Congo"/>
    <m/>
    <m/>
    <m/>
  </r>
  <r>
    <x v="217"/>
    <s v="Achat Carburant de la BJ aller-retour Impfondo-Dangou"/>
    <s v="Transport"/>
    <s v="Legal"/>
    <n v="50000"/>
    <n v="93.720185266062231"/>
    <n v="533.50300000000004"/>
    <s v="Crépin"/>
    <s v="CR-S-R2"/>
    <s v="PALF"/>
    <x v="3"/>
    <s v="Congo"/>
    <m/>
    <m/>
    <m/>
  </r>
  <r>
    <x v="217"/>
    <s v="Plats  pour les elements de  la mission de Dangou "/>
    <s v="Travel Subsistence"/>
    <s v="Legal"/>
    <n v="24400"/>
    <n v="45.735450409838364"/>
    <n v="533.50300000000004"/>
    <s v="Crépin"/>
    <s v="CR-S-R3"/>
    <s v="PALF"/>
    <x v="3"/>
    <s v="Congo"/>
    <m/>
    <m/>
    <m/>
  </r>
  <r>
    <x v="217"/>
    <s v="Taxi hotel-magadzi,prospection"/>
    <s v="Transport"/>
    <s v="Investigations"/>
    <n v="1000"/>
    <n v="1.8744037053212446"/>
    <n v="533.50300000000004"/>
    <s v="P29"/>
    <s v="P29-S-D1"/>
    <s v="PALF"/>
    <x v="3"/>
    <s v="Congo"/>
    <m/>
    <m/>
    <m/>
  </r>
  <r>
    <x v="217"/>
    <s v="Taxi magadzi-aeroport,prospection"/>
    <s v="Transport"/>
    <s v="Investigations"/>
    <n v="1000"/>
    <n v="1.8744037053212446"/>
    <n v="533.50300000000004"/>
    <s v="P29"/>
    <s v="P29-S-D1"/>
    <s v="PALF"/>
    <x v="3"/>
    <s v="Congo"/>
    <m/>
    <m/>
    <m/>
  </r>
  <r>
    <x v="217"/>
    <s v="Taxi aeroport-tahiti,prospection"/>
    <s v="Transport"/>
    <s v="Investigations"/>
    <n v="1000"/>
    <n v="1.8744037053212446"/>
    <n v="533.50300000000004"/>
    <s v="P29"/>
    <s v="P29-S-D1"/>
    <s v="PALF"/>
    <x v="3"/>
    <s v="Congo"/>
    <m/>
    <m/>
    <m/>
  </r>
  <r>
    <x v="217"/>
    <s v="Taxi tahiti-tsila,prospection"/>
    <s v="Transport"/>
    <s v="Investigations"/>
    <n v="1000"/>
    <n v="1.8744037053212446"/>
    <n v="533.50300000000004"/>
    <s v="P29"/>
    <s v="P29-S-D1"/>
    <s v="PALF"/>
    <x v="3"/>
    <s v="Congo"/>
    <m/>
    <m/>
    <m/>
  </r>
  <r>
    <x v="217"/>
    <s v="Taxi tsila-maboulou,prospection"/>
    <s v="Transport"/>
    <s v="Investigations"/>
    <n v="1000"/>
    <n v="1.8744037053212446"/>
    <n v="533.50300000000004"/>
    <s v="P29"/>
    <s v="P29-S-D1"/>
    <s v="PALF"/>
    <x v="3"/>
    <s v="Congo"/>
    <m/>
    <m/>
    <m/>
  </r>
  <r>
    <x v="217"/>
    <s v="Taxi maboulou-hotel"/>
    <s v="Transport"/>
    <s v="Investigations"/>
    <n v="1000"/>
    <n v="1.8744037053212446"/>
    <n v="533.50300000000004"/>
    <s v="P29"/>
    <s v="P29-S-D1"/>
    <s v="PALF"/>
    <x v="3"/>
    <s v="Congo"/>
    <m/>
    <m/>
    <m/>
  </r>
  <r>
    <x v="217"/>
    <s v="Achat boison avec un cible"/>
    <s v="Trust Building"/>
    <s v="Investigations"/>
    <n v="2000"/>
    <n v="3.7488074106424891"/>
    <n v="533.50300000000004"/>
    <s v="P29"/>
    <s v="P29-S-D3"/>
    <s v="PALF"/>
    <x v="3"/>
    <s v="Congo"/>
    <m/>
    <m/>
    <m/>
  </r>
  <r>
    <x v="217"/>
    <s v="Taxi : hotel pharaon - centre ville ( prospection à dolisie)"/>
    <s v="Transport"/>
    <s v="Investigations"/>
    <n v="1000"/>
    <n v="1.8744037053212446"/>
    <n v="533.50300000000004"/>
    <s v="T73"/>
    <s v="T73-S-D1"/>
    <s v="PALF"/>
    <x v="3"/>
    <s v="Congo"/>
    <m/>
    <m/>
    <m/>
  </r>
  <r>
    <x v="217"/>
    <s v="Taxi : centre ville - tsila (prospection à dolisie)"/>
    <s v="Transport"/>
    <s v="Investigations"/>
    <n v="1000"/>
    <n v="1.8744037053212446"/>
    <n v="533.50300000000004"/>
    <s v="T73"/>
    <s v="T73-S-D1"/>
    <s v="PALF"/>
    <x v="3"/>
    <s v="Congo"/>
    <m/>
    <m/>
    <m/>
  </r>
  <r>
    <x v="217"/>
    <s v="Taxi : tsila - lisanga (prospection à dolisie)"/>
    <s v="Transport"/>
    <s v="Investigations"/>
    <n v="1000"/>
    <n v="1.8744037053212446"/>
    <n v="533.50300000000004"/>
    <s v="T73"/>
    <s v="T73-S-D1"/>
    <s v="PALF"/>
    <x v="3"/>
    <s v="Congo"/>
    <m/>
    <m/>
    <m/>
  </r>
  <r>
    <x v="217"/>
    <s v="Taxi : lisanga - hotel (prospection à dolisie)"/>
    <s v="Transport"/>
    <s v="Investigations"/>
    <n v="1000"/>
    <n v="1.8744037053212446"/>
    <n v="533.50300000000004"/>
    <s v="T73"/>
    <s v="T73-S-D1"/>
    <s v="PALF"/>
    <x v="3"/>
    <s v="Congo"/>
    <m/>
    <m/>
    <m/>
  </r>
  <r>
    <x v="217"/>
    <s v="achat boisson/une cible"/>
    <s v="Trust Building"/>
    <s v="Investigations"/>
    <n v="1000"/>
    <n v="1.8744037053212446"/>
    <n v="533.50300000000004"/>
    <s v="T73"/>
    <s v="T73-S-D3"/>
    <s v="PALF"/>
    <x v="3"/>
    <s v="Congo"/>
    <m/>
    <m/>
    <m/>
  </r>
  <r>
    <x v="217"/>
    <s v="Taxi tricycle : Hôtel - Rond point/ Départ de Mouyondzi pour Yamba"/>
    <s v="Transport"/>
    <s v="Investigations"/>
    <n v="700"/>
    <n v="1.3120825937248712"/>
    <n v="533.50300000000004"/>
    <s v="IT87"/>
    <s v="IT87-S-D1"/>
    <s v="PALF"/>
    <x v="3"/>
    <s v="Congo"/>
    <m/>
    <m/>
    <m/>
  </r>
  <r>
    <x v="217"/>
    <s v="Achat billet Mouyondzi - Yamba/ IT87"/>
    <s v="Transport"/>
    <s v="Investigations"/>
    <n v="5000"/>
    <n v="9.3720185266062224"/>
    <n v="533.50300000000004"/>
    <s v="IT87"/>
    <s v="IT87-S-R3"/>
    <s v="PALF"/>
    <x v="3"/>
    <s v="Congo"/>
    <m/>
    <m/>
    <m/>
  </r>
  <r>
    <x v="217"/>
    <s v="Taxi moto : Ntembele - Centre/ Prospection"/>
    <s v="Transport"/>
    <s v="Investigations"/>
    <n v="500"/>
    <n v="0.93720185266062228"/>
    <n v="533.50300000000004"/>
    <s v="IT87"/>
    <s v="IT87-S-D1"/>
    <s v="PALF"/>
    <x v="3"/>
    <s v="Congo"/>
    <m/>
    <m/>
    <m/>
  </r>
  <r>
    <x v="217"/>
    <s v="Taxi moto : Centre - Hôpital de district/ Prospection"/>
    <s v="Transport"/>
    <s v="Investigations"/>
    <n v="500"/>
    <n v="0.93720185266062228"/>
    <n v="533.50300000000004"/>
    <s v="IT87"/>
    <s v="IT87-S-D1"/>
    <s v="PALF"/>
    <x v="3"/>
    <s v="Congo"/>
    <m/>
    <m/>
    <m/>
  </r>
  <r>
    <x v="217"/>
    <s v="Taxi moto : Hôpital de district - Mboubou/ Prospection"/>
    <s v="Transport"/>
    <s v="Investigations"/>
    <n v="500"/>
    <n v="0.93720185266062228"/>
    <n v="533.50300000000004"/>
    <s v="IT87"/>
    <s v="IT87-S-D1"/>
    <s v="PALF"/>
    <x v="3"/>
    <s v="Congo"/>
    <m/>
    <m/>
    <m/>
  </r>
  <r>
    <x v="217"/>
    <s v="Taxi moto : Mboubou - Centre/ Prospection"/>
    <s v="Transport"/>
    <s v="Investigations"/>
    <n v="500"/>
    <n v="0.93720185266062228"/>
    <n v="533.50300000000004"/>
    <s v="IT87"/>
    <s v="IT87-S-D1"/>
    <s v="PALF"/>
    <x v="3"/>
    <s v="Congo"/>
    <m/>
    <m/>
    <m/>
  </r>
  <r>
    <x v="217"/>
    <s v="Taxi moto : Yamba - Mouyondzi/ Arrivé à Mouyondzi"/>
    <s v="Transport"/>
    <s v="Investigations"/>
    <n v="5000"/>
    <n v="9.3720185266062224"/>
    <n v="533.50300000000004"/>
    <s v="IT87"/>
    <s v="IT87-S-R4"/>
    <s v="PALF"/>
    <x v="3"/>
    <s v="Congo"/>
    <m/>
    <m/>
    <m/>
  </r>
  <r>
    <x v="217"/>
    <s v="Taxi tricycle : Rond point - Hôtel/ Retour de prospection"/>
    <s v="Transport"/>
    <s v="Investigations"/>
    <n v="700"/>
    <n v="1.3120825937248712"/>
    <n v="533.50300000000004"/>
    <s v="IT87"/>
    <s v="IT87-S-D1"/>
    <s v="PALF"/>
    <x v="3"/>
    <s v="Congo"/>
    <m/>
    <m/>
    <m/>
  </r>
  <r>
    <x v="217"/>
    <s v="RODERLIN-CONGO Frais d'hôtel du 06 au 07/09/2025 à Gamboma (01 nuitée)"/>
    <s v="Travel Subsistence"/>
    <s v="Legal"/>
    <n v="15000"/>
    <n v="28.116055579818667"/>
    <n v="533.50300000000004"/>
    <s v="Roderlin"/>
    <s v="RO-S-R5"/>
    <s v="PALF"/>
    <x v="3"/>
    <s v="Congo"/>
    <m/>
    <m/>
    <m/>
  </r>
  <r>
    <x v="217"/>
    <s v="Taxi-moto:Hôtel Baobab-Agence Océan du nord "/>
    <s v="Transport"/>
    <s v="Legal"/>
    <n v="500"/>
    <n v="0.93720185266062228"/>
    <n v="533.50300000000004"/>
    <s v="Roderlin"/>
    <s v="RO-S-D1"/>
    <s v="PALF"/>
    <x v="3"/>
    <s v="Congo"/>
    <m/>
    <m/>
    <m/>
  </r>
  <r>
    <x v="217"/>
    <s v="Taxi:Agence Océan du nord de la liberté-Domicile "/>
    <s v="Transport"/>
    <s v="Legal"/>
    <n v="1000"/>
    <n v="1.8744037053212446"/>
    <n v="533.50300000000004"/>
    <s v="Roderlin"/>
    <s v="RO-S-D1"/>
    <s v="PALF"/>
    <x v="3"/>
    <s v="Congo"/>
    <m/>
    <m/>
    <m/>
  </r>
  <r>
    <x v="217"/>
    <s v="Taxi moto Bankandi- Hôtel Mithé/ Après l'achat du carburant"/>
    <s v="Transport "/>
    <s v="Legal"/>
    <n v="500"/>
    <n v="0.93720185266062228"/>
    <n v="533.50300000000004"/>
    <s v="Donald-Roméo"/>
    <s v="DR-S-D1"/>
    <s v="PALF"/>
    <x v="3"/>
    <s v="Congo"/>
    <m/>
    <m/>
    <m/>
  </r>
  <r>
    <x v="217"/>
    <s v="Taxi moto Hôtel Mithé-Bankandi/ Boutique/ Achat rafraîchissement"/>
    <s v="Transport "/>
    <s v="Legal"/>
    <n v="500"/>
    <n v="0.93720185266062228"/>
    <n v="533.50300000000004"/>
    <s v="Donald-Roméo"/>
    <s v="DR-S-D1"/>
    <s v="PALF"/>
    <x v="3"/>
    <s v="Congo"/>
    <m/>
    <m/>
    <m/>
  </r>
  <r>
    <x v="217"/>
    <s v="Taxi moto Bankandi- Hôtel Mithé"/>
    <s v="Transport "/>
    <s v="Legal"/>
    <n v="500"/>
    <n v="0.93720185266062228"/>
    <n v="533.50300000000004"/>
    <s v="Donald-Roméo"/>
    <s v="DR-S-D1"/>
    <s v="PALF"/>
    <x v="3"/>
    <s v="Congo"/>
    <m/>
    <m/>
    <m/>
  </r>
  <r>
    <x v="218"/>
    <s v="Taxi moto Gendarmerie- Hôtel Mithé/ Après Dongou"/>
    <s v="Transport "/>
    <s v="Legal"/>
    <n v="500"/>
    <n v="0.93720185266062228"/>
    <n v="533.50300000000004"/>
    <s v="Donald-Roméo"/>
    <s v="DR-S-D1"/>
    <s v="PALF"/>
    <x v="3"/>
    <s v="Congo"/>
    <m/>
    <m/>
    <m/>
  </r>
  <r>
    <x v="218"/>
    <s v="Maison-Bureau"/>
    <s v="Transport"/>
    <s v="Management"/>
    <n v="1000"/>
    <n v="1.8744037053212446"/>
    <n v="533.50300000000004"/>
    <s v="DOVI"/>
    <s v="DH-S-D1"/>
    <s v="PALF"/>
    <x v="3"/>
    <s v="Congo"/>
    <m/>
    <m/>
    <m/>
  </r>
  <r>
    <x v="218"/>
    <s v="Bureau-Maison"/>
    <s v="Transport"/>
    <s v="Management"/>
    <n v="1000"/>
    <n v="1.8744037053212446"/>
    <n v="533.50300000000004"/>
    <s v="DOVI"/>
    <s v="DH-S-D1"/>
    <s v="PALF"/>
    <x v="3"/>
    <s v="Congo"/>
    <m/>
    <m/>
    <m/>
  </r>
  <r>
    <x v="218"/>
    <s v="Credit telephonique MTN/PALF/ du 08 au 14 Septembre 2025/DOVI"/>
    <s v="Telephone"/>
    <s v="Management"/>
    <n v="12500"/>
    <n v="23.430046316515558"/>
    <n v="533.50300000000004"/>
    <s v="DOVI"/>
    <s v="DH-S-R3"/>
    <s v="PALF"/>
    <x v="3"/>
    <s v="Congo"/>
    <m/>
    <m/>
    <m/>
  </r>
  <r>
    <x v="218"/>
    <s v="plats pour les éléments pendant la mission de Dangou"/>
    <s v="Travel Subsistence"/>
    <s v="Legal"/>
    <n v="27500"/>
    <n v="51.546101896334221"/>
    <n v="533.50300000000004"/>
    <s v="Crépin"/>
    <s v="CR-S-R4"/>
    <s v="PALF"/>
    <x v="3"/>
    <s v="Congo"/>
    <m/>
    <m/>
    <m/>
  </r>
  <r>
    <x v="218"/>
    <s v="Credit telephonique MTN PALF/du 08 au 14 septembre 2025/ crepin"/>
    <s v="Telephone"/>
    <s v="Legal"/>
    <n v="10000"/>
    <n v="18.744037053212445"/>
    <n v="533.50300000000004"/>
    <s v="Crépin"/>
    <s v="CR-S-R5"/>
    <s v="PALF"/>
    <x v="3"/>
    <s v="Congo"/>
    <m/>
    <m/>
    <m/>
  </r>
  <r>
    <x v="218"/>
    <s v="Taxi:  Bureau-Banque BCI/ Retrait espece"/>
    <s v="Transport"/>
    <s v="Office"/>
    <n v="1000"/>
    <n v="1.8744037053212446"/>
    <n v="533.50300000000004"/>
    <s v="Parfaite"/>
    <s v="P-S-D1"/>
    <s v="PALF"/>
    <x v="3"/>
    <s v="Congo"/>
    <m/>
    <m/>
    <m/>
  </r>
  <r>
    <x v="218"/>
    <s v="Taxi:  Banque BCI - Direction MTN /Complement Achat crédit bureau PALF"/>
    <s v="Transport"/>
    <s v="Office"/>
    <n v="500"/>
    <n v="0.93720185266062228"/>
    <n v="533.50300000000004"/>
    <s v="Parfaite"/>
    <s v="P-S-D1"/>
    <s v="PALF"/>
    <x v="3"/>
    <s v="Congo"/>
    <m/>
    <m/>
    <m/>
  </r>
  <r>
    <x v="218"/>
    <s v="Taxi: Direction MTN-Bureau"/>
    <s v="Transport"/>
    <s v="Office"/>
    <n v="1000"/>
    <n v="1.8744037053212446"/>
    <n v="533.50300000000004"/>
    <s v="Parfaite"/>
    <s v="P-S-D1"/>
    <s v="PALF"/>
    <x v="3"/>
    <s v="Congo"/>
    <m/>
    <m/>
    <m/>
  </r>
  <r>
    <x v="218"/>
    <s v="Credit teléphonique MTN PALF/ du 08 au 14 septembre 2025/ Parfaite"/>
    <s v="Telephone"/>
    <s v="Management"/>
    <n v="7500"/>
    <n v="14.058027789909334"/>
    <n v="533.50300000000004"/>
    <s v="Parfaite"/>
    <s v="P-S-R2"/>
    <s v="PALF"/>
    <x v="3"/>
    <s v="Congo"/>
    <m/>
    <m/>
    <m/>
  </r>
  <r>
    <x v="218"/>
    <s v="Achat billet Dolisie-Ditadi/P29"/>
    <s v="Transport"/>
    <s v="Investigations"/>
    <n v="3000"/>
    <n v="5.6232111159637332"/>
    <n v="533.50300000000004"/>
    <s v="P29"/>
    <s v="P29-S-R4"/>
    <s v="PALF"/>
    <x v="3"/>
    <s v="Congo"/>
    <m/>
    <m/>
    <m/>
  </r>
  <r>
    <x v="218"/>
    <s v="Taxi hotel-gare routière,départ pour ditadi"/>
    <s v="Transport"/>
    <s v="Investigations"/>
    <n v="1500"/>
    <n v="2.8116055579818666"/>
    <n v="533.50300000000004"/>
    <s v="P29"/>
    <s v="P29-S-D1"/>
    <s v="PALF"/>
    <x v="3"/>
    <s v="Congo"/>
    <m/>
    <m/>
    <m/>
  </r>
  <r>
    <x v="218"/>
    <s v="Taxi gare routière-matolo"/>
    <s v="Transport"/>
    <s v="Investigations"/>
    <n v="1000"/>
    <n v="1.8744037053212446"/>
    <n v="533.50300000000004"/>
    <s v="P29"/>
    <s v="P29-S-D1"/>
    <s v="PALF"/>
    <x v="3"/>
    <s v="Congo"/>
    <m/>
    <m/>
    <m/>
  </r>
  <r>
    <x v="218"/>
    <s v="Taxi matolo-marché,prospection"/>
    <s v="Transport"/>
    <s v="Investigations"/>
    <n v="1000"/>
    <n v="1.8744037053212446"/>
    <n v="533.50300000000004"/>
    <s v="P29"/>
    <s v="P29-S-D1"/>
    <s v="PALF"/>
    <x v="3"/>
    <s v="Congo"/>
    <m/>
    <m/>
    <m/>
  </r>
  <r>
    <x v="218"/>
    <s v="Taxi marché-seko,prospection"/>
    <s v="Transport"/>
    <s v="Investigations"/>
    <n v="1000"/>
    <n v="1.8744037053212446"/>
    <n v="533.50300000000004"/>
    <s v="P29"/>
    <s v="P29-S-D1"/>
    <s v="PALF"/>
    <x v="3"/>
    <s v="Congo"/>
    <m/>
    <m/>
    <m/>
  </r>
  <r>
    <x v="218"/>
    <s v="Taxi seko-tiabala,prospection"/>
    <s v="Transport"/>
    <s v="Investigations"/>
    <n v="1000"/>
    <n v="1.8744037053212446"/>
    <n v="533.50300000000004"/>
    <s v="P29"/>
    <s v="P29-S-D1"/>
    <s v="PALF"/>
    <x v="3"/>
    <s v="Congo"/>
    <m/>
    <m/>
    <m/>
  </r>
  <r>
    <x v="218"/>
    <s v="Taxi tiabala-gare routière"/>
    <s v="Transport"/>
    <s v="Investigations"/>
    <n v="1000"/>
    <n v="1.8744037053212446"/>
    <n v="533.50300000000004"/>
    <s v="P29"/>
    <s v="P29-S-D1"/>
    <s v="PALF"/>
    <x v="3"/>
    <s v="Congo"/>
    <m/>
    <m/>
    <m/>
  </r>
  <r>
    <x v="218"/>
    <s v="Credit telephonique MTN PALF/ du 08 au 14 Septembre 2025/ Investigation/P29"/>
    <s v="Telephone"/>
    <s v="Investigations"/>
    <n v="10000"/>
    <n v="18.744037053212445"/>
    <n v="533.50300000000004"/>
    <s v="P29"/>
    <s v="P29-S-R5"/>
    <s v="PALF"/>
    <x v="3"/>
    <s v="Congo"/>
    <m/>
    <m/>
    <m/>
  </r>
  <r>
    <x v="218"/>
    <s v="Achat billet, Didati-dolisie"/>
    <s v="Transport"/>
    <s v="Investigations"/>
    <n v="3000"/>
    <n v="5.6232111159637332"/>
    <n v="533.50300000000004"/>
    <s v="P29"/>
    <s v="P29-S-R6"/>
    <s v="PALF"/>
    <x v="3"/>
    <s v="Congo"/>
    <m/>
    <m/>
    <m/>
  </r>
  <r>
    <x v="218"/>
    <s v="Taxi gare routière-hotel,retour à dolisie"/>
    <s v="Transport"/>
    <s v="Investigations"/>
    <n v="1500"/>
    <n v="2.8116055579818666"/>
    <n v="533.50300000000004"/>
    <s v="P29"/>
    <s v="P29-S-D1"/>
    <s v="PALF"/>
    <x v="3"/>
    <s v="Congo"/>
    <m/>
    <m/>
    <m/>
  </r>
  <r>
    <x v="218"/>
    <s v="Achat boison avec un cible"/>
    <s v="Trust Building"/>
    <s v="Investigations"/>
    <n v="2000"/>
    <n v="3.7488074106424891"/>
    <n v="533.50300000000004"/>
    <s v="P29"/>
    <s v="P29-S-D3"/>
    <s v="PALF"/>
    <x v="3"/>
    <s v="Congo"/>
    <m/>
    <m/>
    <m/>
  </r>
  <r>
    <x v="218"/>
    <s v="Taxi : hotel - marché mboukou (prospection à dolisie)"/>
    <s v="Transport"/>
    <s v="Investigations"/>
    <n v="1000"/>
    <n v="1.8744037053212446"/>
    <n v="533.50300000000004"/>
    <s v="T73"/>
    <s v="T73-S-D1"/>
    <s v="PALF"/>
    <x v="3"/>
    <s v="Congo"/>
    <m/>
    <m/>
    <m/>
  </r>
  <r>
    <x v="218"/>
    <s v="Taxi : marché mboukou - bas fleury (prospection à dolisie)"/>
    <s v="Transport"/>
    <s v="Investigations"/>
    <n v="1000"/>
    <n v="1.8744037053212446"/>
    <n v="533.50300000000004"/>
    <s v="T73"/>
    <s v="T73-S-D1"/>
    <s v="PALF"/>
    <x v="3"/>
    <s v="Congo"/>
    <m/>
    <m/>
    <m/>
  </r>
  <r>
    <x v="218"/>
    <s v="Taxi : bas fleury - RN1(rendez-vous avec la cible)"/>
    <s v="Transport"/>
    <s v="Investigations"/>
    <n v="1000"/>
    <n v="1.8744037053212446"/>
    <n v="533.50300000000004"/>
    <s v="T73"/>
    <s v="T73-S-D1"/>
    <s v="PALF"/>
    <x v="3"/>
    <s v="Congo"/>
    <m/>
    <m/>
    <m/>
  </r>
  <r>
    <x v="218"/>
    <s v="Taxi : RN1 - gare routière (extraction)"/>
    <s v="Transport"/>
    <s v="Investigations"/>
    <n v="1000"/>
    <n v="1.8744037053212446"/>
    <n v="533.50300000000004"/>
    <s v="T73"/>
    <s v="T73-S-D1"/>
    <s v="PALF"/>
    <x v="3"/>
    <s v="Congo"/>
    <m/>
    <m/>
    <m/>
  </r>
  <r>
    <x v="218"/>
    <s v="Taxi : gare routière - centre ville (extraction)"/>
    <s v="Transport"/>
    <s v="Investigations"/>
    <n v="1000"/>
    <n v="1.8744037053212446"/>
    <n v="533.50300000000004"/>
    <s v="T73"/>
    <s v="T73-S-D1"/>
    <s v="PALF"/>
    <x v="3"/>
    <s v="Congo"/>
    <m/>
    <m/>
    <m/>
  </r>
  <r>
    <x v="218"/>
    <s v="Taxi : centre ville- hotel (extraction)"/>
    <s v="Transport"/>
    <s v="Investigations"/>
    <n v="1000"/>
    <n v="1.8744037053212446"/>
    <n v="533.50300000000004"/>
    <s v="T73"/>
    <s v="T73-S-D1"/>
    <s v="PALF"/>
    <x v="3"/>
    <s v="Congo"/>
    <m/>
    <m/>
    <m/>
  </r>
  <r>
    <x v="218"/>
    <s v="Credit telephonique MTN PALF/ du 08 au 14 septembre 2025/ Investigation/T73"/>
    <s v="Telephone"/>
    <s v="Investigations"/>
    <n v="10000"/>
    <n v="18.744037053212445"/>
    <n v="533.50300000000004"/>
    <s v="T73"/>
    <s v="T73-S-R6"/>
    <s v="PALF"/>
    <x v="3"/>
    <s v="Congo"/>
    <m/>
    <m/>
    <m/>
  </r>
  <r>
    <x v="218"/>
    <s v="achat boissons et nourriture/2 cibles"/>
    <s v="Trust Building"/>
    <s v="Investigations"/>
    <n v="12000"/>
    <n v="22.492844463854933"/>
    <n v="533.50300000000004"/>
    <s v="T73"/>
    <s v="T73-S-D3"/>
    <s v="PALF"/>
    <x v="3"/>
    <s v="Congo"/>
    <m/>
    <m/>
    <m/>
  </r>
  <r>
    <x v="218"/>
    <s v="IT87-CONGO Frais d'hôtel  du 04 au 08/09/2025 à Mouyondzi (04 nuitées)"/>
    <s v="Travel Subsistence"/>
    <s v="Investigations"/>
    <n v="60000"/>
    <n v="112.46422231927467"/>
    <n v="533.50300000000004"/>
    <s v="IT87"/>
    <s v="IT87-S-R5"/>
    <s v="PALF"/>
    <x v="3"/>
    <s v="Congo"/>
    <m/>
    <m/>
    <m/>
  </r>
  <r>
    <x v="218"/>
    <s v="Taxi tricycle : Hôtel - Gare routière/ Départ pour Bouansa"/>
    <s v="Transport"/>
    <s v="Investigations"/>
    <n v="700"/>
    <n v="1.3120825937248712"/>
    <n v="533.50300000000004"/>
    <s v="IT87"/>
    <s v="IT87-S-D1"/>
    <s v="PALF"/>
    <x v="3"/>
    <s v="Congo"/>
    <m/>
    <m/>
    <m/>
  </r>
  <r>
    <x v="218"/>
    <s v="Achat billet Mouyondzi - Bouansa/ IT87"/>
    <s v="Transport"/>
    <s v="Investigations"/>
    <n v="3000"/>
    <n v="5.6232111159637332"/>
    <n v="533.50300000000004"/>
    <s v="IT87"/>
    <s v="IT87-S-R6"/>
    <s v="PALF"/>
    <x v="3"/>
    <s v="Congo"/>
    <m/>
    <m/>
    <m/>
  </r>
  <r>
    <x v="218"/>
    <s v="Taxi moto : Gare routière - Hôtel le Repère/ Arrivé à Bouansa"/>
    <s v="Transport"/>
    <s v="Investigations"/>
    <n v="500"/>
    <n v="0.93720185266062228"/>
    <n v="533.50300000000004"/>
    <s v="IT87"/>
    <s v="IT87-S-D1"/>
    <s v="PALF"/>
    <x v="3"/>
    <s v="Congo"/>
    <m/>
    <m/>
    <m/>
  </r>
  <r>
    <x v="218"/>
    <s v="Taxi moto : Hôtel - Badondo/ Prospection"/>
    <s v="Transport"/>
    <s v="Investigations"/>
    <n v="600"/>
    <n v="1.1246422231927466"/>
    <n v="533.50300000000004"/>
    <s v="IT87"/>
    <s v="IT87-S-D1"/>
    <s v="PALF"/>
    <x v="3"/>
    <s v="Congo"/>
    <m/>
    <m/>
    <m/>
  </r>
  <r>
    <x v="218"/>
    <s v="Taxi moto : Badondo - La gare/ Prospection"/>
    <s v="Transport"/>
    <s v="Investigations"/>
    <n v="500"/>
    <n v="0.93720185266062228"/>
    <n v="533.50300000000004"/>
    <s v="IT87"/>
    <s v="IT87-S-D1"/>
    <s v="PALF"/>
    <x v="3"/>
    <s v="Congo"/>
    <m/>
    <m/>
    <m/>
  </r>
  <r>
    <x v="218"/>
    <s v="Taxi moto : La gare - Hôtel/ Retour du terrain"/>
    <s v="Transport"/>
    <s v="Investigations"/>
    <n v="500"/>
    <n v="0.93720185266062228"/>
    <n v="533.50300000000004"/>
    <s v="IT87"/>
    <s v="IT87-S-D1"/>
    <s v="PALF"/>
    <x v="3"/>
    <s v="Congo"/>
    <m/>
    <m/>
    <m/>
  </r>
  <r>
    <x v="218"/>
    <s v="Credit telephonique MTN PALF/du 08 au 14 septembre 2025/IT87"/>
    <s v="Telephone"/>
    <s v="Investigations"/>
    <n v="10000"/>
    <n v="18.744037053212445"/>
    <n v="533.50300000000004"/>
    <s v="IT87"/>
    <s v="IT87-S-R7"/>
    <s v="PALF"/>
    <x v="3"/>
    <s v="Congo"/>
    <m/>
    <m/>
    <m/>
  </r>
  <r>
    <x v="218"/>
    <s v="Credit telephonique MTN PALF/du 08 au 14 septembre 2025/G12"/>
    <s v="Telephone"/>
    <s v="Investigations"/>
    <n v="10000"/>
    <n v="18.744037053212445"/>
    <n v="533.50300000000004"/>
    <s v="G12"/>
    <s v="G12-S-R2"/>
    <s v="PALF"/>
    <x v="3"/>
    <s v="Congo"/>
    <m/>
    <m/>
    <m/>
  </r>
  <r>
    <x v="218"/>
    <s v="Taxi: Bureau-Station Total Energies Loutassi/Achat carburant"/>
    <s v="Transport"/>
    <s v="Legal"/>
    <n v="1000"/>
    <n v="1.8744037053212446"/>
    <n v="533.50300000000004"/>
    <s v="Abraham"/>
    <s v="AB-S-D1"/>
    <s v="PALF"/>
    <x v="3"/>
    <s v="Congo"/>
    <m/>
    <m/>
    <m/>
  </r>
  <r>
    <x v="218"/>
    <s v="Taxi: Station Total Energies Loutassi-Bureau"/>
    <s v="Transport"/>
    <s v="Legal"/>
    <n v="1000"/>
    <n v="1.8744037053212446"/>
    <n v="533.50300000000004"/>
    <s v="Abraham"/>
    <s v="AB-S-D1"/>
    <s v="PALF"/>
    <x v="3"/>
    <s v="Congo"/>
    <m/>
    <m/>
    <m/>
  </r>
  <r>
    <x v="218"/>
    <s v="Credit telephonique MTN PALF/ du 08 au 14 septembre 2025/Abraham"/>
    <s v="Telephone"/>
    <s v="Legal"/>
    <n v="7500"/>
    <n v="14.058027789909334"/>
    <n v="533.50300000000004"/>
    <s v="Abraham"/>
    <s v="AB-S-R2"/>
    <s v="PALF"/>
    <x v="3"/>
    <s v="Congo"/>
    <m/>
    <m/>
    <m/>
  </r>
  <r>
    <x v="218"/>
    <s v="Achat carburant groupe electrogène Bureau "/>
    <s v="Office Materiels"/>
    <s v="Office"/>
    <n v="31250"/>
    <n v="58.575115791288894"/>
    <n v="533.50300000000004"/>
    <s v="Abraham"/>
    <s v="CA-S-R8"/>
    <s v="PALF"/>
    <x v="3"/>
    <s v="Congo"/>
    <m/>
    <m/>
    <m/>
  </r>
  <r>
    <x v="218"/>
    <s v="Credit telephonique MTN PALF/du 08 au 14 Septembre 2025/Roderlin"/>
    <s v="Telephone"/>
    <s v="Legal"/>
    <n v="7500"/>
    <n v="14.058027789909334"/>
    <n v="533.50300000000004"/>
    <s v="Roderlin"/>
    <s v="RO-S-R6"/>
    <s v="PALF"/>
    <x v="3"/>
    <s v="Congo"/>
    <m/>
    <m/>
    <m/>
  </r>
  <r>
    <x v="218"/>
    <s v="Credit telephonique MTN PALF/du 08 au 14 septembre 2025"/>
    <s v="Telephone"/>
    <s v="Legal"/>
    <n v="10000"/>
    <n v="18.744037053212445"/>
    <n v="533.50300000000004"/>
    <s v="Donald-Roméo"/>
    <s v="DR-S-R3"/>
    <s v="PALF"/>
    <x v="3"/>
    <s v="Congo"/>
    <m/>
    <m/>
    <m/>
  </r>
  <r>
    <x v="219"/>
    <s v="Taxi moto Hôtel Mithé-Gengarmerie/ Rencontrer le CEMRG"/>
    <s v="Transport "/>
    <s v="Legal"/>
    <n v="500"/>
    <n v="0.93720185266062228"/>
    <n v="533.50300000000004"/>
    <s v="Donald-Roméo"/>
    <s v="DR-S-D1"/>
    <s v="PALF"/>
    <x v="3"/>
    <s v="Congo"/>
    <m/>
    <m/>
    <m/>
  </r>
  <r>
    <x v="218"/>
    <s v="Credit telephonique MTN PALF/du 08 au 14 septembre 2025/ Evariste"/>
    <s v="Telephone"/>
    <s v="Media"/>
    <n v="5000"/>
    <n v="9.3720185266062224"/>
    <n v="533.50300000000004"/>
    <s v="Evariste"/>
    <s v="EV-S-R6"/>
    <s v="PALF"/>
    <x v="3"/>
    <s v="Congo"/>
    <m/>
    <m/>
    <m/>
  </r>
  <r>
    <x v="218"/>
    <s v="Credit telephonique MTN PALF/du 08 au 14 septembre 2025/ Evariste"/>
    <s v="Telephone"/>
    <s v="Media"/>
    <n v="5000"/>
    <n v="9.3720185266062224"/>
    <n v="533.50300000000004"/>
    <s v="Evariste"/>
    <s v="EV-S-R7"/>
    <s v="PALF"/>
    <x v="3"/>
    <s v="Congo"/>
    <m/>
    <m/>
    <m/>
  </r>
  <r>
    <x v="218"/>
    <s v="Taxi: Bureau-Charden Farell(Pour le transfert d'argent)"/>
    <s v="Transport"/>
    <s v="Legal"/>
    <n v="500"/>
    <n v="0.93720185266062228"/>
    <n v="533.50300000000004"/>
    <s v="Romain"/>
    <s v="RM-S-D1"/>
    <s v="PALF"/>
    <x v="3"/>
    <s v="Congo"/>
    <m/>
    <m/>
    <m/>
  </r>
  <r>
    <x v="218"/>
    <s v="Taxi: Charden Farell-Bureau"/>
    <s v="Transport"/>
    <s v="Legal"/>
    <n v="500"/>
    <n v="0.93720185266062228"/>
    <n v="533.50300000000004"/>
    <s v="Romain"/>
    <s v="RM-S-D1"/>
    <s v="PALF"/>
    <x v="3"/>
    <s v="Congo"/>
    <m/>
    <m/>
    <m/>
  </r>
  <r>
    <x v="218"/>
    <s v="Credit telephonique MTN PALF/du 08 au 14 Septembre 2025/Romain"/>
    <s v="Telephone"/>
    <s v="Legal"/>
    <n v="7500"/>
    <n v="14.058027789909334"/>
    <n v="533.50300000000004"/>
    <s v="Romain"/>
    <s v="RM-S-R2"/>
    <s v="PALF"/>
    <x v="3"/>
    <s v="Congo"/>
    <m/>
    <m/>
    <m/>
  </r>
  <r>
    <x v="218"/>
    <s v="Frais de tansfert d'argent à Crepin"/>
    <s v="Transfert fees"/>
    <s v="Office"/>
    <n v="2000"/>
    <n v="3.7488074106424891"/>
    <n v="533.50300000000004"/>
    <s v="Romain"/>
    <s v="CA-S-R9"/>
    <s v="PALF"/>
    <x v="3"/>
    <s v="Congo"/>
    <m/>
    <m/>
    <m/>
  </r>
  <r>
    <x v="219"/>
    <s v="Maison-Bureau"/>
    <s v="Transport"/>
    <s v="Management"/>
    <n v="1000"/>
    <n v="1.8744037053212446"/>
    <n v="533.50300000000004"/>
    <s v="DOVI"/>
    <s v="DH-S-D1"/>
    <s v="PALF"/>
    <x v="3"/>
    <s v="Congo"/>
    <m/>
    <m/>
    <m/>
  </r>
  <r>
    <x v="219"/>
    <s v="Bureau-Ambassade de France"/>
    <s v="Transport"/>
    <s v="Management"/>
    <n v="1000"/>
    <n v="1.8744037053212446"/>
    <n v="533.50300000000004"/>
    <s v="DOVI"/>
    <s v="DH-S-D1"/>
    <s v="PALF"/>
    <x v="3"/>
    <s v="Congo"/>
    <m/>
    <m/>
    <m/>
  </r>
  <r>
    <x v="219"/>
    <s v="Ambassade de France - PNUD"/>
    <s v="Transport"/>
    <s v="Management"/>
    <n v="1000"/>
    <n v="1.8744037053212446"/>
    <n v="533.50300000000004"/>
    <s v="DOVI"/>
    <s v="DH-S-D1"/>
    <s v="PALF"/>
    <x v="3"/>
    <s v="Congo"/>
    <m/>
    <m/>
    <m/>
  </r>
  <r>
    <x v="219"/>
    <s v="PNUD -Bureau"/>
    <s v="Transport"/>
    <s v="Management"/>
    <n v="1000"/>
    <n v="1.8744037053212446"/>
    <n v="533.50300000000004"/>
    <s v="DOVI"/>
    <s v="DH-S-D1"/>
    <s v="PALF"/>
    <x v="3"/>
    <s v="Congo"/>
    <m/>
    <m/>
    <m/>
  </r>
  <r>
    <x v="219"/>
    <s v="Bureau-Maison"/>
    <s v="Transport"/>
    <s v="Management"/>
    <n v="1000"/>
    <n v="1.8744037053212446"/>
    <n v="533.50300000000004"/>
    <s v="DOVI"/>
    <s v="DH-S-D1"/>
    <s v="PALF"/>
    <x v="3"/>
    <s v="Congo"/>
    <m/>
    <m/>
    <m/>
  </r>
  <r>
    <x v="219"/>
    <s v="Taxi moto: Hôtel-Gendamerie"/>
    <s v="Transport"/>
    <s v="Legal"/>
    <n v="500"/>
    <n v="0.93720185266062228"/>
    <n v="533.50300000000004"/>
    <s v="Crépin"/>
    <s v="CR-S-D1"/>
    <s v="PALF"/>
    <x v="3"/>
    <s v="Congo"/>
    <m/>
    <m/>
    <m/>
  </r>
  <r>
    <x v="219"/>
    <s v="Taxi moto: Gendarmerie-Hôtel"/>
    <s v="Transport"/>
    <s v="Legal"/>
    <n v="500"/>
    <n v="0.93720185266062228"/>
    <n v="533.50300000000004"/>
    <s v="Crépin"/>
    <s v="CR-S-D1"/>
    <s v="PALF"/>
    <x v="3"/>
    <s v="Congo"/>
    <m/>
    <m/>
    <m/>
  </r>
  <r>
    <x v="219"/>
    <s v="Taxi:  Bureau-Banque BCI/ Recuperation le reçu  Appro caisse du 08/09/2025PALF"/>
    <s v="Transport"/>
    <s v="Office"/>
    <n v="1000"/>
    <n v="1.8744037053212446"/>
    <n v="533.50300000000004"/>
    <s v="Parfaite"/>
    <s v="P-S-D1"/>
    <s v="PALF"/>
    <x v="3"/>
    <s v="Congo"/>
    <m/>
    <m/>
    <m/>
  </r>
  <r>
    <x v="219"/>
    <s v="Taxi:  Banque BCI - Bureau"/>
    <s v="Transport"/>
    <s v="Office"/>
    <n v="1000"/>
    <n v="1.8744037053212446"/>
    <n v="533.50300000000004"/>
    <s v="Parfaite"/>
    <s v="P-S-D1"/>
    <s v="PALF"/>
    <x v="3"/>
    <s v="Congo"/>
    <m/>
    <m/>
    <m/>
  </r>
  <r>
    <x v="219"/>
    <s v="Achat billet dolisie-Mila mila"/>
    <s v="Transport"/>
    <s v="Investigations"/>
    <n v="5000"/>
    <n v="9.3720185266062224"/>
    <n v="533.50300000000004"/>
    <s v="P29"/>
    <s v="P29-S-R7"/>
    <s v="PALF"/>
    <x v="3"/>
    <s v="Congo"/>
    <m/>
    <m/>
    <m/>
  </r>
  <r>
    <x v="219"/>
    <s v="Achat billet Mila mila-dolisie"/>
    <s v="Transport"/>
    <s v="Investigations"/>
    <n v="5000"/>
    <n v="9.3720185266062224"/>
    <n v="533.50300000000004"/>
    <s v="P29"/>
    <s v="P29-S-R8"/>
    <s v="PALF"/>
    <x v="3"/>
    <s v="Congo"/>
    <m/>
    <m/>
    <m/>
  </r>
  <r>
    <x v="219"/>
    <s v="Taxi hotel-gare routière,départ pour mila mila"/>
    <s v="Transport"/>
    <s v="Investigations"/>
    <n v="1500"/>
    <n v="2.8116055579818666"/>
    <n v="533.50300000000004"/>
    <s v="P29"/>
    <s v="P29-S-D1"/>
    <s v="PALF"/>
    <x v="3"/>
    <s v="Congo"/>
    <m/>
    <m/>
    <m/>
  </r>
  <r>
    <x v="219"/>
    <s v="Taxi moto gare routière-marché,prospection"/>
    <s v="Transport"/>
    <s v="Investigations"/>
    <n v="500"/>
    <n v="0.93720185266062228"/>
    <n v="533.50300000000004"/>
    <s v="P29"/>
    <s v="P29-S-D1"/>
    <s v="PALF"/>
    <x v="3"/>
    <s v="Congo"/>
    <m/>
    <m/>
    <m/>
  </r>
  <r>
    <x v="219"/>
    <s v="Taxi tricycle marché-tiolo,prospection"/>
    <s v="Transport"/>
    <s v="Investigations"/>
    <n v="700"/>
    <n v="1.3120825937248712"/>
    <n v="533.50300000000004"/>
    <s v="P29"/>
    <s v="P29-S-D1"/>
    <s v="PALF"/>
    <x v="3"/>
    <s v="Congo"/>
    <m/>
    <m/>
    <m/>
  </r>
  <r>
    <x v="219"/>
    <s v="Taxi tricycle tiolo-diatabazagombe,prospection"/>
    <s v="Transport"/>
    <s v="Investigations"/>
    <n v="700"/>
    <n v="1.3120825937248712"/>
    <n v="533.50300000000004"/>
    <s v="P29"/>
    <s v="P29-S-D1"/>
    <s v="PALF"/>
    <x v="3"/>
    <s v="Congo"/>
    <m/>
    <m/>
    <m/>
  </r>
  <r>
    <x v="219"/>
    <s v="Taxi tricycle diatazabagombe-école,prospection"/>
    <s v="Transport"/>
    <s v="Investigations"/>
    <n v="700"/>
    <n v="1.3120825937248712"/>
    <n v="533.50300000000004"/>
    <s v="P29"/>
    <s v="P29-S-D1"/>
    <s v="PALF"/>
    <x v="3"/>
    <s v="Congo"/>
    <m/>
    <m/>
    <m/>
  </r>
  <r>
    <x v="219"/>
    <s v="Taxi moto ecole-gare routière"/>
    <s v="Transport"/>
    <s v="Investigations"/>
    <n v="500"/>
    <n v="0.93720185266062228"/>
    <n v="533.50300000000004"/>
    <s v="P29"/>
    <s v="P29-S-D1"/>
    <s v="PALF"/>
    <x v="3"/>
    <s v="Congo"/>
    <m/>
    <m/>
    <m/>
  </r>
  <r>
    <x v="219"/>
    <s v="Taxi gare routière-dolisie,retour à dolisie"/>
    <s v="Transport"/>
    <s v="Investigations"/>
    <n v="1500"/>
    <n v="2.8116055579818666"/>
    <n v="533.50300000000004"/>
    <s v="P29"/>
    <s v="P29-S-D1"/>
    <s v="PALF"/>
    <x v="3"/>
    <s v="Congo"/>
    <m/>
    <m/>
    <m/>
  </r>
  <r>
    <x v="219"/>
    <s v="Achat boison avec un cible"/>
    <s v="Trust Building"/>
    <s v="Investigations"/>
    <n v="2000"/>
    <n v="3.7488074106424891"/>
    <n v="533.50300000000004"/>
    <s v="P29"/>
    <s v="P29-S-D3"/>
    <s v="PALF"/>
    <x v="3"/>
    <s v="Congo"/>
    <m/>
    <m/>
    <m/>
  </r>
  <r>
    <x v="219"/>
    <s v="Taxi : hotel - lissanga (prospection à dolisie)"/>
    <s v="Transport"/>
    <s v="Investigations"/>
    <n v="1000"/>
    <n v="1.8744037053212446"/>
    <n v="533.50300000000004"/>
    <s v="T73"/>
    <s v="T73-S-D1"/>
    <s v="PALF"/>
    <x v="3"/>
    <s v="Congo"/>
    <m/>
    <m/>
    <m/>
  </r>
  <r>
    <x v="219"/>
    <s v="Taxi : hotel - lissanga (prospection à dolisie)"/>
    <s v="Transport"/>
    <s v="Investigations"/>
    <n v="1000"/>
    <n v="1.8744037053212446"/>
    <n v="533.50300000000004"/>
    <s v="T73"/>
    <s v="T73-S-D1"/>
    <s v="PALF"/>
    <x v="3"/>
    <s v="Congo"/>
    <m/>
    <m/>
    <m/>
  </r>
  <r>
    <x v="219"/>
    <s v="Taxi : lissanga - bacongo (prospection à dolisie)"/>
    <s v="Transport"/>
    <s v="Investigations"/>
    <n v="1000"/>
    <n v="1.8744037053212446"/>
    <n v="533.50300000000004"/>
    <s v="T73"/>
    <s v="T73-S-D1"/>
    <s v="PALF"/>
    <x v="3"/>
    <s v="Congo"/>
    <m/>
    <m/>
    <m/>
  </r>
  <r>
    <x v="219"/>
    <s v="Taxi : bacongo - marché (prospection à dolisie)"/>
    <s v="Transport"/>
    <s v="Investigations"/>
    <n v="1000"/>
    <n v="1.8744037053212446"/>
    <n v="533.50300000000004"/>
    <s v="T73"/>
    <s v="T73-S-D1"/>
    <s v="PALF"/>
    <x v="3"/>
    <s v="Congo"/>
    <m/>
    <m/>
    <m/>
  </r>
  <r>
    <x v="219"/>
    <s v="Taxi : marché - hotel (prospection à dolisie)"/>
    <s v="Transport"/>
    <s v="Investigations"/>
    <n v="1000"/>
    <n v="1.8744037053212446"/>
    <n v="533.50300000000004"/>
    <s v="T73"/>
    <s v="T73-S-D1"/>
    <s v="PALF"/>
    <x v="3"/>
    <s v="Congo"/>
    <m/>
    <m/>
    <m/>
  </r>
  <r>
    <x v="219"/>
    <s v="achat boison (une cible)"/>
    <s v="Trust Building"/>
    <s v="Investigations"/>
    <n v="1500"/>
    <n v="2.8116055579818666"/>
    <n v="533.50300000000004"/>
    <s v="T73"/>
    <s v="T73-S-D3"/>
    <s v="PALF"/>
    <x v="3"/>
    <s v="Congo"/>
    <m/>
    <m/>
    <m/>
  </r>
  <r>
    <x v="219"/>
    <s v="Taxi moto : Hôtel - Marché/ Prospection"/>
    <s v="Transport"/>
    <s v="Investigations"/>
    <n v="600"/>
    <n v="1.1246422231927466"/>
    <n v="533.50300000000004"/>
    <s v="IT87"/>
    <s v="IT87-S-D1"/>
    <s v="PALF"/>
    <x v="3"/>
    <s v="Congo"/>
    <m/>
    <m/>
    <m/>
  </r>
  <r>
    <x v="219"/>
    <s v="Taxi moto : Marché - Mouila/ Prospection"/>
    <s v="Transport"/>
    <s v="Investigations"/>
    <n v="500"/>
    <n v="0.93720185266062228"/>
    <n v="533.50300000000004"/>
    <s v="IT87"/>
    <s v="IT87-S-D1"/>
    <s v="PALF"/>
    <x v="3"/>
    <s v="Congo"/>
    <m/>
    <m/>
    <m/>
  </r>
  <r>
    <x v="219"/>
    <s v="Taxi moto : Mouila - Terrain gazonné/ Prospection"/>
    <s v="Transport"/>
    <s v="Investigations"/>
    <n v="500"/>
    <n v="0.93720185266062228"/>
    <n v="533.50300000000004"/>
    <s v="IT87"/>
    <s v="IT87-S-D1"/>
    <s v="PALF"/>
    <x v="3"/>
    <s v="Congo"/>
    <m/>
    <m/>
    <m/>
  </r>
  <r>
    <x v="219"/>
    <s v="Taxi moto : Terrain gazonné - Agence trans bony/ Achat billet"/>
    <s v="Transport"/>
    <s v="Investigations"/>
    <n v="600"/>
    <n v="1.1246422231927466"/>
    <n v="533.50300000000004"/>
    <s v="IT87"/>
    <s v="IT87-S-D1"/>
    <s v="PALF"/>
    <x v="3"/>
    <s v="Congo"/>
    <m/>
    <m/>
    <m/>
  </r>
  <r>
    <x v="219"/>
    <s v="Taxi moto : Agence trans bony - Hôtel/ Retour de prospection"/>
    <s v="Transport"/>
    <s v="Investigations"/>
    <n v="500"/>
    <n v="0.93720185266062228"/>
    <n v="533.50300000000004"/>
    <s v="IT87"/>
    <s v="IT87-S-D1"/>
    <s v="PALF"/>
    <x v="3"/>
    <s v="Congo"/>
    <m/>
    <m/>
    <m/>
  </r>
  <r>
    <x v="219"/>
    <s v="Taxi: Domicile-la frontière/prospection"/>
    <s v="Transport"/>
    <s v="Investigations"/>
    <n v="1000"/>
    <n v="1.8744037053212446"/>
    <n v="533.50300000000004"/>
    <s v="G12"/>
    <s v="G12-S-D1"/>
    <s v="PALF"/>
    <x v="3"/>
    <s v="Congo"/>
    <m/>
    <m/>
    <m/>
  </r>
  <r>
    <x v="219"/>
    <s v="Taxi: Frontière- Campus/ prospection"/>
    <s v="Transport"/>
    <s v="Investigations"/>
    <n v="1000"/>
    <n v="1.8744037053212446"/>
    <n v="533.50300000000004"/>
    <s v="G12"/>
    <s v="G12-S-D1"/>
    <s v="PALF"/>
    <x v="3"/>
    <s v="Congo"/>
    <m/>
    <m/>
    <m/>
  </r>
  <r>
    <x v="219"/>
    <s v="Taxi:  Campus -Domicile"/>
    <s v="Transport"/>
    <s v="Investigations"/>
    <n v="1000"/>
    <n v="1.8744037053212446"/>
    <n v="533.50300000000004"/>
    <s v="G12"/>
    <s v="G12-S-D1"/>
    <s v="PALF"/>
    <x v="3"/>
    <s v="Congo"/>
    <m/>
    <m/>
    <m/>
  </r>
  <r>
    <x v="219"/>
    <s v="Taxi moto Gendarmerie-Charden farell/ Retrait de fonds"/>
    <s v="Transport "/>
    <s v="Legal"/>
    <n v="500"/>
    <n v="0.93720185266062228"/>
    <n v="533.50300000000004"/>
    <s v="Donald-Roméo"/>
    <s v="DR-S-D1"/>
    <s v="PALF"/>
    <x v="3"/>
    <s v="Congo"/>
    <m/>
    <m/>
    <m/>
  </r>
  <r>
    <x v="219"/>
    <s v="Taxi moto Charden farell-Hôtel Mithé"/>
    <s v="Transport "/>
    <s v="Legal"/>
    <n v="500"/>
    <n v="0.93720185266062228"/>
    <n v="533.50300000000004"/>
    <s v="Donald-Roméo"/>
    <s v="DR-S-D1"/>
    <s v="PALF"/>
    <x v="3"/>
    <s v="Congo"/>
    <m/>
    <m/>
    <m/>
  </r>
  <r>
    <x v="220"/>
    <s v="Taxi moto Hôtel Mithé-Charden farell/ Retrait de fonds"/>
    <s v="Transport "/>
    <s v="Legal"/>
    <n v="500"/>
    <n v="0.93720185266062228"/>
    <n v="533.50300000000004"/>
    <s v="Donald-Roméo"/>
    <s v="DR-S-D1"/>
    <s v="PALF"/>
    <x v="3"/>
    <s v="Congo"/>
    <m/>
    <m/>
    <m/>
  </r>
  <r>
    <x v="219"/>
    <s v="Bonus opération du 25/08/2025 à Impfondo/Evariste"/>
    <s v="Bonus"/>
    <s v="Operations"/>
    <n v="30000"/>
    <n v="56.232111159637334"/>
    <n v="533.50300000000004"/>
    <s v="Evariste"/>
    <s v="CA-S-D4"/>
    <s v="PALF"/>
    <x v="3"/>
    <s v="Congo"/>
    <m/>
    <m/>
    <m/>
  </r>
  <r>
    <x v="221"/>
    <s v="Maison -Bureau"/>
    <s v="Transport"/>
    <s v="Management"/>
    <n v="1000"/>
    <n v="1.8744037053212446"/>
    <n v="533.50300000000004"/>
    <s v="DOVI"/>
    <s v="DH-S-D1"/>
    <s v="PALF"/>
    <x v="3"/>
    <s v="Congo"/>
    <m/>
    <m/>
    <m/>
  </r>
  <r>
    <x v="221"/>
    <s v="Bureau -maison"/>
    <s v="Transport"/>
    <s v="Management"/>
    <n v="1000"/>
    <n v="1.8744037053212446"/>
    <n v="533.50300000000004"/>
    <s v="DOVI"/>
    <s v="DH-S-D1"/>
    <s v="PALF"/>
    <x v="3"/>
    <s v="Congo"/>
    <m/>
    <m/>
    <m/>
  </r>
  <r>
    <x v="221"/>
    <s v="Taxi:  Bureau-Banque BCI/Accusé reception de la lettre de justificatif de fond PALF"/>
    <s v="Transport"/>
    <s v="Office"/>
    <n v="1000"/>
    <n v="1.8744037053212446"/>
    <n v="533.50300000000004"/>
    <s v="Parfaite"/>
    <s v="P-S-D1"/>
    <s v="PALF"/>
    <x v="3"/>
    <s v="Congo"/>
    <m/>
    <m/>
    <m/>
  </r>
  <r>
    <x v="221"/>
    <s v="Taxi:  Banque BCI - Bureau"/>
    <s v="Transport"/>
    <s v="Office"/>
    <n v="1000"/>
    <n v="1.8744037053212446"/>
    <n v="533.50300000000004"/>
    <s v="Parfaite"/>
    <s v="P-S-D1"/>
    <s v="PALF"/>
    <x v="3"/>
    <s v="Congo"/>
    <m/>
    <m/>
    <m/>
  </r>
  <r>
    <x v="221"/>
    <s v="Taxi hotel-mombi,prospection"/>
    <s v="Transport"/>
    <s v="Investigations"/>
    <n v="1000"/>
    <n v="1.8744037053212446"/>
    <n v="533.50300000000004"/>
    <s v="P29"/>
    <s v="P29-S-D1"/>
    <s v="PALF"/>
    <x v="3"/>
    <s v="Congo"/>
    <m/>
    <m/>
    <m/>
  </r>
  <r>
    <x v="221"/>
    <s v="Taxi mombi-capable,prospection"/>
    <s v="Transport"/>
    <s v="Investigations"/>
    <n v="1000"/>
    <n v="1.8744037053212446"/>
    <n v="533.50300000000004"/>
    <s v="P29"/>
    <s v="P29-S-D1"/>
    <s v="PALF"/>
    <x v="3"/>
    <s v="Congo"/>
    <m/>
    <m/>
    <m/>
  </r>
  <r>
    <x v="221"/>
    <s v="Taxi capable-CF,retrait des fond"/>
    <s v="Transport"/>
    <s v="Investigations"/>
    <n v="1000"/>
    <n v="1.8744037053212446"/>
    <n v="533.50300000000004"/>
    <s v="P29"/>
    <s v="P29-S-D1"/>
    <s v="PALF"/>
    <x v="3"/>
    <s v="Congo"/>
    <m/>
    <m/>
    <m/>
  </r>
  <r>
    <x v="221"/>
    <s v="Taxi CF-tsila,prospection"/>
    <s v="Transport"/>
    <s v="Investigations"/>
    <n v="1000"/>
    <n v="1.8744037053212446"/>
    <n v="533.50300000000004"/>
    <s v="P29"/>
    <s v="P29-S-D1"/>
    <s v="PALF"/>
    <x v="3"/>
    <s v="Congo"/>
    <m/>
    <m/>
    <m/>
  </r>
  <r>
    <x v="221"/>
    <s v="Taxi tsila-hotel"/>
    <s v="Transport"/>
    <s v="Investigations"/>
    <n v="1000"/>
    <n v="1.8744037053212446"/>
    <n v="533.50300000000004"/>
    <s v="P29"/>
    <s v="P29-S-D1"/>
    <s v="PALF"/>
    <x v="3"/>
    <s v="Congo"/>
    <m/>
    <m/>
    <m/>
  </r>
  <r>
    <x v="221"/>
    <s v="Achat boisson"/>
    <s v="Transport"/>
    <s v="Investigations"/>
    <n v="2000"/>
    <n v="3.7488074106424891"/>
    <n v="533.50300000000004"/>
    <s v="P29"/>
    <s v="P29-S-D1"/>
    <s v="PALF"/>
    <x v="3"/>
    <s v="Congo"/>
    <m/>
    <m/>
    <m/>
  </r>
  <r>
    <x v="221"/>
    <s v="Taxi : hotel - gare routière (prospection à dolisie)"/>
    <s v="Transport"/>
    <s v="Investigations"/>
    <n v="1000"/>
    <n v="1.8744037053212446"/>
    <n v="533.50300000000004"/>
    <s v="T73"/>
    <s v="T73-S-D1"/>
    <s v="PALF"/>
    <x v="3"/>
    <s v="Congo"/>
    <m/>
    <m/>
    <m/>
  </r>
  <r>
    <x v="221"/>
    <s v="Taxi : gare routière - zone aeroport (prospection à dolisie)"/>
    <s v="Transport"/>
    <s v="Investigations"/>
    <n v="1000"/>
    <n v="1.8744037053212446"/>
    <n v="533.50300000000004"/>
    <s v="T73"/>
    <s v="T73-S-D1"/>
    <s v="PALF"/>
    <x v="3"/>
    <s v="Congo"/>
    <m/>
    <m/>
    <m/>
  </r>
  <r>
    <x v="221"/>
    <s v="Taxi : zone aeroport - gaya (prospection à dolisie)"/>
    <s v="Transport"/>
    <s v="Investigations"/>
    <n v="1000"/>
    <n v="1.8744037053212446"/>
    <n v="533.50300000000004"/>
    <s v="T73"/>
    <s v="T73-S-D1"/>
    <s v="PALF"/>
    <x v="3"/>
    <s v="Congo"/>
    <m/>
    <m/>
    <m/>
  </r>
  <r>
    <x v="221"/>
    <s v="Taxi : gaya - charden farel (prospection à dolisie)"/>
    <s v="Transport"/>
    <s v="Investigations"/>
    <n v="1000"/>
    <n v="1.8744037053212446"/>
    <n v="533.50300000000004"/>
    <s v="T73"/>
    <s v="T73-S-D1"/>
    <s v="PALF"/>
    <x v="3"/>
    <s v="Congo"/>
    <m/>
    <m/>
    <m/>
  </r>
  <r>
    <x v="221"/>
    <s v="Taxi : charden farel - hotel (fin de journée)"/>
    <s v="Transport"/>
    <s v="Investigations"/>
    <n v="1000"/>
    <n v="1.8744037053212446"/>
    <n v="533.50300000000004"/>
    <s v="T73"/>
    <s v="T73-S-D1"/>
    <s v="PALF"/>
    <x v="3"/>
    <s v="Congo"/>
    <m/>
    <m/>
    <m/>
  </r>
  <r>
    <x v="221"/>
    <s v="Taxi : gaya - hotel (prospection à dolisie)"/>
    <s v="Transport"/>
    <s v="Investigations"/>
    <n v="1000"/>
    <n v="1.8744037053212446"/>
    <n v="533.50300000000004"/>
    <s v="T73"/>
    <s v="T73-S-D1"/>
    <s v="PALF"/>
    <x v="3"/>
    <s v="Congo"/>
    <m/>
    <m/>
    <m/>
  </r>
  <r>
    <x v="221"/>
    <s v="achat boisson"/>
    <s v="Trust Building"/>
    <s v="Investigations"/>
    <n v="2000"/>
    <n v="3.7488074106424891"/>
    <n v="533.50300000000004"/>
    <s v="T73"/>
    <s v="T73-S-D3"/>
    <s v="PALF"/>
    <x v="3"/>
    <s v="Congo"/>
    <m/>
    <m/>
    <m/>
  </r>
  <r>
    <x v="221"/>
    <s v="IT87-CONGO Frais d'hôtel  du 08 au 10/09/2024 à Bouansa (02 nuitées)"/>
    <s v="Travel Subsistence"/>
    <s v="Investigations"/>
    <n v="30000"/>
    <n v="56.232111159637334"/>
    <n v="533.50300000000004"/>
    <s v="IT87"/>
    <s v="IT87-S-R8"/>
    <s v="PALF"/>
    <x v="3"/>
    <s v="Congo"/>
    <m/>
    <m/>
    <m/>
  </r>
  <r>
    <x v="221"/>
    <s v="Taxi moto : Hôtel - Agence Trans Bony/ Départ de Bouansa pour Brazzaville"/>
    <s v="Transport"/>
    <s v="Investigations"/>
    <n v="500"/>
    <n v="0.93720185266062228"/>
    <n v="533.50300000000004"/>
    <s v="IT87"/>
    <s v="IT87-S-D1"/>
    <s v="PALF"/>
    <x v="3"/>
    <s v="Congo"/>
    <m/>
    <m/>
    <m/>
  </r>
  <r>
    <x v="221"/>
    <s v="Achat billet Bouansa - Brazzaville/ IT87"/>
    <s v="Transport"/>
    <s v="Investigations"/>
    <n v="7000"/>
    <n v="13.120825937248712"/>
    <n v="533.50300000000004"/>
    <s v="IT87"/>
    <s v="IT87-S-R8"/>
    <s v="PALF"/>
    <x v="3"/>
    <s v="Congo"/>
    <m/>
    <m/>
    <m/>
  </r>
  <r>
    <x v="221"/>
    <s v="Taxi : Agence Trans bony - Domicile/ Arrivée à Brazzaville"/>
    <s v="Transport"/>
    <s v="Investigations"/>
    <n v="2500"/>
    <n v="4.6860092633031112"/>
    <n v="533.50300000000004"/>
    <s v="IT87"/>
    <s v="IT87-S-D1"/>
    <s v="PALF"/>
    <x v="3"/>
    <s v="Congo"/>
    <m/>
    <m/>
    <m/>
  </r>
  <r>
    <x v="221"/>
    <s v="Taxi:  Domicile- Maison blanche / prospection"/>
    <s v="Transport"/>
    <s v="Investigations"/>
    <n v="1000"/>
    <n v="1.8744037053212446"/>
    <n v="533.50300000000004"/>
    <s v="G12"/>
    <s v="G12-S-D1"/>
    <s v="PALF"/>
    <x v="3"/>
    <s v="Congo"/>
    <m/>
    <m/>
    <m/>
  </r>
  <r>
    <x v="221"/>
    <s v="Taxi:   Maison blanche - Mfilou/ prospection"/>
    <s v="Transport"/>
    <s v="Investigations"/>
    <n v="1000"/>
    <n v="1.8744037053212446"/>
    <n v="533.50300000000004"/>
    <s v="G12"/>
    <s v="G12-S-D1"/>
    <s v="PALF"/>
    <x v="3"/>
    <s v="Congo"/>
    <m/>
    <m/>
    <m/>
  </r>
  <r>
    <x v="221"/>
    <s v="Taxi: Mfilou - domicile"/>
    <s v="Transport"/>
    <s v="Investigations"/>
    <n v="1000"/>
    <n v="1.8744037053212446"/>
    <n v="533.50300000000004"/>
    <s v="G12"/>
    <s v="G12-S-D1"/>
    <s v="PALF"/>
    <x v="3"/>
    <s v="Congo"/>
    <m/>
    <m/>
    <m/>
  </r>
  <r>
    <x v="221"/>
    <s v="Taxi:Bureau-Cabinet BANZOUZI pour la vérification de la disponibilité du rapport de mission"/>
    <s v="Transport"/>
    <s v="Legal"/>
    <n v="1000"/>
    <n v="1.8744037053212446"/>
    <n v="533.50300000000004"/>
    <s v="Roderlin"/>
    <s v="RO-S-D1"/>
    <s v="PALF"/>
    <x v="3"/>
    <s v="Congo"/>
    <m/>
    <m/>
    <m/>
  </r>
  <r>
    <x v="221"/>
    <s v="Taxi:Cabinet BANZOUZI-Bureau"/>
    <s v="Transport"/>
    <s v="Legal"/>
    <n v="1000"/>
    <n v="1.8744037053212446"/>
    <n v="533.50300000000004"/>
    <s v="Roderlin"/>
    <s v="RO-S-D1"/>
    <s v="PALF"/>
    <x v="3"/>
    <s v="Congo"/>
    <m/>
    <m/>
    <m/>
  </r>
  <r>
    <x v="221"/>
    <s v="Taxi: Bureau-Charden Farell"/>
    <s v="Transport"/>
    <s v="Legal"/>
    <n v="500"/>
    <n v="0.93720185266062228"/>
    <n v="533.50300000000004"/>
    <s v="Romain"/>
    <s v="RM-S-D1"/>
    <s v="PALF"/>
    <x v="3"/>
    <s v="Congo"/>
    <m/>
    <m/>
    <m/>
  </r>
  <r>
    <x v="221"/>
    <s v="Taxi: Charden Farell-Bureau"/>
    <s v="Transport"/>
    <s v="Legal"/>
    <n v="500"/>
    <n v="0.93720185266062228"/>
    <n v="533.50300000000004"/>
    <s v="Romain"/>
    <s v="RM-S-D1"/>
    <s v="PALF"/>
    <x v="3"/>
    <s v="Congo"/>
    <m/>
    <m/>
    <m/>
  </r>
  <r>
    <x v="221"/>
    <s v="Taxi: Bureau-Direction Générale de l'Economie Forestière"/>
    <s v="Transport"/>
    <s v="Legal"/>
    <n v="1000"/>
    <n v="1.8744037053212446"/>
    <n v="533.50300000000004"/>
    <s v="Romain"/>
    <s v="RM-S-D1"/>
    <s v="PALF"/>
    <x v="3"/>
    <s v="Congo"/>
    <m/>
    <m/>
    <m/>
  </r>
  <r>
    <x v="221"/>
    <s v="Taxi: Direction Générale de l'Economie Forestière-Bureau"/>
    <s v="Transport"/>
    <s v="Legal"/>
    <n v="1000"/>
    <n v="1.8744037053212446"/>
    <n v="533.50300000000004"/>
    <s v="Romain"/>
    <s v="RM-S-D1"/>
    <s v="PALF"/>
    <x v="3"/>
    <s v="Congo"/>
    <m/>
    <m/>
    <m/>
  </r>
  <r>
    <x v="221"/>
    <s v="Taxi: Bureau-Charden Farrell(pour le transfert des fonds)"/>
    <s v="Transport"/>
    <s v="Legal"/>
    <n v="500"/>
    <n v="0.93720185266062228"/>
    <n v="533.50300000000004"/>
    <s v="Romain"/>
    <s v="RM-S-D1"/>
    <s v="PALF"/>
    <x v="3"/>
    <s v="Congo"/>
    <m/>
    <m/>
    <m/>
  </r>
  <r>
    <x v="221"/>
    <s v="Taxi: Charden Farell-Bureau"/>
    <s v="Transport"/>
    <s v="Legal"/>
    <n v="500"/>
    <n v="0.93720185266062228"/>
    <n v="533.50300000000004"/>
    <s v="Romain"/>
    <s v="RM-S-D1"/>
    <s v="PALF"/>
    <x v="3"/>
    <s v="Congo"/>
    <m/>
    <m/>
    <m/>
  </r>
  <r>
    <x v="221"/>
    <s v="Frais de tansfert d'argent à Crepin, Donald-Roméo, P29"/>
    <s v="Transfert fees"/>
    <s v="Office"/>
    <n v="7860"/>
    <n v="14.732813123824982"/>
    <n v="533.50300000000004"/>
    <s v="Romain"/>
    <s v="CA-S-R10"/>
    <s v="PALF"/>
    <x v="3"/>
    <s v="Congo"/>
    <m/>
    <m/>
    <m/>
  </r>
  <r>
    <x v="220"/>
    <s v="Maison-Bureau"/>
    <s v="Transport"/>
    <s v="Management"/>
    <n v="1000"/>
    <n v="1.8744037053212446"/>
    <n v="533.50300000000004"/>
    <s v="DOVI"/>
    <s v="DH-S-D1"/>
    <s v="PALF"/>
    <x v="3"/>
    <s v="Congo"/>
    <m/>
    <m/>
    <m/>
  </r>
  <r>
    <x v="220"/>
    <s v="Bureau -Maison"/>
    <s v="Transport"/>
    <s v="Management"/>
    <n v="1000"/>
    <n v="1.8744037053212446"/>
    <n v="533.50300000000004"/>
    <s v="DOVI"/>
    <s v="DH-S-D1"/>
    <s v="PALF"/>
    <x v="3"/>
    <s v="Congo"/>
    <m/>
    <m/>
    <m/>
  </r>
  <r>
    <x v="220"/>
    <s v="Taxi moto: Hôtel-Agence Océan pour les formalités"/>
    <s v="Transport"/>
    <s v="Legal"/>
    <n v="500"/>
    <n v="0.93720185266062228"/>
    <n v="533.50300000000004"/>
    <s v="Crépin"/>
    <s v="CR-S-D1"/>
    <s v="PALF"/>
    <x v="3"/>
    <s v="Congo"/>
    <m/>
    <m/>
    <m/>
  </r>
  <r>
    <x v="220"/>
    <s v="Taxi moto: Agence Océan-Hôtel"/>
    <s v="Transport"/>
    <s v="Legal"/>
    <n v="500"/>
    <n v="0.93720185266062228"/>
    <n v="533.50300000000004"/>
    <s v="Crépin"/>
    <s v="CR-S-D1"/>
    <s v="PALF"/>
    <x v="3"/>
    <s v="Congo"/>
    <m/>
    <m/>
    <m/>
  </r>
  <r>
    <x v="220"/>
    <s v="Taxi hotel-cf marché,pas de fonds disponible"/>
    <s v="Transport"/>
    <s v="Investigations"/>
    <n v="1000"/>
    <n v="1.8744037053212446"/>
    <n v="533.50300000000004"/>
    <s v="P29"/>
    <s v="P29-S-D1"/>
    <s v="PALF"/>
    <x v="3"/>
    <s v="Congo"/>
    <m/>
    <m/>
    <m/>
  </r>
  <r>
    <x v="220"/>
    <s v="Taxi cf marché-cf cv,retrait des fonds"/>
    <s v="Transport"/>
    <s v="Investigations"/>
    <n v="1000"/>
    <n v="1.8744037053212446"/>
    <n v="533.50300000000004"/>
    <s v="P29"/>
    <s v="P29-S-D1"/>
    <s v="PALF"/>
    <x v="3"/>
    <s v="Congo"/>
    <m/>
    <m/>
    <m/>
  </r>
  <r>
    <x v="220"/>
    <s v="Taxi cf -sab,reperage"/>
    <s v="Transport"/>
    <s v="Investigations"/>
    <n v="1000"/>
    <n v="1.8744037053212446"/>
    <n v="533.50300000000004"/>
    <s v="P29"/>
    <s v="P29-S-D1"/>
    <s v="PALF"/>
    <x v="3"/>
    <s v="Congo"/>
    <m/>
    <m/>
    <m/>
  </r>
  <r>
    <x v="220"/>
    <s v="Taxi sab-ecole du marché,prperage"/>
    <s v="Transport"/>
    <s v="Investigations"/>
    <n v="1000"/>
    <n v="1.8744037053212446"/>
    <n v="533.50300000000004"/>
    <s v="P29"/>
    <s v="P29-S-D1"/>
    <s v="PALF"/>
    <x v="3"/>
    <s v="Congo"/>
    <m/>
    <m/>
    <m/>
  </r>
  <r>
    <x v="220"/>
    <s v="Taxi ecole du marché-aeroport,reperage"/>
    <s v="Transport"/>
    <s v="Investigations"/>
    <n v="1000"/>
    <n v="1.8744037053212446"/>
    <n v="533.50300000000004"/>
    <s v="P29"/>
    <s v="P29-S-D1"/>
    <s v="PALF"/>
    <x v="3"/>
    <s v="Congo"/>
    <m/>
    <m/>
    <m/>
  </r>
  <r>
    <x v="220"/>
    <s v="Taxi aeroprt-capable,reperage"/>
    <s v="Transport"/>
    <s v="Investigations"/>
    <n v="1000"/>
    <n v="1.8744037053212446"/>
    <n v="533.50300000000004"/>
    <s v="P29"/>
    <s v="P29-S-D1"/>
    <s v="PALF"/>
    <x v="3"/>
    <s v="Congo"/>
    <m/>
    <m/>
    <m/>
  </r>
  <r>
    <x v="220"/>
    <s v="Taxi capable-hotel"/>
    <s v="Transport"/>
    <s v="Investigations"/>
    <n v="1000"/>
    <n v="1.8744037053212446"/>
    <n v="533.50300000000004"/>
    <s v="P29"/>
    <s v="P29-S-D1"/>
    <s v="PALF"/>
    <x v="3"/>
    <s v="Congo"/>
    <m/>
    <m/>
    <m/>
  </r>
  <r>
    <x v="220"/>
    <s v="Taxi : hotel - petit zanaga ( rendez - vous avec la cible)"/>
    <s v="Transport"/>
    <s v="Investigations"/>
    <n v="1000"/>
    <n v="1.8744037053212446"/>
    <n v="533.50300000000004"/>
    <s v="T73"/>
    <s v="T73-S-D1"/>
    <s v="PALF"/>
    <x v="3"/>
    <s v="Congo"/>
    <m/>
    <m/>
    <m/>
  </r>
  <r>
    <x v="220"/>
    <s v="Taxi : petit zanaga - centre ville ( rendez - vous avec la cible)"/>
    <s v="Transport"/>
    <s v="Investigations"/>
    <n v="1000"/>
    <n v="1.8744037053212446"/>
    <n v="533.50300000000004"/>
    <s v="T73"/>
    <s v="T73-S-D1"/>
    <s v="PALF"/>
    <x v="3"/>
    <s v="Congo"/>
    <m/>
    <m/>
    <m/>
  </r>
  <r>
    <x v="220"/>
    <s v="Taxi : centre ville - marché (extraction)"/>
    <s v="Transport"/>
    <s v="Investigations"/>
    <n v="1000"/>
    <n v="1.8744037053212446"/>
    <n v="533.50300000000004"/>
    <s v="T73"/>
    <s v="T73-S-D1"/>
    <s v="PALF"/>
    <x v="3"/>
    <s v="Congo"/>
    <m/>
    <m/>
    <m/>
  </r>
  <r>
    <x v="220"/>
    <s v="Taxi : marché - zone hopital (extraction)"/>
    <s v="Transport"/>
    <s v="Investigations"/>
    <n v="1000"/>
    <n v="1.8744037053212446"/>
    <n v="533.50300000000004"/>
    <s v="T73"/>
    <s v="T73-S-D1"/>
    <s v="PALF"/>
    <x v="3"/>
    <s v="Congo"/>
    <m/>
    <m/>
    <m/>
  </r>
  <r>
    <x v="220"/>
    <s v="Taxi : zone hopital - zone stade  (extraction)"/>
    <s v="Transport"/>
    <s v="Investigations"/>
    <n v="1000"/>
    <n v="1.8744037053212446"/>
    <n v="533.50300000000004"/>
    <s v="T73"/>
    <s v="T73-S-D1"/>
    <s v="PALF"/>
    <x v="3"/>
    <s v="Congo"/>
    <m/>
    <m/>
    <m/>
  </r>
  <r>
    <x v="220"/>
    <s v="Taxi : zone stade - charden farrel (recuperer fond)"/>
    <s v="Transport"/>
    <s v="Investigations"/>
    <n v="1000"/>
    <n v="1.8744037053212446"/>
    <n v="533.50300000000004"/>
    <s v="T73"/>
    <s v="T73-S-D1"/>
    <s v="PALF"/>
    <x v="3"/>
    <s v="Congo"/>
    <m/>
    <m/>
    <m/>
  </r>
  <r>
    <x v="220"/>
    <s v="Taxi : charden farrel - hotel (fin de journée)"/>
    <s v="Transport"/>
    <s v="Investigations"/>
    <n v="1000"/>
    <n v="1.8744037053212446"/>
    <n v="533.50300000000004"/>
    <s v="T73"/>
    <s v="T73-S-D1"/>
    <s v="PALF"/>
    <x v="3"/>
    <s v="Congo"/>
    <m/>
    <m/>
    <m/>
  </r>
  <r>
    <x v="220"/>
    <s v="Taxi : zone stade -hotel  (extraction)"/>
    <s v="Transport"/>
    <s v="Investigations"/>
    <n v="1000"/>
    <n v="1.8744037053212446"/>
    <n v="533.50300000000004"/>
    <s v="T73"/>
    <s v="T73-S-D1"/>
    <s v="PALF"/>
    <x v="3"/>
    <s v="Congo"/>
    <m/>
    <m/>
    <m/>
  </r>
  <r>
    <x v="220"/>
    <s v="achat boissons et nourriture ( une cible)"/>
    <s v="Trust Building"/>
    <s v="Investigations"/>
    <n v="10500"/>
    <n v="19.681238905873066"/>
    <n v="533.50300000000004"/>
    <s v="T73"/>
    <s v="T73-S-D3"/>
    <s v="PALF"/>
    <x v="3"/>
    <s v="Congo"/>
    <m/>
    <m/>
    <m/>
  </r>
  <r>
    <x v="220"/>
    <s v="Taxi:Bureau-Cabinet BANZOUZI pour le rétrait du rapport de mission"/>
    <s v="Transport"/>
    <s v="Legal"/>
    <n v="1000"/>
    <n v="1.8744037053212446"/>
    <n v="533.50300000000004"/>
    <s v="Roderlin"/>
    <s v="RO-S-D1"/>
    <s v="PALF"/>
    <x v="3"/>
    <s v="Congo"/>
    <m/>
    <m/>
    <m/>
  </r>
  <r>
    <x v="220"/>
    <s v="Taxi:Cabinet BANZOUZI-Bureau"/>
    <s v="Transport"/>
    <s v="Legal"/>
    <n v="1000"/>
    <n v="1.8744037053212446"/>
    <n v="533.50300000000004"/>
    <s v="Roderlin"/>
    <s v="RO-S-D1"/>
    <s v="PALF"/>
    <x v="3"/>
    <s v="Congo"/>
    <m/>
    <m/>
    <m/>
  </r>
  <r>
    <x v="220"/>
    <s v="Taxi moto Charden farell-Agence Océan du Nord/ Regulariser les billets"/>
    <s v="Transport "/>
    <s v="Legal"/>
    <n v="500"/>
    <n v="0.93720185266062228"/>
    <n v="533.50300000000004"/>
    <s v="Donald-Roméo"/>
    <s v="DR-S-D1"/>
    <s v="PALF"/>
    <x v="3"/>
    <s v="Congo"/>
    <m/>
    <m/>
    <m/>
  </r>
  <r>
    <x v="220"/>
    <s v="Taxi moto Agence Océan du Nord-Hôtel Mithé"/>
    <s v="Transport "/>
    <s v="Legal"/>
    <n v="500"/>
    <n v="0.93720185266062228"/>
    <n v="533.50300000000004"/>
    <s v="Donald-Roméo"/>
    <s v="DR-S-D1"/>
    <s v="PALF"/>
    <x v="3"/>
    <s v="Congo"/>
    <m/>
    <m/>
    <m/>
  </r>
  <r>
    <x v="220"/>
    <s v="Taxi moto Hôtel Mithé Océan du Nord/ Formalités"/>
    <s v="Transport "/>
    <s v="Legal"/>
    <n v="500"/>
    <n v="0.93720185266062228"/>
    <n v="533.50300000000004"/>
    <s v="Donald-Roméo"/>
    <s v="DR-S-D1"/>
    <s v="PALF"/>
    <x v="3"/>
    <s v="Congo"/>
    <m/>
    <m/>
    <m/>
  </r>
  <r>
    <x v="220"/>
    <s v="Taxi moto Agence Océan du Nord-Hôtel Mithé"/>
    <s v="Transport "/>
    <s v="Legal"/>
    <n v="500"/>
    <n v="0.93720185266062228"/>
    <n v="533.50300000000004"/>
    <s v="Donald-Roméo"/>
    <s v="DR-S-D1"/>
    <s v="PALF"/>
    <x v="3"/>
    <s v="Congo"/>
    <m/>
    <m/>
    <m/>
  </r>
  <r>
    <x v="222"/>
    <s v="Achat billet Imfondo-Brazzaville/ Donald-Roméo"/>
    <s v="Transport "/>
    <s v="Legal"/>
    <n v="37000"/>
    <n v="65.960473631854981"/>
    <n v="560.94200000000001"/>
    <s v="Donald-Roméo"/>
    <s v="DR-S-R2"/>
    <s v="PALF"/>
    <x v="5"/>
    <s v="Congo"/>
    <m/>
    <m/>
    <m/>
  </r>
  <r>
    <x v="220"/>
    <s v="Taxi: Bureau-Charden Farrell(pour le transfert des fonds)"/>
    <s v="Transport"/>
    <s v="Legal"/>
    <n v="500"/>
    <n v="0.93720185266062228"/>
    <n v="533.50300000000004"/>
    <s v="Romain"/>
    <s v="RM-S-D1"/>
    <s v="PALF"/>
    <x v="3"/>
    <s v="Congo"/>
    <m/>
    <m/>
    <m/>
  </r>
  <r>
    <x v="220"/>
    <s v="Taxi: Charden Farell-Bureau"/>
    <s v="Transport"/>
    <s v="Legal"/>
    <n v="500"/>
    <n v="0.93720185266062228"/>
    <n v="533.50300000000004"/>
    <s v="Romain"/>
    <s v="RM-S-D1"/>
    <s v="PALF"/>
    <x v="3"/>
    <s v="Congo"/>
    <m/>
    <m/>
    <m/>
  </r>
  <r>
    <x v="220"/>
    <s v="Frais de tansfert d'argent à T73 et P29"/>
    <s v="Transfert fees"/>
    <s v="Office"/>
    <n v="7200"/>
    <n v="13.49570667831296"/>
    <n v="533.50300000000004"/>
    <s v="Romain"/>
    <s v="CA-S-R11"/>
    <s v="PALF"/>
    <x v="3"/>
    <s v="Congo"/>
    <m/>
    <m/>
    <m/>
  </r>
  <r>
    <x v="222"/>
    <s v="Maison-Bureau"/>
    <s v="Transport"/>
    <s v="Management"/>
    <n v="1000"/>
    <n v="1.8744037053212446"/>
    <n v="533.50300000000004"/>
    <s v="DOVI"/>
    <s v="DH-S-D1"/>
    <s v="PALF"/>
    <x v="3"/>
    <s v="Congo"/>
    <m/>
    <m/>
    <m/>
  </r>
  <r>
    <x v="222"/>
    <s v="Parc Zoologique - Bureau"/>
    <s v="Transport"/>
    <s v="Management"/>
    <n v="1000"/>
    <n v="1.8744037053212446"/>
    <n v="533.50300000000004"/>
    <s v="DOVI"/>
    <s v="DH-S-D1"/>
    <s v="PALF"/>
    <x v="3"/>
    <s v="Congo"/>
    <m/>
    <m/>
    <m/>
  </r>
  <r>
    <x v="222"/>
    <s v="Bureau-Maison"/>
    <s v="Transport"/>
    <s v="Management"/>
    <n v="1000"/>
    <n v="1.8744037053212446"/>
    <n v="533.50300000000004"/>
    <s v="DOVI"/>
    <s v="DH-S-D1"/>
    <s v="PALF"/>
    <x v="3"/>
    <s v="Congo"/>
    <m/>
    <m/>
    <m/>
  </r>
  <r>
    <x v="222"/>
    <s v="CREPIN-CONGO Frais d'hôtel Crépin  du 25/08/ au 12/09/2025à Impfondo (18 Nuitées)"/>
    <s v="Travel Subsistence"/>
    <s v="Legal"/>
    <n v="270000"/>
    <n v="506.089000436736"/>
    <n v="533.50300000000004"/>
    <s v="Crépin"/>
    <s v="CR-S-R6"/>
    <s v="PALF"/>
    <x v="3"/>
    <s v="Congo"/>
    <m/>
    <m/>
    <m/>
  </r>
  <r>
    <x v="222"/>
    <s v="Taxi moto: Hôtel-Agence Océan du Nord"/>
    <s v="Transport"/>
    <s v="Legal"/>
    <n v="500"/>
    <n v="0.93720185266062228"/>
    <n v="533.50300000000004"/>
    <s v="Crépin"/>
    <s v="CR-S-D1"/>
    <s v="PALF"/>
    <x v="3"/>
    <s v="Congo"/>
    <m/>
    <m/>
    <m/>
  </r>
  <r>
    <x v="222"/>
    <s v="Achat Billet Impfondo-Brazzaville/ CREPIN"/>
    <s v="Transport"/>
    <s v="Legal"/>
    <n v="37000"/>
    <n v="69.352937096886052"/>
    <n v="533.50300000000004"/>
    <s v="Crépin"/>
    <s v="CR-S-R7"/>
    <s v="PALF"/>
    <x v="3"/>
    <s v="Congo"/>
    <m/>
    <m/>
    <m/>
  </r>
  <r>
    <x v="222"/>
    <s v="Taxi hotel-mboukou,reperage"/>
    <s v="Transport"/>
    <s v="Investigations"/>
    <n v="1000"/>
    <n v="1.8744037053212446"/>
    <n v="533.50300000000004"/>
    <s v="P29"/>
    <s v="P29-S-D1"/>
    <s v="PALF"/>
    <x v="3"/>
    <s v="Congo"/>
    <m/>
    <m/>
    <m/>
  </r>
  <r>
    <x v="222"/>
    <s v="Taxi mboukou-tsila,reperage"/>
    <s v="Transport"/>
    <s v="Investigations"/>
    <n v="1500"/>
    <n v="2.8116055579818666"/>
    <n v="533.50300000000004"/>
    <s v="P29"/>
    <s v="P29-S-D1"/>
    <s v="PALF"/>
    <x v="3"/>
    <s v="Congo"/>
    <m/>
    <m/>
    <m/>
  </r>
  <r>
    <x v="222"/>
    <s v="Taxi tsila-mont fleury,reperage"/>
    <s v="Transport"/>
    <s v="Investigations"/>
    <n v="1000"/>
    <n v="1.8744037053212446"/>
    <n v="533.50300000000004"/>
    <s v="P29"/>
    <s v="P29-S-D1"/>
    <s v="PALF"/>
    <x v="3"/>
    <s v="Congo"/>
    <m/>
    <m/>
    <m/>
  </r>
  <r>
    <x v="222"/>
    <s v="Taxi mont fleury-gaia,reperage"/>
    <s v="Transport"/>
    <s v="Investigations"/>
    <n v="1000"/>
    <n v="1.8744037053212446"/>
    <n v="533.50300000000004"/>
    <s v="P29"/>
    <s v="P29-S-D1"/>
    <s v="PALF"/>
    <x v="3"/>
    <s v="Congo"/>
    <m/>
    <m/>
    <m/>
  </r>
  <r>
    <x v="222"/>
    <s v="Taxi gaia-la frontière,reperage"/>
    <s v="Transport"/>
    <s v="Investigations"/>
    <n v="1000"/>
    <n v="1.8744037053212446"/>
    <n v="533.50300000000004"/>
    <s v="P29"/>
    <s v="P29-S-D1"/>
    <s v="PALF"/>
    <x v="3"/>
    <s v="Congo"/>
    <m/>
    <m/>
    <m/>
  </r>
  <r>
    <x v="222"/>
    <s v="Taxi la frontière-hotel"/>
    <s v="Transport"/>
    <s v="Investigations"/>
    <n v="1000"/>
    <n v="1.8744037053212446"/>
    <n v="533.50300000000004"/>
    <s v="P29"/>
    <s v="P29-S-D1"/>
    <s v="PALF"/>
    <x v="3"/>
    <s v="Congo"/>
    <m/>
    <m/>
    <m/>
  </r>
  <r>
    <x v="222"/>
    <s v="Taxi : hotel - centre ville (repérage lieu OP)"/>
    <s v="Transport"/>
    <s v="Investigations"/>
    <n v="1000"/>
    <n v="1.8744037053212446"/>
    <n v="533.50300000000004"/>
    <s v="T73"/>
    <s v="T73-S-D1"/>
    <s v="PALF"/>
    <x v="3"/>
    <s v="Congo"/>
    <m/>
    <m/>
    <m/>
  </r>
  <r>
    <x v="222"/>
    <s v="Taxi : centre ville - gaya (repérage lieu OP)"/>
    <s v="Transport"/>
    <s v="Investigations"/>
    <n v="1000"/>
    <n v="1.8744037053212446"/>
    <n v="533.50300000000004"/>
    <s v="T73"/>
    <s v="T73-S-D1"/>
    <s v="PALF"/>
    <x v="3"/>
    <s v="Congo"/>
    <m/>
    <m/>
    <m/>
  </r>
  <r>
    <x v="222"/>
    <s v="Taxi : gaya - tsila (repérage lieu OP)"/>
    <s v="Transport"/>
    <s v="Investigations"/>
    <n v="1000"/>
    <n v="1.8744037053212446"/>
    <n v="533.50300000000004"/>
    <s v="T73"/>
    <s v="T73-S-D1"/>
    <s v="PALF"/>
    <x v="3"/>
    <s v="Congo"/>
    <m/>
    <m/>
    <m/>
  </r>
  <r>
    <x v="222"/>
    <s v="Taxi : tsila - hotel (repérage lieu OP)"/>
    <s v="Transport"/>
    <s v="Investigations"/>
    <n v="1000"/>
    <n v="1.8744037053212446"/>
    <n v="533.50300000000004"/>
    <s v="T73"/>
    <s v="T73-S-D1"/>
    <s v="PALF"/>
    <x v="3"/>
    <s v="Congo"/>
    <m/>
    <m/>
    <m/>
  </r>
  <r>
    <x v="222"/>
    <s v="Taxi:Bureau-Agence énergie électrique du Congo"/>
    <s v="Transport"/>
    <s v="Legal"/>
    <n v="1000"/>
    <n v="1.8744037053212446"/>
    <n v="533.50300000000004"/>
    <s v="Roderlin"/>
    <s v="RO-S-D1"/>
    <s v="PALF"/>
    <x v="3"/>
    <s v="Congo"/>
    <m/>
    <m/>
    <m/>
  </r>
  <r>
    <x v="222"/>
    <s v="Taxi:Agence énergie électrique du Congo-Bureau"/>
    <s v="Transport"/>
    <s v="Legal"/>
    <n v="1000"/>
    <n v="1.8744037053212446"/>
    <n v="533.50300000000004"/>
    <s v="Roderlin"/>
    <s v="RO-S-D1"/>
    <s v="PALF"/>
    <x v="3"/>
    <s v="Congo"/>
    <m/>
    <m/>
    <m/>
  </r>
  <r>
    <x v="222"/>
    <s v="Réglement facture électricité periode Juillet-Aôut 2025/bureau PALF"/>
    <s v="Rent &amp; Utilities"/>
    <s v="Office"/>
    <n v="55270"/>
    <n v="103.59829279310519"/>
    <n v="533.50300000000004"/>
    <s v="Roderlin"/>
    <s v="CA-S-R12"/>
    <s v="PALF"/>
    <x v="3"/>
    <s v="Congo"/>
    <m/>
    <m/>
    <m/>
  </r>
  <r>
    <x v="222"/>
    <s v="Donald-Roméo CONGO Frais d'hôtel/  27 Nuitées du 16/08 au 12/09/2025 à Impfondo (Hôtel  Mithé)"/>
    <s v="Travel Subsistence"/>
    <s v="Legal"/>
    <n v="405000"/>
    <n v="759.13350065510406"/>
    <n v="533.50300000000004"/>
    <s v="Donald-Roméo"/>
    <s v="DR-S-R4"/>
    <s v="PALF"/>
    <x v="3"/>
    <s v="Congo"/>
    <m/>
    <m/>
    <m/>
  </r>
  <r>
    <x v="222"/>
    <s v="Taxi moto Hôtel Mithé-Agence océan du Nord/ Pour Brazzaville"/>
    <s v="Transport "/>
    <s v="Legal"/>
    <n v="500"/>
    <n v="0.93720185266062228"/>
    <n v="533.50300000000004"/>
    <s v="Donald-Roméo"/>
    <s v="DR-S-D1"/>
    <s v="PALF"/>
    <x v="3"/>
    <s v="Congo"/>
    <m/>
    <m/>
    <m/>
  </r>
  <r>
    <x v="222"/>
    <s v="Taxi moto agence océan du Nord- Hôtel Paulina/ A Enyellé"/>
    <s v="Transport "/>
    <s v="Legal"/>
    <n v="500"/>
    <n v="0.93720185266062228"/>
    <n v="533.50300000000004"/>
    <s v="Donald-Roméo"/>
    <s v="DR-S-D1"/>
    <s v="PALF"/>
    <x v="3"/>
    <s v="Congo"/>
    <m/>
    <m/>
    <m/>
  </r>
  <r>
    <x v="223"/>
    <s v="CREPIN-CONGO Frais d'hôtel   du 12 au 13/09/2025 à Enyellé ( 01 Nuitée)"/>
    <s v="Travel Subsistence"/>
    <s v="Legal"/>
    <n v="15000"/>
    <n v="28.116055579818667"/>
    <n v="533.50300000000004"/>
    <s v="Crépin"/>
    <s v="CR-S-R8"/>
    <s v="PALF"/>
    <x v="3"/>
    <s v="Congo"/>
    <m/>
    <m/>
    <m/>
  </r>
  <r>
    <x v="223"/>
    <s v="Taxi hotel -hotel pola,détails sur reperage lieu op"/>
    <s v="Transport"/>
    <s v="Investigations"/>
    <n v="1000"/>
    <n v="1.8744037053212446"/>
    <n v="533.50300000000004"/>
    <s v="P29"/>
    <s v="P29-S-D1"/>
    <s v="PALF"/>
    <x v="3"/>
    <s v="Congo"/>
    <m/>
    <m/>
    <m/>
  </r>
  <r>
    <x v="223"/>
    <s v="Taxi hotel pola-hotel"/>
    <s v="Transport"/>
    <s v="Investigations"/>
    <n v="1000"/>
    <n v="1.8744037053212446"/>
    <n v="533.50300000000004"/>
    <s v="P29"/>
    <s v="P29-S-D1"/>
    <s v="PALF"/>
    <x v="3"/>
    <s v="Congo"/>
    <m/>
    <m/>
    <m/>
  </r>
  <r>
    <x v="223"/>
    <s v="Taxi hotel -hotel pola,détails sur reperage lieu op"/>
    <s v="Transport"/>
    <s v="Investigations"/>
    <n v="1000"/>
    <n v="1.8744037053212446"/>
    <n v="533.50300000000004"/>
    <s v="P29"/>
    <s v="P29-S-D1"/>
    <s v="PALF"/>
    <x v="3"/>
    <s v="Congo"/>
    <m/>
    <m/>
    <m/>
  </r>
  <r>
    <x v="223"/>
    <s v="Taxi hotel pola-hotel"/>
    <s v="Transport"/>
    <s v="Investigations"/>
    <n v="1000"/>
    <n v="1.8744037053212446"/>
    <n v="533.50300000000004"/>
    <s v="P29"/>
    <s v="P29-S-D1"/>
    <s v="PALF"/>
    <x v="3"/>
    <s v="Congo"/>
    <m/>
    <m/>
    <m/>
  </r>
  <r>
    <x v="223"/>
    <s v="Taxi : hotel pharaon - hotel de P29"/>
    <s v="Transport"/>
    <s v="Investigations"/>
    <n v="1000"/>
    <n v="1.8744037053212446"/>
    <n v="533.50300000000004"/>
    <s v="T73"/>
    <s v="T73-S-D1"/>
    <s v="PALF"/>
    <x v="3"/>
    <s v="Congo"/>
    <m/>
    <m/>
    <m/>
  </r>
  <r>
    <x v="223"/>
    <s v="Taxi : hotel de P29 - hotel pharaon"/>
    <s v="Transport"/>
    <s v="Investigations"/>
    <n v="1000"/>
    <n v="1.8744037053212446"/>
    <n v="533.50300000000004"/>
    <s v="T73"/>
    <s v="T73-S-D1"/>
    <s v="PALF"/>
    <x v="3"/>
    <s v="Congo"/>
    <m/>
    <m/>
    <m/>
  </r>
  <r>
    <x v="223"/>
    <s v="Donald-Roméo CONGO Frais d'hôtel/  01 Nuitée du 12 au 13/09/2025 à Enyellé (Hôtel  Paulina)"/>
    <s v="Travel Subsistence"/>
    <s v="Legal"/>
    <n v="15000"/>
    <n v="28.116055579818667"/>
    <n v="533.50300000000004"/>
    <s v="Donald-Roméo"/>
    <s v="DR-S-R5"/>
    <s v="PALF"/>
    <x v="3"/>
    <s v="Congo"/>
    <m/>
    <m/>
    <m/>
  </r>
  <r>
    <x v="223"/>
    <s v="Taxi moto  Hôtel Paulina-agence océan du Nord"/>
    <s v="Transport "/>
    <s v="Legal"/>
    <n v="500"/>
    <n v="0.93720185266062228"/>
    <n v="533.50300000000004"/>
    <s v="Donald-Roméo"/>
    <s v="DR-S-D1"/>
    <s v="PALF"/>
    <x v="3"/>
    <s v="Congo"/>
    <m/>
    <m/>
    <m/>
  </r>
  <r>
    <x v="223"/>
    <s v="Taxi moto agence océan du Nord-Hôtel Baobab"/>
    <s v="Transport "/>
    <s v="Legal"/>
    <n v="500"/>
    <n v="0.93720185266062228"/>
    <n v="533.50300000000004"/>
    <s v="Donald-Roméo"/>
    <s v="DR-S-D1"/>
    <s v="PALF"/>
    <x v="3"/>
    <s v="Congo"/>
    <m/>
    <m/>
    <m/>
  </r>
  <r>
    <x v="224"/>
    <s v="CREPIN-CONGO Frais d'hôtel  du 13 au 14/09/2025 à Gamboma (01 Nuitée)"/>
    <s v="Travel Subsistence"/>
    <s v="Legal"/>
    <n v="15000"/>
    <n v="28.116055579818667"/>
    <n v="533.50300000000004"/>
    <s v="Crépin"/>
    <s v="CR-S-R9"/>
    <s v="PALF"/>
    <x v="3"/>
    <s v="Congo"/>
    <m/>
    <m/>
    <m/>
  </r>
  <r>
    <x v="224"/>
    <s v="Taxi: Agence Océan de Talangai liberté-Camp militaire Mfilou"/>
    <s v="Transport"/>
    <s v="Legal"/>
    <n v="3500"/>
    <n v="6.5604129686243562"/>
    <n v="533.50300000000004"/>
    <s v="Crépin"/>
    <s v="CR-S-D1"/>
    <s v="PALF"/>
    <x v="3"/>
    <s v="Congo"/>
    <m/>
    <m/>
    <m/>
  </r>
  <r>
    <x v="224"/>
    <s v="Taxi hotel -hotel pola,détails sur reperage lieu op"/>
    <s v="Transport"/>
    <s v="Investigations"/>
    <n v="1000"/>
    <n v="1.8744037053212446"/>
    <n v="533.50300000000004"/>
    <s v="P29"/>
    <s v="P29-S-D1"/>
    <s v="PALF"/>
    <x v="3"/>
    <s v="Congo"/>
    <m/>
    <m/>
    <m/>
  </r>
  <r>
    <x v="224"/>
    <s v="Taxi hotel pola-hotel"/>
    <s v="Transport"/>
    <s v="Investigations"/>
    <n v="1000"/>
    <n v="1.8744037053212446"/>
    <n v="533.50300000000004"/>
    <s v="P29"/>
    <s v="P29-S-D1"/>
    <s v="PALF"/>
    <x v="3"/>
    <s v="Congo"/>
    <m/>
    <m/>
    <m/>
  </r>
  <r>
    <x v="224"/>
    <s v="Taxi hotel -hotel pola,détails sur reperage lieu op"/>
    <s v="Transport"/>
    <s v="Investigations"/>
    <n v="1000"/>
    <n v="1.8744037053212446"/>
    <n v="533.50300000000004"/>
    <s v="P29"/>
    <s v="P29-S-D1"/>
    <s v="PALF"/>
    <x v="3"/>
    <s v="Congo"/>
    <m/>
    <m/>
    <m/>
  </r>
  <r>
    <x v="224"/>
    <s v="Taxi hotel pola-hotel"/>
    <s v="Transport"/>
    <s v="Investigations"/>
    <n v="1000"/>
    <n v="1.8744037053212446"/>
    <n v="533.50300000000004"/>
    <s v="P29"/>
    <s v="P29-S-D1"/>
    <s v="PALF"/>
    <x v="3"/>
    <s v="Congo"/>
    <m/>
    <m/>
    <m/>
  </r>
  <r>
    <x v="224"/>
    <s v="Taxi : hotel pharaon - mont fleury ( reperage)"/>
    <s v="Transport"/>
    <s v="Investigations"/>
    <n v="1000"/>
    <n v="1.8744037053212446"/>
    <n v="533.50300000000004"/>
    <s v="T73"/>
    <s v="T73-S-D1"/>
    <s v="PALF"/>
    <x v="3"/>
    <s v="Congo"/>
    <m/>
    <m/>
    <m/>
  </r>
  <r>
    <x v="224"/>
    <s v="Taxi : mont fleury - bas fleury ( reperage)"/>
    <s v="Transport"/>
    <s v="Investigations"/>
    <n v="1000"/>
    <n v="1.8744037053212446"/>
    <n v="533.50300000000004"/>
    <s v="T73"/>
    <s v="T73-S-D1"/>
    <s v="PALF"/>
    <x v="3"/>
    <s v="Congo"/>
    <m/>
    <m/>
    <m/>
  </r>
  <r>
    <x v="224"/>
    <s v="Taxi : bas fleury - centre ville ( reperage)"/>
    <s v="Transport"/>
    <s v="Investigations"/>
    <n v="1000"/>
    <n v="1.8744037053212446"/>
    <n v="533.50300000000004"/>
    <s v="T73"/>
    <s v="T73-S-D1"/>
    <s v="PALF"/>
    <x v="3"/>
    <s v="Congo"/>
    <m/>
    <m/>
    <m/>
  </r>
  <r>
    <x v="224"/>
    <s v="Taxi : centre ville - zone charden farel ( reperage)"/>
    <s v="Transport"/>
    <s v="Investigations"/>
    <n v="1000"/>
    <n v="1.8744037053212446"/>
    <n v="533.50300000000004"/>
    <s v="T73"/>
    <s v="T73-S-D1"/>
    <s v="PALF"/>
    <x v="3"/>
    <s v="Congo"/>
    <m/>
    <m/>
    <m/>
  </r>
  <r>
    <x v="224"/>
    <s v="Taxi : zone charden farel - tsila ( reperage)"/>
    <s v="Transport"/>
    <s v="Investigations"/>
    <n v="1000"/>
    <n v="1.8744037053212446"/>
    <n v="533.50300000000004"/>
    <s v="T73"/>
    <s v="T73-S-D1"/>
    <s v="PALF"/>
    <x v="3"/>
    <s v="Congo"/>
    <m/>
    <m/>
    <m/>
  </r>
  <r>
    <x v="224"/>
    <s v="Taxi : tsila - centre ville ( reperage)"/>
    <s v="Transport"/>
    <s v="Investigations"/>
    <n v="1000"/>
    <n v="1.8744037053212446"/>
    <n v="533.50300000000004"/>
    <s v="T73"/>
    <s v="T73-S-D1"/>
    <s v="PALF"/>
    <x v="3"/>
    <s v="Congo"/>
    <m/>
    <m/>
    <m/>
  </r>
  <r>
    <x v="224"/>
    <s v="Taxi : centre ville - hotel ( reperage)"/>
    <s v="Transport"/>
    <s v="Investigations"/>
    <n v="1000"/>
    <n v="1.8744037053212446"/>
    <n v="533.50300000000004"/>
    <s v="T73"/>
    <s v="T73-S-D1"/>
    <s v="PALF"/>
    <x v="3"/>
    <s v="Congo"/>
    <m/>
    <m/>
    <m/>
  </r>
  <r>
    <x v="224"/>
    <s v="Donald-Roméo CONGO Frais d'hôtel/  01 Nuitée du 13 au 14/09/2025 à Gamboma (Hôtel  Baobab)"/>
    <s v="Travel Subsistence"/>
    <s v="Legal"/>
    <n v="15000"/>
    <n v="28.116055579818667"/>
    <n v="533.50300000000004"/>
    <s v="Donald-Roméo"/>
    <s v="DR-S-R6"/>
    <s v="PALF"/>
    <x v="3"/>
    <s v="Congo"/>
    <m/>
    <m/>
    <m/>
  </r>
  <r>
    <x v="224"/>
    <s v="Taxi moto Hôtel Baobad-Agence Océan du Nord de Gamboma/ Pour Brazzaville"/>
    <s v="Transport "/>
    <s v="Legal"/>
    <n v="500"/>
    <n v="0.93720185266062228"/>
    <n v="533.50300000000004"/>
    <s v="Donald-Roméo"/>
    <s v="DR-S-D1"/>
    <s v="PALF"/>
    <x v="3"/>
    <s v="Congo"/>
    <m/>
    <m/>
    <m/>
  </r>
  <r>
    <x v="224"/>
    <s v="Taxi Agence Ocean du Nord de Talangaï- Domicile"/>
    <s v="Transport "/>
    <s v="Legal"/>
    <n v="2500"/>
    <n v="4.6860092633031112"/>
    <n v="533.50300000000004"/>
    <s v="Donald-Roméo"/>
    <s v="DR-S-D1"/>
    <s v="PALF"/>
    <x v="3"/>
    <s v="Congo"/>
    <m/>
    <m/>
    <m/>
  </r>
  <r>
    <x v="225"/>
    <s v="Maison-Bureau"/>
    <s v="Transport"/>
    <s v="Management"/>
    <n v="1000"/>
    <n v="1.8744037053212446"/>
    <n v="533.50300000000004"/>
    <s v="DOVI"/>
    <s v="DH-S-D1"/>
    <s v="PALF"/>
    <x v="3"/>
    <s v="Congo"/>
    <m/>
    <m/>
    <m/>
  </r>
  <r>
    <x v="225"/>
    <s v="Bureau-Maison"/>
    <s v="Transport"/>
    <s v="Management"/>
    <n v="1000"/>
    <n v="1.8744037053212446"/>
    <n v="533.50300000000004"/>
    <s v="DOVI"/>
    <s v="DH-S-D1"/>
    <s v="PALF"/>
    <x v="3"/>
    <s v="Congo"/>
    <m/>
    <m/>
    <m/>
  </r>
  <r>
    <x v="225"/>
    <s v="Taxi hotel-bacongo,reperage"/>
    <s v="Transport"/>
    <s v="Investigations"/>
    <n v="1000"/>
    <n v="1.8744037053212446"/>
    <n v="533.50300000000004"/>
    <s v="P29"/>
    <s v="P29-S-D1"/>
    <s v="PALF"/>
    <x v="3"/>
    <s v="Congo"/>
    <m/>
    <m/>
    <m/>
  </r>
  <r>
    <x v="225"/>
    <s v="Taxi bacongo-mbougou,reperage"/>
    <s v="Transport"/>
    <s v="Investigations"/>
    <n v="1000"/>
    <n v="1.8744037053212446"/>
    <n v="533.50300000000004"/>
    <s v="P29"/>
    <s v="P29-S-D1"/>
    <s v="PALF"/>
    <x v="3"/>
    <s v="Congo"/>
    <m/>
    <m/>
    <m/>
  </r>
  <r>
    <x v="225"/>
    <s v="Taxi mboukou-aeroport,reperage"/>
    <s v="Transport"/>
    <s v="Investigations"/>
    <n v="1000"/>
    <n v="1.8744037053212446"/>
    <n v="533.50300000000004"/>
    <s v="P29"/>
    <s v="P29-S-D1"/>
    <s v="PALF"/>
    <x v="3"/>
    <s v="Congo"/>
    <m/>
    <m/>
    <m/>
  </r>
  <r>
    <x v="225"/>
    <s v="Taxi aeroport-cf,retrait des fonds"/>
    <s v="Transport"/>
    <s v="Investigations"/>
    <n v="1000"/>
    <n v="1.8744037053212446"/>
    <n v="533.50300000000004"/>
    <s v="P29"/>
    <s v="P29-S-D1"/>
    <s v="PALF"/>
    <x v="3"/>
    <s v="Congo"/>
    <m/>
    <m/>
    <m/>
  </r>
  <r>
    <x v="225"/>
    <s v="Taxi cf-gaia,reperage"/>
    <s v="Transport"/>
    <s v="Investigations"/>
    <n v="1000"/>
    <n v="1.8744037053212446"/>
    <n v="533.50300000000004"/>
    <s v="P29"/>
    <s v="P29-S-D1"/>
    <s v="PALF"/>
    <x v="3"/>
    <s v="Congo"/>
    <m/>
    <m/>
    <m/>
  </r>
  <r>
    <x v="225"/>
    <s v="Taxi gaia-hotel,reperage"/>
    <s v="Transport"/>
    <s v="Investigations"/>
    <n v="1000"/>
    <n v="1.8744037053212446"/>
    <n v="533.50300000000004"/>
    <s v="P29"/>
    <s v="P29-S-D1"/>
    <s v="PALF"/>
    <x v="3"/>
    <s v="Congo"/>
    <m/>
    <m/>
    <m/>
  </r>
  <r>
    <x v="225"/>
    <s v="Taxi : hotel - lissanga (reperage)"/>
    <s v="Transport"/>
    <s v="Investigations"/>
    <n v="1000"/>
    <n v="1.8744037053212446"/>
    <n v="533.50300000000004"/>
    <s v="T73"/>
    <s v="T73-S-D1"/>
    <s v="PALF"/>
    <x v="3"/>
    <s v="Congo"/>
    <m/>
    <m/>
    <m/>
  </r>
  <r>
    <x v="225"/>
    <s v="Taxi : lissanga - bacongo (repérage)"/>
    <s v="Transport"/>
    <s v="Investigations"/>
    <n v="1000"/>
    <n v="1.8744037053212446"/>
    <n v="533.50300000000004"/>
    <s v="T73"/>
    <s v="T73-S-D1"/>
    <s v="PALF"/>
    <x v="3"/>
    <s v="Congo"/>
    <m/>
    <m/>
    <m/>
  </r>
  <r>
    <x v="225"/>
    <s v="Taxi : bacongo - gare routiere (réperage)"/>
    <s v="Transport"/>
    <s v="Investigations"/>
    <n v="1000"/>
    <n v="1.8744037053212446"/>
    <n v="533.50300000000004"/>
    <s v="T73"/>
    <s v="T73-S-D1"/>
    <s v="PALF"/>
    <x v="3"/>
    <s v="Congo"/>
    <m/>
    <m/>
    <m/>
  </r>
  <r>
    <x v="225"/>
    <s v="Taxi : gare routiere - gaya(reperage)"/>
    <s v="Transport"/>
    <s v="Investigations"/>
    <n v="1000"/>
    <n v="1.8744037053212446"/>
    <n v="533.50300000000004"/>
    <s v="T73"/>
    <s v="T73-S-D1"/>
    <s v="PALF"/>
    <x v="3"/>
    <s v="Congo"/>
    <m/>
    <m/>
    <m/>
  </r>
  <r>
    <x v="225"/>
    <s v="Taxi : gaya - charden farel (recuperer fond)"/>
    <s v="Transport"/>
    <s v="Investigations"/>
    <n v="1000"/>
    <n v="1.8744037053212446"/>
    <n v="533.50300000000004"/>
    <s v="T73"/>
    <s v="T73-S-D1"/>
    <s v="PALF"/>
    <x v="3"/>
    <s v="Congo"/>
    <m/>
    <m/>
    <m/>
  </r>
  <r>
    <x v="225"/>
    <s v="Taxi : charden farel - hotel (reperage)"/>
    <s v="Transport"/>
    <s v="Investigations"/>
    <n v="1000"/>
    <n v="1.8744037053212446"/>
    <n v="533.50300000000004"/>
    <s v="T73"/>
    <s v="T73-S-D1"/>
    <s v="PALF"/>
    <x v="3"/>
    <s v="Congo"/>
    <m/>
    <m/>
    <m/>
  </r>
  <r>
    <x v="225"/>
    <s v="Taxi: Bureau-Charden Farell/Transfert de fonds"/>
    <s v="Transport"/>
    <s v="Legal"/>
    <n v="500"/>
    <n v="0.93720185266062228"/>
    <n v="533.50300000000004"/>
    <s v="Abraham"/>
    <s v="AB-S-D1"/>
    <s v="PALF"/>
    <x v="3"/>
    <s v="Congo"/>
    <m/>
    <m/>
    <m/>
  </r>
  <r>
    <x v="225"/>
    <s v="Taxi: Charden Farel-Bureau"/>
    <s v="Transport"/>
    <s v="Legal"/>
    <n v="500"/>
    <n v="0.93720185266062228"/>
    <n v="533.50300000000004"/>
    <s v="Abraham"/>
    <s v="AB-S-D1"/>
    <s v="PALF"/>
    <x v="3"/>
    <s v="Congo"/>
    <m/>
    <m/>
    <m/>
  </r>
  <r>
    <x v="225"/>
    <s v="Frais de tansfert d'argent à T73 et P29"/>
    <s v="Transfert fees"/>
    <s v="Office"/>
    <n v="3600"/>
    <n v="6.7478533391564799"/>
    <n v="533.50300000000004"/>
    <s v="Abraham"/>
    <s v="CA-S-R13"/>
    <s v="PALF"/>
    <x v="3"/>
    <s v="Congo"/>
    <m/>
    <m/>
    <m/>
  </r>
  <r>
    <x v="226"/>
    <s v="Maison-Bureau"/>
    <s v="Transport"/>
    <s v="Management"/>
    <n v="1000"/>
    <n v="1.8744037053212446"/>
    <n v="533.50300000000004"/>
    <s v="DOVI"/>
    <s v="DH-S-D1"/>
    <s v="PALF"/>
    <x v="3"/>
    <s v="Congo"/>
    <m/>
    <m/>
    <m/>
  </r>
  <r>
    <x v="226"/>
    <s v="Bureau-Maison"/>
    <s v="Transport"/>
    <s v="Management"/>
    <n v="1000"/>
    <n v="1.8744037053212446"/>
    <n v="533.50300000000004"/>
    <s v="DOVI"/>
    <s v="DH-S-D1"/>
    <s v="PALF"/>
    <x v="3"/>
    <s v="Congo"/>
    <m/>
    <m/>
    <m/>
  </r>
  <r>
    <x v="226"/>
    <s v="Taxi: Domicile-Bureau pour signature des pièces comptables après l'appel de la comptable (Jour de recupération)."/>
    <s v="Transport"/>
    <s v="Legal"/>
    <n v="1500"/>
    <n v="2.8116055579818666"/>
    <n v="533.50300000000004"/>
    <s v="Crépin"/>
    <s v="CR-S-D1"/>
    <s v="PALF"/>
    <x v="3"/>
    <s v="Congo"/>
    <m/>
    <m/>
    <m/>
  </r>
  <r>
    <x v="226"/>
    <s v="Taxi: Bureau-Domicile"/>
    <s v="Transport"/>
    <s v="Legal"/>
    <n v="1500"/>
    <n v="2.8116055579818666"/>
    <n v="533.50300000000004"/>
    <s v="Crépin"/>
    <s v="CR-S-D1"/>
    <s v="PALF"/>
    <x v="3"/>
    <s v="Congo"/>
    <m/>
    <m/>
    <m/>
  </r>
  <r>
    <x v="226"/>
    <s v="Taxi:  Bureau-Banque BCI/ Retrait espèce"/>
    <s v="Transport"/>
    <s v="Office"/>
    <n v="1000"/>
    <n v="1.8744037053212446"/>
    <n v="533.50300000000004"/>
    <s v="Parfaite"/>
    <s v="P-S-D1"/>
    <s v="PALF"/>
    <x v="3"/>
    <s v="Congo"/>
    <m/>
    <m/>
    <m/>
  </r>
  <r>
    <x v="226"/>
    <s v="Taxi:  Banque BCI - Bureau"/>
    <s v="Transport"/>
    <s v="Office"/>
    <n v="1000"/>
    <n v="1.8744037053212446"/>
    <n v="533.50300000000004"/>
    <s v="Parfaite"/>
    <s v="P-S-D1"/>
    <s v="PALF"/>
    <x v="3"/>
    <s v="Congo"/>
    <m/>
    <m/>
    <m/>
  </r>
  <r>
    <x v="226"/>
    <s v="Taxi hotel-sab,reperage"/>
    <s v="Transport"/>
    <s v="Investigations"/>
    <n v="1000"/>
    <n v="1.8744037053212446"/>
    <n v="533.50300000000004"/>
    <s v="P29"/>
    <s v="P29-S-D1"/>
    <s v="PALF"/>
    <x v="3"/>
    <s v="Congo"/>
    <m/>
    <m/>
    <m/>
  </r>
  <r>
    <x v="226"/>
    <s v="Taxi sab-capable,reperage"/>
    <s v="Transport"/>
    <s v="Investigations"/>
    <n v="1000"/>
    <n v="1.8744037053212446"/>
    <n v="533.50300000000004"/>
    <s v="P29"/>
    <s v="P29-S-D1"/>
    <s v="PALF"/>
    <x v="3"/>
    <s v="Congo"/>
    <m/>
    <m/>
    <m/>
  </r>
  <r>
    <x v="226"/>
    <s v="Taxi capable-la frontière,reperage"/>
    <s v="Transport"/>
    <s v="Investigations"/>
    <n v="1000"/>
    <n v="1.8744037053212446"/>
    <n v="533.50300000000004"/>
    <s v="P29"/>
    <s v="P29-S-D1"/>
    <s v="PALF"/>
    <x v="3"/>
    <s v="Congo"/>
    <m/>
    <m/>
    <m/>
  </r>
  <r>
    <x v="226"/>
    <s v="Taxi la frontière-hotel,envoi 3 docs à la cordination"/>
    <s v="Transport"/>
    <s v="Investigations"/>
    <n v="1000"/>
    <n v="1.8744037053212446"/>
    <n v="533.50300000000004"/>
    <s v="P29"/>
    <s v="P29-S-D1"/>
    <s v="PALF"/>
    <x v="3"/>
    <s v="Congo"/>
    <m/>
    <m/>
    <m/>
  </r>
  <r>
    <x v="226"/>
    <s v="Taxi hotel-la frontière,rsuite reperage"/>
    <s v="Transport"/>
    <s v="Investigations"/>
    <n v="1000"/>
    <n v="1.8744037053212446"/>
    <n v="533.50300000000004"/>
    <s v="P29"/>
    <s v="P29-S-D1"/>
    <s v="PALF"/>
    <x v="3"/>
    <s v="Congo"/>
    <m/>
    <m/>
    <m/>
  </r>
  <r>
    <x v="226"/>
    <s v="Taxi la frontière-tsila,reperage"/>
    <s v="Transport"/>
    <s v="Investigations"/>
    <n v="1000"/>
    <n v="1.8744037053212446"/>
    <n v="533.50300000000004"/>
    <s v="P29"/>
    <s v="P29-S-D1"/>
    <s v="PALF"/>
    <x v="3"/>
    <s v="Congo"/>
    <m/>
    <m/>
    <m/>
  </r>
  <r>
    <x v="226"/>
    <s v="Taxi tsila-mont fleury,reperage"/>
    <s v="Transport"/>
    <s v="Investigations"/>
    <n v="1000"/>
    <n v="1.8744037053212446"/>
    <n v="533.50300000000004"/>
    <s v="P29"/>
    <s v="P29-S-D1"/>
    <s v="PALF"/>
    <x v="3"/>
    <s v="Congo"/>
    <m/>
    <m/>
    <m/>
  </r>
  <r>
    <x v="226"/>
    <s v="Taxi mon fleury-hotel"/>
    <s v="Transport"/>
    <s v="Investigations"/>
    <n v="1000"/>
    <n v="1.8744037053212446"/>
    <n v="533.50300000000004"/>
    <s v="P29"/>
    <s v="P29-S-D1"/>
    <s v="PALF"/>
    <x v="3"/>
    <s v="Congo"/>
    <m/>
    <m/>
    <m/>
  </r>
  <r>
    <x v="226"/>
    <s v="Taxi : hotel - zone gare routière ( reperage)"/>
    <s v="Transport"/>
    <s v="Investigations"/>
    <n v="1000"/>
    <n v="1.8744037053212446"/>
    <n v="533.50300000000004"/>
    <s v="T73"/>
    <s v="T73-S-D1"/>
    <s v="PALF"/>
    <x v="3"/>
    <s v="Congo"/>
    <m/>
    <m/>
    <m/>
  </r>
  <r>
    <x v="226"/>
    <s v="Taxi : zone gare routière - centre ville ( reperage)"/>
    <s v="Transport"/>
    <s v="Investigations"/>
    <n v="1000"/>
    <n v="1.8744037053212446"/>
    <n v="533.50300000000004"/>
    <s v="T73"/>
    <s v="T73-S-D1"/>
    <s v="PALF"/>
    <x v="3"/>
    <s v="Congo"/>
    <m/>
    <m/>
    <m/>
  </r>
  <r>
    <x v="226"/>
    <s v="Taxi : centre ville - quartier mangadzi ( reperage)"/>
    <s v="Transport"/>
    <s v="Investigations"/>
    <n v="1000"/>
    <n v="1.8744037053212446"/>
    <n v="533.50300000000004"/>
    <s v="T73"/>
    <s v="T73-S-D1"/>
    <s v="PALF"/>
    <x v="3"/>
    <s v="Congo"/>
    <m/>
    <m/>
    <m/>
  </r>
  <r>
    <x v="226"/>
    <s v="Taxi : centre ville - quartier mangadzi ( reperage)"/>
    <s v="Transport"/>
    <s v="Investigations"/>
    <n v="1000"/>
    <n v="1.8744037053212446"/>
    <n v="533.50300000000004"/>
    <s v="T73"/>
    <s v="T73-S-D1"/>
    <s v="PALF"/>
    <x v="3"/>
    <s v="Congo"/>
    <m/>
    <m/>
    <m/>
  </r>
  <r>
    <x v="226"/>
    <s v="Taxi : quartier mangadzi - lissanga ( reperage)"/>
    <s v="Transport"/>
    <s v="Investigations"/>
    <n v="1000"/>
    <n v="1.8744037053212446"/>
    <n v="533.50300000000004"/>
    <s v="T73"/>
    <s v="T73-S-D1"/>
    <s v="PALF"/>
    <x v="3"/>
    <s v="Congo"/>
    <m/>
    <m/>
    <m/>
  </r>
  <r>
    <x v="226"/>
    <s v="Taxi : lissanga - hotel ( reperage)"/>
    <s v="Transport"/>
    <s v="Investigations"/>
    <n v="1000"/>
    <n v="1.8744037053212446"/>
    <n v="533.50300000000004"/>
    <s v="T73"/>
    <s v="T73-S-D1"/>
    <s v="PALF"/>
    <x v="3"/>
    <s v="Congo"/>
    <m/>
    <m/>
    <m/>
  </r>
  <r>
    <x v="226"/>
    <s v="Taxi : Domicile - Moungali/ Prospection"/>
    <s v="Transport"/>
    <s v="Investigations"/>
    <n v="2500"/>
    <n v="4.6860092633031112"/>
    <n v="533.50300000000004"/>
    <s v="IT87"/>
    <s v="IT87-S-D1"/>
    <s v="PALF"/>
    <x v="3"/>
    <s v="Congo"/>
    <m/>
    <m/>
    <m/>
  </r>
  <r>
    <x v="226"/>
    <s v="Taxi : Moungali - Poudrière/ Prospection"/>
    <s v="Transport"/>
    <s v="Investigations"/>
    <n v="1500"/>
    <n v="2.8116055579818666"/>
    <n v="533.50300000000004"/>
    <s v="IT87"/>
    <s v="IT87-S-D1"/>
    <s v="PALF"/>
    <x v="3"/>
    <s v="Congo"/>
    <m/>
    <m/>
    <m/>
  </r>
  <r>
    <x v="226"/>
    <s v="Taxi : Poudrière - Maëté/ Prospection"/>
    <s v="Transport"/>
    <s v="Investigations"/>
    <n v="1500"/>
    <n v="2.8116055579818666"/>
    <n v="533.50300000000004"/>
    <s v="IT87"/>
    <s v="IT87-S-D1"/>
    <s v="PALF"/>
    <x v="3"/>
    <s v="Congo"/>
    <m/>
    <m/>
    <m/>
  </r>
  <r>
    <x v="226"/>
    <s v="Taxi : Maëté - Domicile/ Retour de prospection"/>
    <s v="Transport"/>
    <s v="Investigations"/>
    <n v="2000"/>
    <n v="3.7488074106424891"/>
    <n v="533.50300000000004"/>
    <s v="IT87"/>
    <s v="IT87-S-D1"/>
    <s v="PALF"/>
    <x v="3"/>
    <s v="Congo"/>
    <m/>
    <m/>
    <m/>
  </r>
  <r>
    <x v="226"/>
    <s v="Taxi:   Domicile - Château d'eau / prospection"/>
    <s v="Transport"/>
    <s v="Investigations"/>
    <n v="1000"/>
    <n v="1.8744037053212446"/>
    <n v="533.50300000000004"/>
    <s v="G12"/>
    <s v="G12-S-D1"/>
    <s v="PALF"/>
    <x v="3"/>
    <s v="Congo"/>
    <m/>
    <m/>
    <m/>
  </r>
  <r>
    <x v="226"/>
    <s v="Taxi : Château d'eau - kisoundi/ prospection"/>
    <s v="Transport"/>
    <s v="Investigations"/>
    <n v="1000"/>
    <n v="1.8744037053212446"/>
    <n v="533.50300000000004"/>
    <s v="G12"/>
    <s v="G12-S-D1"/>
    <s v="PALF"/>
    <x v="3"/>
    <s v="Congo"/>
    <m/>
    <m/>
    <m/>
  </r>
  <r>
    <x v="226"/>
    <s v="Taxi : Kisoundi -domicile"/>
    <s v="Transport"/>
    <s v="Investigations"/>
    <n v="1000"/>
    <n v="1.8744037053212446"/>
    <n v="533.50300000000004"/>
    <s v="G12"/>
    <s v="G12-S-D1"/>
    <s v="PALF"/>
    <x v="3"/>
    <s v="Congo"/>
    <m/>
    <m/>
    <m/>
  </r>
  <r>
    <x v="226"/>
    <s v="Taxi: Bureau-Cabinet Maitre BANZOUZI"/>
    <s v="Transport"/>
    <s v="Legal"/>
    <n v="1500"/>
    <n v="2.8116055579818666"/>
    <n v="533.50300000000004"/>
    <s v="Romain"/>
    <s v="RM-S-D1"/>
    <s v="PALF"/>
    <x v="3"/>
    <s v="Congo"/>
    <m/>
    <m/>
    <m/>
  </r>
  <r>
    <x v="226"/>
    <s v="Taxi:Cabinet de Maitre BANZOUZI-Bureau"/>
    <s v="Transport"/>
    <s v="Legal"/>
    <n v="4000"/>
    <n v="7.4976148212849782"/>
    <n v="533.50300000000004"/>
    <s v="Romain"/>
    <s v="RM-S-D1"/>
    <s v="PALF"/>
    <x v="3"/>
    <s v="Congo"/>
    <m/>
    <m/>
    <m/>
  </r>
  <r>
    <x v="226"/>
    <s v="Acompte honoraire contrat N°85 Impfondo cas MOUKOA Clarisse/Maitre  Alain BAZOUNZI/ 3654434"/>
    <s v="Lawyer Fees"/>
    <s v="Legal"/>
    <n v="200000"/>
    <n v="356.54310071272965"/>
    <n v="560.94200000000001"/>
    <s v="BCI"/>
    <s v="BQ-S-R5"/>
    <s v="PALF"/>
    <x v="5"/>
    <s v="Congo"/>
    <m/>
    <m/>
    <m/>
  </r>
  <r>
    <x v="227"/>
    <s v="Maison-Parc Zoologique (rendez vous avec le nouveau avec DGEF)"/>
    <s v="Transport"/>
    <s v="Management"/>
    <n v="1000"/>
    <n v="1.8744037053212446"/>
    <n v="533.50300000000004"/>
    <s v="DOVI"/>
    <s v="DH-S-D1"/>
    <s v="PALF"/>
    <x v="3"/>
    <s v="Congo"/>
    <m/>
    <m/>
    <m/>
  </r>
  <r>
    <x v="227"/>
    <s v="Parc Zoologique - Bureau"/>
    <s v="Transport"/>
    <s v="Management"/>
    <n v="1000"/>
    <n v="1.8744037053212446"/>
    <n v="533.50300000000004"/>
    <s v="DOVI"/>
    <s v="DH-S-D1"/>
    <s v="PALF"/>
    <x v="3"/>
    <s v="Congo"/>
    <m/>
    <m/>
    <m/>
  </r>
  <r>
    <x v="227"/>
    <s v="Credit telephonique MTN/PALF/ du 15 au 21 Septembre 2025/DOVI"/>
    <s v="Telephone"/>
    <s v="Management"/>
    <n v="12500"/>
    <n v="23.430046316515558"/>
    <n v="533.50300000000004"/>
    <s v="DOVI"/>
    <s v="DH-S-R4"/>
    <s v="PALF"/>
    <x v="3"/>
    <s v="Congo"/>
    <m/>
    <m/>
    <m/>
  </r>
  <r>
    <x v="227"/>
    <s v="Bureau - Maison"/>
    <s v="Transport"/>
    <s v="Management"/>
    <n v="1000"/>
    <n v="1.8744037053212446"/>
    <n v="533.50300000000004"/>
    <s v="DOVI"/>
    <s v="DH-S-D1"/>
    <s v="PALF"/>
    <x v="3"/>
    <s v="Congo"/>
    <m/>
    <m/>
    <m/>
  </r>
  <r>
    <x v="227"/>
    <s v="Credit telephonique MTN PALF/du 17 au 21 septembre 2025/ crepin"/>
    <s v="Telephone"/>
    <s v="Legal"/>
    <n v="10000"/>
    <n v="18.744037053212445"/>
    <n v="533.50300000000004"/>
    <s v="Crépin"/>
    <s v="CR-S-R10"/>
    <s v="PALF"/>
    <x v="3"/>
    <s v="Congo"/>
    <m/>
    <m/>
    <m/>
  </r>
  <r>
    <x v="227"/>
    <s v="Bonus opération du 25/08/2025 à Impfondo/Crépin"/>
    <s v="Bonus"/>
    <s v="Operations"/>
    <n v="35000"/>
    <n v="62.395042624727687"/>
    <n v="560.94200000000001"/>
    <s v="Crépin"/>
    <s v="CA-S-D5"/>
    <s v="PALF"/>
    <x v="5"/>
    <s v="Congo"/>
    <m/>
    <m/>
    <m/>
  </r>
  <r>
    <x v="227"/>
    <s v="Taxi:Bureau - Direction MTN / Achat crédit bureau PALF"/>
    <s v="Transport"/>
    <s v="Office"/>
    <n v="1000"/>
    <n v="1.8744037053212446"/>
    <n v="533.50300000000004"/>
    <s v="Parfaite"/>
    <s v="P-S-D1"/>
    <s v="PALF"/>
    <x v="3"/>
    <s v="Congo"/>
    <m/>
    <m/>
    <m/>
  </r>
  <r>
    <x v="227"/>
    <s v="Taxi: Direction MTN-Bureau/"/>
    <s v="Transport"/>
    <s v="Office"/>
    <n v="1000"/>
    <n v="1.8744037053212446"/>
    <n v="533.50300000000004"/>
    <s v="Parfaite"/>
    <s v="P-S-D1"/>
    <s v="PALF"/>
    <x v="3"/>
    <s v="Congo"/>
    <m/>
    <m/>
    <m/>
  </r>
  <r>
    <x v="227"/>
    <s v="Credit teléphonique MTN PALF/ du 15 au 21 septembre 2025/ Parfaite"/>
    <s v="Telephone"/>
    <s v="Management"/>
    <n v="7500"/>
    <n v="14.058027789909334"/>
    <n v="533.50300000000004"/>
    <s v="Parfaite"/>
    <s v="P-S-R3"/>
    <s v="PALF"/>
    <x v="3"/>
    <s v="Congo"/>
    <m/>
    <m/>
    <m/>
  </r>
  <r>
    <x v="227"/>
    <s v="Taxi hotel-mon fleury,reperage"/>
    <s v="Transport"/>
    <s v="Investigations"/>
    <n v="1000"/>
    <n v="1.8744037053212446"/>
    <n v="533.50300000000004"/>
    <s v="P29"/>
    <s v="P29-S-D1"/>
    <s v="PALF"/>
    <x v="3"/>
    <s v="Congo"/>
    <m/>
    <m/>
    <m/>
  </r>
  <r>
    <x v="227"/>
    <s v="Taxi hotel-mboukou,reperage"/>
    <s v="Transport"/>
    <s v="Investigations"/>
    <n v="1000"/>
    <n v="1.8744037053212446"/>
    <n v="533.50300000000004"/>
    <s v="P29"/>
    <s v="P29-S-D1"/>
    <s v="PALF"/>
    <x v="3"/>
    <s v="Congo"/>
    <m/>
    <m/>
    <m/>
  </r>
  <r>
    <x v="227"/>
    <s v="Taxi mboukou-hotel,faire le bugdet"/>
    <s v="Transport"/>
    <s v="Investigations"/>
    <n v="1000"/>
    <n v="1.8744037053212446"/>
    <n v="533.50300000000004"/>
    <s v="P29"/>
    <s v="P29-S-D1"/>
    <s v="PALF"/>
    <x v="3"/>
    <s v="Congo"/>
    <m/>
    <m/>
    <m/>
  </r>
  <r>
    <x v="227"/>
    <s v="Taxi hotel-mboukou,reperage"/>
    <s v="Transport"/>
    <s v="Investigations"/>
    <n v="1000"/>
    <n v="1.8744037053212446"/>
    <n v="533.50300000000004"/>
    <s v="P29"/>
    <s v="P29-S-D1"/>
    <s v="PALF"/>
    <x v="3"/>
    <s v="Congo"/>
    <m/>
    <m/>
    <m/>
  </r>
  <r>
    <x v="227"/>
    <s v="Taxi mboukou-hotel"/>
    <s v="Transport"/>
    <s v="Investigations"/>
    <n v="1000"/>
    <n v="1.8744037053212446"/>
    <n v="533.50300000000004"/>
    <s v="P29"/>
    <s v="P29-S-D1"/>
    <s v="PALF"/>
    <x v="3"/>
    <s v="Congo"/>
    <m/>
    <m/>
    <m/>
  </r>
  <r>
    <x v="227"/>
    <s v="Achat boisson,pour prendre détails reperage, avec un cible"/>
    <s v="Trust Building"/>
    <s v="Investigations"/>
    <n v="1000"/>
    <n v="1.8744037053212446"/>
    <n v="533.50300000000004"/>
    <s v="P29"/>
    <s v="P29-S-D3"/>
    <s v="PALF"/>
    <x v="3"/>
    <s v="Congo"/>
    <m/>
    <m/>
    <m/>
  </r>
  <r>
    <x v="227"/>
    <s v="Credit telephonique MTN PALF/ du 15 au 21 Septembre 2025/ Investigation/P29"/>
    <s v="Telephone"/>
    <s v="Investigations"/>
    <n v="10000"/>
    <n v="18.744037053212445"/>
    <n v="533.50300000000004"/>
    <s v="P29"/>
    <s v="P29-S-R9"/>
    <s v="PALF"/>
    <x v="3"/>
    <s v="Congo"/>
    <m/>
    <m/>
    <m/>
  </r>
  <r>
    <x v="227"/>
    <s v="Taxi : hotel - parking de Bounkou"/>
    <s v="Transport"/>
    <s v="Investigations"/>
    <n v="1000"/>
    <n v="1.8744037053212446"/>
    <n v="533.50300000000004"/>
    <s v="T73"/>
    <s v="T73-S-D1"/>
    <s v="PALF"/>
    <x v="3"/>
    <s v="Congo"/>
    <m/>
    <m/>
    <m/>
  </r>
  <r>
    <x v="227"/>
    <s v="Achat billet : Dolisie - Kimongo/ T73"/>
    <s v="Transport"/>
    <s v="Investigations"/>
    <n v="6000"/>
    <n v="11.246422231927466"/>
    <n v="533.50300000000004"/>
    <s v="T73"/>
    <s v="T73-S-R7"/>
    <s v="PALF"/>
    <x v="3"/>
    <s v="Congo"/>
    <m/>
    <m/>
    <m/>
  </r>
  <r>
    <x v="227"/>
    <s v="taxi moto : parking - marché de kimogo ( prospection)"/>
    <s v="Transport"/>
    <s v="Investigations"/>
    <n v="1000"/>
    <n v="1.8744037053212446"/>
    <n v="533.50300000000004"/>
    <s v="T73"/>
    <s v="T73-S-D1"/>
    <s v="PALF"/>
    <x v="3"/>
    <s v="Congo"/>
    <m/>
    <m/>
    <m/>
  </r>
  <r>
    <x v="227"/>
    <s v="taxi moto :  marché de kimogo - parking retour sur dolisie)"/>
    <s v="Transport"/>
    <s v="Investigations"/>
    <n v="1000"/>
    <n v="1.8744037053212446"/>
    <n v="533.50300000000004"/>
    <s v="T73"/>
    <s v="T73-S-D1"/>
    <s v="PALF"/>
    <x v="3"/>
    <s v="Congo"/>
    <m/>
    <m/>
    <m/>
  </r>
  <r>
    <x v="227"/>
    <s v="Achat billet : Kimongo - Dolisie/T73"/>
    <s v="Transport"/>
    <s v="Investigations"/>
    <n v="6000"/>
    <n v="11.246422231927466"/>
    <n v="533.50300000000004"/>
    <s v="T73"/>
    <s v="T73-S-R8"/>
    <s v="PALF"/>
    <x v="3"/>
    <s v="Congo"/>
    <m/>
    <m/>
    <m/>
  </r>
  <r>
    <x v="227"/>
    <s v="achat boisson/une cible"/>
    <s v="Trust Building"/>
    <s v="Investigations"/>
    <n v="1500"/>
    <n v="2.8116055579818666"/>
    <n v="533.50300000000004"/>
    <s v="T73"/>
    <s v="T73-S-D3"/>
    <s v="PALF"/>
    <x v="3"/>
    <s v="Congo"/>
    <m/>
    <m/>
    <m/>
  </r>
  <r>
    <x v="227"/>
    <s v="Credit telephonique MTN PALF/ du 15 au 21 septembre 2025/ Investigation/T73"/>
    <s v="Telephone"/>
    <s v="Investigations"/>
    <n v="10000"/>
    <n v="18.744037053212445"/>
    <n v="533.50300000000004"/>
    <s v="T73"/>
    <s v="T73-S-R9"/>
    <s v="PALF"/>
    <x v="3"/>
    <s v="Congo"/>
    <m/>
    <m/>
    <m/>
  </r>
  <r>
    <x v="227"/>
    <s v="Taxi : Bureau - PK/ Prospection"/>
    <s v="Transport"/>
    <s v="Investigations"/>
    <n v="2000"/>
    <n v="3.7488074106424891"/>
    <n v="533.50300000000004"/>
    <s v="IT87"/>
    <s v="IT87-S-D1"/>
    <s v="PALF"/>
    <x v="3"/>
    <s v="Congo"/>
    <m/>
    <m/>
    <m/>
  </r>
  <r>
    <x v="227"/>
    <s v="Taxi : PK - Kinsoundi/ Prospection"/>
    <s v="Transport"/>
    <s v="Investigations"/>
    <n v="1000"/>
    <n v="1.8744037053212446"/>
    <n v="533.50300000000004"/>
    <s v="IT87"/>
    <s v="IT87-S-D1"/>
    <s v="PALF"/>
    <x v="3"/>
    <s v="Congo"/>
    <m/>
    <m/>
    <m/>
  </r>
  <r>
    <x v="227"/>
    <s v="Taxi : Kinsoundi - Domicile/ Retour de prospection"/>
    <s v="Transport"/>
    <s v="Investigations"/>
    <n v="1500"/>
    <n v="2.8116055579818666"/>
    <n v="533.50300000000004"/>
    <s v="IT87"/>
    <s v="IT87-S-D1"/>
    <s v="PALF"/>
    <x v="3"/>
    <s v="Congo"/>
    <m/>
    <m/>
    <m/>
  </r>
  <r>
    <x v="227"/>
    <s v="Credit telephonique MTN PALF/du 15 au 21 septembre 2025/IT87"/>
    <s v="Telephone"/>
    <s v="Investigations"/>
    <n v="10000"/>
    <n v="18.744037053212445"/>
    <n v="533.50300000000004"/>
    <s v="IT87"/>
    <s v="IT87-S-R9"/>
    <s v="PALF"/>
    <x v="3"/>
    <s v="Congo"/>
    <m/>
    <m/>
    <m/>
  </r>
  <r>
    <x v="227"/>
    <s v="Taxi: Domicile - mayanga / prospection"/>
    <s v="Transport"/>
    <s v="Investigations"/>
    <n v="1500"/>
    <n v="2.8116055579818666"/>
    <n v="533.50300000000004"/>
    <s v="G12"/>
    <s v="G12-S-D1"/>
    <s v="PALF"/>
    <x v="3"/>
    <s v="Congo"/>
    <m/>
    <m/>
    <m/>
  </r>
  <r>
    <x v="227"/>
    <s v="Taxi: Mayanga - nganga lingolo /prospection"/>
    <s v="Transport"/>
    <s v="Investigations"/>
    <n v="1500"/>
    <n v="2.8116055579818666"/>
    <n v="533.50300000000004"/>
    <s v="G12"/>
    <s v="G12-S-D1"/>
    <s v="PALF"/>
    <x v="3"/>
    <s v="Congo"/>
    <m/>
    <m/>
    <m/>
  </r>
  <r>
    <x v="227"/>
    <s v="Taxi : Nganga lingolo - domicile"/>
    <s v="Transport"/>
    <s v="Investigations"/>
    <n v="2000"/>
    <n v="3.7488074106424891"/>
    <n v="533.50300000000004"/>
    <s v="G12"/>
    <s v="G12-S-D1"/>
    <s v="PALF"/>
    <x v="3"/>
    <s v="Congo"/>
    <m/>
    <m/>
    <m/>
  </r>
  <r>
    <x v="227"/>
    <s v="Credit telephonique MTN PALF/du 15 au 21 septembre 2025/G12"/>
    <s v="Telephone"/>
    <s v="Investigations"/>
    <n v="10000"/>
    <n v="18.744037053212445"/>
    <n v="533.50300000000004"/>
    <s v="G12"/>
    <s v="G12-S-R3"/>
    <s v="PALF"/>
    <x v="3"/>
    <s v="Congo"/>
    <m/>
    <m/>
    <m/>
  </r>
  <r>
    <x v="227"/>
    <s v="Credit telephonique MTN PALF/ du 15 au 21 septembre 2025/Abraham"/>
    <s v="Telephone"/>
    <s v="Legal"/>
    <n v="7500"/>
    <n v="14.058027789909334"/>
    <n v="533.50300000000004"/>
    <s v="Abraham"/>
    <s v="AB-S-R3"/>
    <s v="PALF"/>
    <x v="3"/>
    <s v="Congo"/>
    <m/>
    <m/>
    <m/>
  </r>
  <r>
    <x v="227"/>
    <s v="Credit telephonique MTN PALF/du 15 au 21 Septembre 2025/Roderlin"/>
    <s v="Telephone"/>
    <s v="Legal"/>
    <n v="7500"/>
    <n v="14.058027789909334"/>
    <n v="533.50300000000004"/>
    <s v="Roderlin"/>
    <s v="RO-S-R7"/>
    <s v="PALF"/>
    <x v="3"/>
    <s v="Congo"/>
    <m/>
    <m/>
    <m/>
  </r>
  <r>
    <x v="227"/>
    <s v="Credit telephonique MTN PALF/ du 15 au 21 septembre 2025"/>
    <s v="Telephone"/>
    <s v="Legal"/>
    <n v="10000"/>
    <n v="18.744037053212445"/>
    <n v="533.50300000000004"/>
    <s v="Donald-Roméo"/>
    <s v="DR-S-R7"/>
    <s v="PALF"/>
    <x v="3"/>
    <s v="Congo"/>
    <m/>
    <m/>
    <m/>
  </r>
  <r>
    <x v="227"/>
    <s v="Credit telephonique MTN PALF/du 15 au 21 septembre 2025/ Evariste"/>
    <s v="Telephone"/>
    <s v="Media"/>
    <n v="10000"/>
    <n v="18.744037053212445"/>
    <n v="533.50300000000004"/>
    <s v="Evariste"/>
    <s v="EV-S-R8"/>
    <s v="PALF"/>
    <x v="3"/>
    <s v="Congo"/>
    <m/>
    <m/>
    <m/>
  </r>
  <r>
    <x v="227"/>
    <s v="Credit telephonique MTN PALF/du 15 au 21 Septembre 2025/Romain"/>
    <s v="Telephone"/>
    <s v="Legal"/>
    <n v="7500"/>
    <n v="14.058027789909334"/>
    <n v="533.50300000000004"/>
    <s v="Romain"/>
    <s v="RM-S-R3"/>
    <s v="PALF"/>
    <x v="3"/>
    <s v="Congo"/>
    <m/>
    <m/>
    <m/>
  </r>
  <r>
    <x v="228"/>
    <s v="Maison-Bureau"/>
    <s v="Transport"/>
    <s v="Management"/>
    <n v="1000"/>
    <n v="1.8744037053212446"/>
    <n v="533.50300000000004"/>
    <s v="DOVI"/>
    <s v="DH-S-D1"/>
    <s v="PALF"/>
    <x v="3"/>
    <s v="Congo"/>
    <m/>
    <m/>
    <m/>
  </r>
  <r>
    <x v="228"/>
    <s v="Bureau-Maison"/>
    <s v="Transport"/>
    <s v="Management"/>
    <n v="1000"/>
    <n v="1.8744037053212446"/>
    <n v="533.50300000000004"/>
    <s v="DOVI"/>
    <s v="DH-S-D1"/>
    <s v="PALF"/>
    <x v="3"/>
    <s v="Congo"/>
    <m/>
    <m/>
    <m/>
  </r>
  <r>
    <x v="228"/>
    <s v="Taxi: Bureau - Charden Farell/transfert d'argent à P29 et T73"/>
    <s v="Transport"/>
    <s v="Office"/>
    <n v="500"/>
    <n v="0.93720185266062228"/>
    <n v="533.50300000000004"/>
    <s v="Parfaite"/>
    <s v="P-S-D1"/>
    <s v="PALF"/>
    <x v="3"/>
    <s v="Congo"/>
    <m/>
    <m/>
    <m/>
  </r>
  <r>
    <x v="228"/>
    <s v="Taxi: Charden Farell- Bureau"/>
    <s v="Transport"/>
    <s v="Office"/>
    <n v="500"/>
    <n v="0.93720185266062228"/>
    <n v="533.50300000000004"/>
    <s v="Parfaite"/>
    <s v="P-S-D1"/>
    <s v="PALF"/>
    <x v="3"/>
    <s v="Congo"/>
    <m/>
    <m/>
    <m/>
  </r>
  <r>
    <x v="228"/>
    <s v="Frais de tansfert d'argent à T73 et P29"/>
    <s v="Transfert fees"/>
    <s v="Office"/>
    <n v="7200"/>
    <n v="13.49570667831296"/>
    <n v="533.50300000000004"/>
    <s v="Parfaite"/>
    <s v="CA-S-R14"/>
    <s v="PALF"/>
    <x v="3"/>
    <s v="Congo"/>
    <m/>
    <m/>
    <m/>
  </r>
  <r>
    <x v="228"/>
    <s v="Taxi hotel-mboukou,prendre détails au lieu op"/>
    <s v="Transport"/>
    <s v="Investigations"/>
    <n v="1500"/>
    <n v="2.8116055579818666"/>
    <n v="533.50300000000004"/>
    <s v="P29"/>
    <s v="P29-S-D1"/>
    <s v="PALF"/>
    <x v="3"/>
    <s v="Congo"/>
    <m/>
    <m/>
    <m/>
  </r>
  <r>
    <x v="228"/>
    <s v="Taxi mboukou -hotel"/>
    <s v="Transport"/>
    <s v="Investigations"/>
    <n v="1000"/>
    <n v="1.8744037053212446"/>
    <n v="533.50300000000004"/>
    <s v="P29"/>
    <s v="P29-S-D1"/>
    <s v="PALF"/>
    <x v="3"/>
    <s v="Congo"/>
    <m/>
    <m/>
    <m/>
  </r>
  <r>
    <x v="228"/>
    <s v="Taxi hotel-cf centre ville,pas de fonds disponible"/>
    <s v="Transport"/>
    <s v="Investigations"/>
    <n v="1000"/>
    <n v="1.8744037053212446"/>
    <n v="533.50300000000004"/>
    <s v="P29"/>
    <s v="P29-S-D1"/>
    <s v="PALF"/>
    <x v="3"/>
    <s v="Congo"/>
    <m/>
    <m/>
    <m/>
  </r>
  <r>
    <x v="228"/>
    <s v="Taxi cf cv-cf marché,retrait des fonds"/>
    <s v="Transport"/>
    <s v="Investigations"/>
    <n v="1000"/>
    <n v="1.8744037053212446"/>
    <n v="533.50300000000004"/>
    <s v="P29"/>
    <s v="P29-S-D1"/>
    <s v="PALF"/>
    <x v="3"/>
    <s v="Congo"/>
    <m/>
    <m/>
    <m/>
  </r>
  <r>
    <x v="228"/>
    <s v="Taxi cf-hotel"/>
    <s v="Transport"/>
    <s v="Investigations"/>
    <n v="1000"/>
    <n v="1.8744037053212446"/>
    <n v="533.50300000000004"/>
    <s v="P29"/>
    <s v="P29-S-D1"/>
    <s v="PALF"/>
    <x v="3"/>
    <s v="Congo"/>
    <m/>
    <m/>
    <m/>
  </r>
  <r>
    <x v="228"/>
    <s v="Taxi : hotel - gare routière"/>
    <s v="Transport"/>
    <s v="Investigations"/>
    <n v="1000"/>
    <n v="1.8744037053212446"/>
    <n v="533.50300000000004"/>
    <s v="T73"/>
    <s v="T73-S-D1"/>
    <s v="PALF"/>
    <x v="3"/>
    <s v="Congo"/>
    <m/>
    <m/>
    <m/>
  </r>
  <r>
    <x v="228"/>
    <s v="Taxi : gare routière - village mokondo ( prospection)"/>
    <s v="Transport"/>
    <s v="Investigations"/>
    <n v="1000"/>
    <n v="1.8744037053212446"/>
    <n v="533.50300000000004"/>
    <s v="T73"/>
    <s v="T73-S-D1"/>
    <s v="PALF"/>
    <x v="3"/>
    <s v="Congo"/>
    <m/>
    <m/>
    <m/>
  </r>
  <r>
    <x v="228"/>
    <s v="Taxi : village moikondo - gare routière ( prospection)"/>
    <s v="Transport"/>
    <s v="Investigations"/>
    <n v="1000"/>
    <n v="1.8744037053212446"/>
    <n v="533.50300000000004"/>
    <s v="T73"/>
    <s v="T73-S-D1"/>
    <s v="PALF"/>
    <x v="3"/>
    <s v="Congo"/>
    <m/>
    <m/>
    <m/>
  </r>
  <r>
    <x v="228"/>
    <s v="Taxi : gare routière - charden farrel( prospection)"/>
    <s v="Transport"/>
    <s v="Investigations"/>
    <n v="1000"/>
    <n v="1.8744037053212446"/>
    <n v="533.50300000000004"/>
    <s v="T73"/>
    <s v="T73-S-D1"/>
    <s v="PALF"/>
    <x v="3"/>
    <s v="Congo"/>
    <m/>
    <m/>
    <m/>
  </r>
  <r>
    <x v="228"/>
    <s v="Taxi : charden farrel - hotel(fin de journée)"/>
    <s v="Transport"/>
    <s v="Investigations"/>
    <n v="1000"/>
    <n v="1.8744037053212446"/>
    <n v="533.50300000000004"/>
    <s v="T73"/>
    <s v="T73-S-D1"/>
    <s v="PALF"/>
    <x v="3"/>
    <s v="Congo"/>
    <m/>
    <m/>
    <m/>
  </r>
  <r>
    <x v="228"/>
    <s v="achat boisson"/>
    <s v="Trust Building"/>
    <s v="Investigations"/>
    <n v="2000"/>
    <n v="3.7488074106424891"/>
    <n v="533.50300000000004"/>
    <s v="T73"/>
    <s v="T73-S-D3"/>
    <s v="PALF"/>
    <x v="3"/>
    <s v="Congo"/>
    <m/>
    <m/>
    <m/>
  </r>
  <r>
    <x v="228"/>
    <s v="Taxi : Domicile - Total/ Prospection"/>
    <s v="Transport"/>
    <s v="Investigations"/>
    <n v="2000"/>
    <n v="3.7488074106424891"/>
    <n v="533.50300000000004"/>
    <s v="IT87"/>
    <s v="IT87-S-D1"/>
    <s v="PALF"/>
    <x v="3"/>
    <s v="Congo"/>
    <m/>
    <m/>
    <m/>
  </r>
  <r>
    <x v="228"/>
    <s v="Taxi : Total - Nganga Lingolo/ Prospection"/>
    <s v="Transport"/>
    <s v="Investigations"/>
    <n v="2500"/>
    <n v="4.6860092633031112"/>
    <n v="533.50300000000004"/>
    <s v="IT87"/>
    <s v="IT87-S-D1"/>
    <s v="PALF"/>
    <x v="3"/>
    <s v="Congo"/>
    <m/>
    <m/>
    <m/>
  </r>
  <r>
    <x v="228"/>
    <s v="Taxi : Nganga Lingolo - Madibou/ Prospection"/>
    <s v="Transport"/>
    <s v="Investigations"/>
    <n v="1500"/>
    <n v="2.8116055579818666"/>
    <n v="533.50300000000004"/>
    <s v="IT87"/>
    <s v="IT87-S-D1"/>
    <s v="PALF"/>
    <x v="3"/>
    <s v="Congo"/>
    <m/>
    <m/>
    <m/>
  </r>
  <r>
    <x v="228"/>
    <s v="Taxi : Madibou  - Domicile/ Retour de prospection"/>
    <s v="Transport"/>
    <s v="Investigations"/>
    <n v="2500"/>
    <n v="4.6860092633031112"/>
    <n v="533.50300000000004"/>
    <s v="IT87"/>
    <s v="IT87-S-D1"/>
    <s v="PALF"/>
    <x v="3"/>
    <s v="Congo"/>
    <m/>
    <m/>
    <m/>
  </r>
  <r>
    <x v="228"/>
    <s v="Taxi : Domicile - marché poto poto / prospection"/>
    <s v="Transport"/>
    <s v="Investigations"/>
    <n v="1000"/>
    <n v="1.8744037053212446"/>
    <n v="533.50300000000004"/>
    <s v="G12"/>
    <s v="G12-S-D1"/>
    <s v="PALF"/>
    <x v="3"/>
    <s v="Congo"/>
    <m/>
    <m/>
    <m/>
  </r>
  <r>
    <x v="228"/>
    <s v="Taxi: Marché poto poto - congo pharmacie/ prospection"/>
    <s v="Transport"/>
    <s v="Investigations"/>
    <n v="1000"/>
    <n v="1.8744037053212446"/>
    <n v="533.50300000000004"/>
    <s v="G12"/>
    <s v="G12-S-D1"/>
    <s v="PALF"/>
    <x v="3"/>
    <s v="Congo"/>
    <m/>
    <m/>
    <m/>
  </r>
  <r>
    <x v="228"/>
    <s v="Taxi: Congo pharmacie - marché bacongo/ prospection"/>
    <s v="Transport"/>
    <s v="Investigations"/>
    <n v="1000"/>
    <n v="1.8744037053212446"/>
    <n v="533.50300000000004"/>
    <s v="G12"/>
    <s v="G12-S-D1"/>
    <s v="PALF"/>
    <x v="3"/>
    <s v="Congo"/>
    <m/>
    <m/>
    <m/>
  </r>
  <r>
    <x v="228"/>
    <s v="Taxi : Marché bacongo - domicile"/>
    <s v="Transport"/>
    <s v="Investigations"/>
    <n v="1000"/>
    <n v="1.8744037053212446"/>
    <n v="533.50300000000004"/>
    <s v="G12"/>
    <s v="G12-S-D1"/>
    <s v="PALF"/>
    <x v="3"/>
    <s v="Congo"/>
    <m/>
    <m/>
    <m/>
  </r>
  <r>
    <x v="228"/>
    <s v="Taxi: Bureau-Cabinet Me. BANZOUZI"/>
    <s v="Transport"/>
    <s v="Legal"/>
    <n v="1000"/>
    <n v="1.8744037053212446"/>
    <n v="533.50300000000004"/>
    <s v="Abraham"/>
    <s v="AB-S-D1"/>
    <s v="PALF"/>
    <x v="3"/>
    <s v="Congo"/>
    <m/>
    <m/>
    <m/>
  </r>
  <r>
    <x v="228"/>
    <s v="Taxi: Cabinet Me. BANZOUZI-Domicile"/>
    <s v="Transport"/>
    <s v="Legal"/>
    <n v="2000"/>
    <n v="3.7488074106424891"/>
    <n v="533.50300000000004"/>
    <s v="Abraham"/>
    <s v="AB-S-D1"/>
    <s v="PALF"/>
    <x v="3"/>
    <s v="Congo"/>
    <m/>
    <m/>
    <m/>
  </r>
  <r>
    <x v="229"/>
    <s v="Maison-Bureau"/>
    <s v="Transport"/>
    <s v="Management"/>
    <n v="1000"/>
    <n v="1.8744037053212446"/>
    <n v="533.50300000000004"/>
    <s v="DOVI"/>
    <s v="DH-S-D1"/>
    <s v="PALF"/>
    <x v="3"/>
    <s v="Congo"/>
    <m/>
    <m/>
    <m/>
  </r>
  <r>
    <x v="229"/>
    <s v="Bureau-Maison"/>
    <s v="Transport"/>
    <s v="Management"/>
    <n v="1000"/>
    <n v="1.8744037053212446"/>
    <n v="533.50300000000004"/>
    <s v="DOVI"/>
    <s v="DH-S-D1"/>
    <s v="PALF"/>
    <x v="3"/>
    <s v="Congo"/>
    <m/>
    <m/>
    <m/>
  </r>
  <r>
    <x v="229"/>
    <s v="Taxi:  Bureau- Cabinet d'avocat/Depot  du chèque du mois d'aout 2025 Me LOCKO"/>
    <s v="Transport"/>
    <s v="Office"/>
    <n v="1000"/>
    <n v="1.8744037053212446"/>
    <n v="533.50300000000004"/>
    <s v="Parfaite"/>
    <s v="P-S-D1"/>
    <s v="PALF"/>
    <x v="3"/>
    <s v="Congo"/>
    <m/>
    <m/>
    <m/>
  </r>
  <r>
    <x v="229"/>
    <s v="Taxi:  Cabinet d'Avocat - Domicile"/>
    <s v="Transport"/>
    <s v="Office"/>
    <n v="1000"/>
    <n v="1.8744037053212446"/>
    <n v="533.50300000000004"/>
    <s v="Parfaite"/>
    <s v="P-S-D1"/>
    <s v="PALF"/>
    <x v="3"/>
    <s v="Congo"/>
    <m/>
    <m/>
    <m/>
  </r>
  <r>
    <x v="229"/>
    <s v="Taxi hotel-belolo,prospection"/>
    <s v="Transport"/>
    <s v="Investigations"/>
    <n v="1000"/>
    <n v="1.8744037053212446"/>
    <n v="533.50300000000004"/>
    <s v="P29"/>
    <s v="P29-S-D1"/>
    <s v="PALF"/>
    <x v="3"/>
    <s v="Congo"/>
    <m/>
    <m/>
    <m/>
  </r>
  <r>
    <x v="229"/>
    <s v="Taxi belolo-sab,prospection"/>
    <s v="Transport"/>
    <s v="Investigations"/>
    <n v="1000"/>
    <n v="1.8744037053212446"/>
    <n v="533.50300000000004"/>
    <s v="P29"/>
    <s v="P29-S-D1"/>
    <s v="PALF"/>
    <x v="3"/>
    <s v="Congo"/>
    <m/>
    <m/>
    <m/>
  </r>
  <r>
    <x v="229"/>
    <s v="Taxi sab-lissanga,prospection"/>
    <s v="Transport"/>
    <s v="Investigations"/>
    <n v="1000"/>
    <n v="1.8744037053212446"/>
    <n v="533.50300000000004"/>
    <s v="P29"/>
    <s v="P29-S-D1"/>
    <s v="PALF"/>
    <x v="3"/>
    <s v="Congo"/>
    <m/>
    <m/>
    <m/>
  </r>
  <r>
    <x v="229"/>
    <s v="Taxi lissanga-cv,prospection"/>
    <s v="Transport"/>
    <s v="Investigations"/>
    <n v="1000"/>
    <n v="1.8744037053212446"/>
    <n v="533.50300000000004"/>
    <s v="P29"/>
    <s v="P29-S-D1"/>
    <s v="PALF"/>
    <x v="3"/>
    <s v="Congo"/>
    <m/>
    <m/>
    <m/>
  </r>
  <r>
    <x v="229"/>
    <s v="Taxi cv-hotel"/>
    <s v="Transport"/>
    <s v="Investigations"/>
    <n v="1000"/>
    <n v="1.8744037053212446"/>
    <n v="533.50300000000004"/>
    <s v="P29"/>
    <s v="P29-S-D1"/>
    <s v="PALF"/>
    <x v="3"/>
    <s v="Congo"/>
    <m/>
    <m/>
    <m/>
  </r>
  <r>
    <x v="229"/>
    <s v="Achat boisson avec un cible"/>
    <s v="Trust Building"/>
    <s v="Investigations"/>
    <n v="1000"/>
    <n v="1.8744037053212446"/>
    <n v="533.50300000000004"/>
    <s v="P29"/>
    <s v="P29-S-D3"/>
    <s v="PALF"/>
    <x v="3"/>
    <s v="Congo"/>
    <m/>
    <m/>
    <m/>
  </r>
  <r>
    <x v="229"/>
    <s v="Taxi : hotel pharaon - hotel de P29"/>
    <s v="Transport"/>
    <s v="Investigations"/>
    <n v="1000"/>
    <n v="1.8744037053212446"/>
    <n v="533.50300000000004"/>
    <s v="T73"/>
    <s v="T73-S-D1"/>
    <s v="PALF"/>
    <x v="3"/>
    <s v="Congo"/>
    <m/>
    <m/>
    <m/>
  </r>
  <r>
    <x v="229"/>
    <s v="Taxi : hotel de P29 - hotel pharaon"/>
    <s v="Transport"/>
    <s v="Investigations"/>
    <n v="1000"/>
    <n v="1.8744037053212446"/>
    <n v="533.50300000000004"/>
    <s v="T73"/>
    <s v="T73-S-D1"/>
    <s v="PALF"/>
    <x v="3"/>
    <s v="Congo"/>
    <m/>
    <m/>
    <m/>
  </r>
  <r>
    <x v="229"/>
    <s v="Taxi: Domicile-Cabinet Me. BANZOUZI"/>
    <s v="Transport"/>
    <s v="Legal"/>
    <n v="2000"/>
    <n v="3.7488074106424891"/>
    <n v="533.50300000000004"/>
    <s v="Abraham"/>
    <s v="AB-S-D1"/>
    <s v="PALF"/>
    <x v="3"/>
    <s v="Congo"/>
    <m/>
    <m/>
    <m/>
  </r>
  <r>
    <x v="229"/>
    <s v="Taxi: Cabinet Me. BANZOUZI- Bureau"/>
    <s v="Transport"/>
    <s v="Legal"/>
    <n v="1000"/>
    <n v="1.8744037053212446"/>
    <n v="533.50300000000004"/>
    <s v="Abraham"/>
    <s v="AB-S-D1"/>
    <s v="PALF"/>
    <x v="3"/>
    <s v="Congo"/>
    <m/>
    <m/>
    <m/>
  </r>
  <r>
    <x v="229"/>
    <s v="Taxi: Bureau-DGEF"/>
    <s v="Transport"/>
    <s v="Legal"/>
    <n v="1000"/>
    <n v="1.8744037053212446"/>
    <n v="533.50300000000004"/>
    <s v="Abraham"/>
    <s v="AB-S-D1"/>
    <s v="PALF"/>
    <x v="3"/>
    <s v="Congo"/>
    <m/>
    <m/>
    <m/>
  </r>
  <r>
    <x v="229"/>
    <s v="Taxi: DGEF-Bureau"/>
    <s v="Transport"/>
    <s v="Legal"/>
    <n v="1000"/>
    <n v="1.8744037053212446"/>
    <n v="533.50300000000004"/>
    <s v="Abraham"/>
    <s v="AB-S-D1"/>
    <s v="PALF"/>
    <x v="3"/>
    <s v="Congo"/>
    <m/>
    <m/>
    <m/>
  </r>
  <r>
    <x v="229"/>
    <s v="Taxi:Bureau-Station 10 maisons pour achat du carburant"/>
    <s v="Transport"/>
    <s v="Legal"/>
    <n v="1500"/>
    <n v="2.8116055579818666"/>
    <n v="533.50300000000004"/>
    <s v="Roderlin"/>
    <s v="RO-S-D1"/>
    <s v="PALF"/>
    <x v="3"/>
    <s v="Congo"/>
    <m/>
    <m/>
    <m/>
  </r>
  <r>
    <x v="229"/>
    <s v="Taxi:Station 10 maisons- Station NGANGA Edouard "/>
    <s v="Transport"/>
    <s v="Legal"/>
    <n v="1000"/>
    <n v="1.8744037053212446"/>
    <n v="533.50300000000004"/>
    <s v="Roderlin"/>
    <s v="RO-S-D1"/>
    <s v="PALF"/>
    <x v="3"/>
    <s v="Congo"/>
    <m/>
    <m/>
    <m/>
  </r>
  <r>
    <x v="229"/>
    <s v="Station NGANGA Edouard-Station Rond-point de moungali"/>
    <s v="Transport"/>
    <s v="Legal"/>
    <n v="1500"/>
    <n v="2.8116055579818666"/>
    <n v="533.50300000000004"/>
    <s v="Roderlin"/>
    <s v="RO-S-D1"/>
    <s v="PALF"/>
    <x v="3"/>
    <s v="Congo"/>
    <m/>
    <m/>
    <m/>
  </r>
  <r>
    <x v="229"/>
    <s v="Taxi:Station rond-point moungali-Station marché moungali"/>
    <s v="Transport"/>
    <s v="Legal"/>
    <n v="1000"/>
    <n v="1.8744037053212446"/>
    <n v="533.50300000000004"/>
    <s v="Roderlin"/>
    <s v="RO-S-D1"/>
    <s v="PALF"/>
    <x v="3"/>
    <s v="Congo"/>
    <m/>
    <m/>
    <m/>
  </r>
  <r>
    <x v="229"/>
    <s v="Taxi:Marché moungali-Bureau"/>
    <s v="Transport"/>
    <s v="Legal"/>
    <n v="2000"/>
    <n v="3.7488074106424891"/>
    <n v="533.50300000000004"/>
    <s v="Roderlin"/>
    <s v="RO-S-D1"/>
    <s v="PALF"/>
    <x v="3"/>
    <s v="Congo"/>
    <m/>
    <m/>
    <m/>
  </r>
  <r>
    <x v="229"/>
    <s v="Achat carburant groupe electrogène Bureau"/>
    <s v="Office Materiels"/>
    <s v="Office"/>
    <n v="31250"/>
    <n v="58.575115791288894"/>
    <n v="533.50300000000004"/>
    <s v="Roderlin"/>
    <s v="CA-S-R15"/>
    <s v="PALF"/>
    <x v="3"/>
    <s v="Congo"/>
    <m/>
    <m/>
    <m/>
  </r>
  <r>
    <x v="229"/>
    <s v="Paiement Honoraire Me LOCKO/Mois d'Août  2025/3654435"/>
    <s v="Lawyer Fees"/>
    <s v="Legal"/>
    <n v="150000"/>
    <n v="267.40732553454723"/>
    <n v="560.94200000000001"/>
    <s v="BCI"/>
    <s v="BQ-S-R6"/>
    <s v="PALF"/>
    <x v="5"/>
    <s v="Congo"/>
    <m/>
    <m/>
    <m/>
  </r>
  <r>
    <x v="230"/>
    <s v="Maison-Bureau"/>
    <s v="Transport"/>
    <s v="Management"/>
    <n v="1000"/>
    <n v="1.8744037053212446"/>
    <n v="533.50300000000004"/>
    <s v="DOVI"/>
    <s v="DH-S-D1"/>
    <s v="PALF"/>
    <x v="3"/>
    <s v="Congo"/>
    <m/>
    <m/>
    <m/>
  </r>
  <r>
    <x v="230"/>
    <s v="Bureau-Maison"/>
    <s v="Transport"/>
    <s v="Management"/>
    <n v="1000"/>
    <n v="1.8744037053212446"/>
    <n v="533.50300000000004"/>
    <s v="DOVI"/>
    <s v="DH-S-D1"/>
    <s v="PALF"/>
    <x v="3"/>
    <s v="Congo"/>
    <m/>
    <m/>
    <m/>
  </r>
  <r>
    <x v="230"/>
    <s v="Taxi : hotel - gare routière"/>
    <s v="Transport"/>
    <s v="Investigations"/>
    <n v="1000"/>
    <n v="1.8744037053212446"/>
    <n v="533.50300000000004"/>
    <s v="T73"/>
    <s v="T73-S-D1"/>
    <s v="PALF"/>
    <x v="3"/>
    <s v="Congo"/>
    <m/>
    <m/>
    <m/>
  </r>
  <r>
    <x v="230"/>
    <s v="Taxi : gare routière - village mokondo ( prospection)"/>
    <s v="Transport"/>
    <s v="Investigations"/>
    <n v="2500"/>
    <n v="4.6860092633031112"/>
    <n v="533.50300000000004"/>
    <s v="T73"/>
    <s v="T73-S-D1"/>
    <s v="PALF"/>
    <x v="3"/>
    <s v="Congo"/>
    <m/>
    <m/>
    <m/>
  </r>
  <r>
    <x v="230"/>
    <s v="Taxi : village mokondo - gare routière ( prospection)"/>
    <s v="Transport"/>
    <s v="Investigations"/>
    <n v="2500"/>
    <n v="4.6860092633031112"/>
    <n v="533.50300000000004"/>
    <s v="T73"/>
    <s v="T73-S-D1"/>
    <s v="PALF"/>
    <x v="3"/>
    <s v="Congo"/>
    <m/>
    <m/>
    <m/>
  </r>
  <r>
    <x v="230"/>
    <s v="Taxi : gare routière - hotel ( prospection)"/>
    <s v="Transport"/>
    <s v="Investigations"/>
    <n v="1000"/>
    <n v="1.8744037053212446"/>
    <n v="533.50300000000004"/>
    <s v="T73"/>
    <s v="T73-S-D1"/>
    <s v="PALF"/>
    <x v="3"/>
    <s v="Congo"/>
    <m/>
    <m/>
    <m/>
  </r>
  <r>
    <x v="231"/>
    <s v="Maison-Bureau"/>
    <s v="Transport"/>
    <s v="Management"/>
    <n v="1000"/>
    <n v="1.8744037053212446"/>
    <n v="533.50300000000004"/>
    <s v="DOVI"/>
    <s v="DH-S-D1"/>
    <s v="PALF"/>
    <x v="3"/>
    <s v="Congo"/>
    <m/>
    <m/>
    <m/>
  </r>
  <r>
    <x v="231"/>
    <s v="Bureau-Maison"/>
    <s v="Transport"/>
    <s v="Management"/>
    <n v="1000"/>
    <n v="1.8744037053212446"/>
    <n v="533.50300000000004"/>
    <s v="DOVI"/>
    <s v="DH-S-D1"/>
    <s v="PALF"/>
    <x v="3"/>
    <s v="Congo"/>
    <m/>
    <m/>
    <m/>
  </r>
  <r>
    <x v="231"/>
    <s v="Taxi : hotel - gare routière"/>
    <s v="Transport"/>
    <s v="Investigations"/>
    <n v="1000"/>
    <n v="1.8744037053212446"/>
    <n v="533.50300000000004"/>
    <s v="T73"/>
    <s v="T73-S-D1"/>
    <s v="PALF"/>
    <x v="3"/>
    <s v="Congo"/>
    <m/>
    <m/>
    <m/>
  </r>
  <r>
    <x v="231"/>
    <s v="Taxi : gare routière - village mokondo ( prospection)"/>
    <s v="Transport"/>
    <s v="Investigations"/>
    <n v="2500"/>
    <n v="4.6860092633031112"/>
    <n v="533.50300000000004"/>
    <s v="T73"/>
    <s v="T73-S-D1"/>
    <s v="PALF"/>
    <x v="3"/>
    <s v="Congo"/>
    <m/>
    <m/>
    <m/>
  </r>
  <r>
    <x v="231"/>
    <s v="Taxi : village mokondo - gare routière ( prospection)"/>
    <s v="Transport"/>
    <s v="Investigations"/>
    <n v="2500"/>
    <n v="4.6860092633031112"/>
    <n v="533.50300000000004"/>
    <s v="T73"/>
    <s v="T73-S-D1"/>
    <s v="PALF"/>
    <x v="3"/>
    <s v="Congo"/>
    <m/>
    <m/>
    <m/>
  </r>
  <r>
    <x v="231"/>
    <s v="Taxi : gare routière - hotel (fin de journée)"/>
    <s v="Transport"/>
    <s v="Investigations"/>
    <n v="1000"/>
    <n v="1.8744037053212446"/>
    <n v="533.50300000000004"/>
    <s v="T73"/>
    <s v="T73-S-D1"/>
    <s v="PALF"/>
    <x v="3"/>
    <s v="Congo"/>
    <m/>
    <m/>
    <m/>
  </r>
  <r>
    <x v="231"/>
    <s v="achat boisson /une cible"/>
    <s v="Trust Building"/>
    <s v="Investigations"/>
    <n v="1500"/>
    <n v="2.8116055579818666"/>
    <n v="533.50300000000004"/>
    <s v="T73"/>
    <s v="T73-S-D3"/>
    <s v="PALF"/>
    <x v="3"/>
    <s v="Congo"/>
    <m/>
    <m/>
    <m/>
  </r>
  <r>
    <x v="232"/>
    <s v="Maison-Bureau"/>
    <s v="Transport"/>
    <s v="Management"/>
    <n v="1000"/>
    <n v="1.8744037053212446"/>
    <n v="533.50300000000004"/>
    <s v="DOVI"/>
    <s v="DH-S-D1"/>
    <s v="PALF"/>
    <x v="3"/>
    <s v="Congo"/>
    <m/>
    <m/>
    <m/>
  </r>
  <r>
    <x v="232"/>
    <s v="Bureau-Maison"/>
    <s v="Transport"/>
    <s v="Management"/>
    <n v="1000"/>
    <n v="1.8744037053212446"/>
    <n v="533.50300000000004"/>
    <s v="DOVI"/>
    <s v="DH-S-D1"/>
    <s v="PALF"/>
    <x v="3"/>
    <s v="Congo"/>
    <m/>
    <m/>
    <m/>
  </r>
  <r>
    <x v="232"/>
    <s v="Taxi:  Bureau-Banque BCI/ Retrait espèce"/>
    <s v="Transport"/>
    <s v="Office"/>
    <n v="1000"/>
    <n v="1.8744037053212446"/>
    <n v="533.50300000000004"/>
    <s v="Parfaite"/>
    <s v="P-S-D1"/>
    <s v="PALF"/>
    <x v="3"/>
    <s v="Congo"/>
    <m/>
    <m/>
    <m/>
  </r>
  <r>
    <x v="232"/>
    <s v="Taxi:  Banque BCI - Bureau"/>
    <s v="Transport"/>
    <s v="Office"/>
    <n v="1000"/>
    <n v="1.8744037053212446"/>
    <n v="533.50300000000004"/>
    <s v="Parfaite"/>
    <s v="P-S-D1"/>
    <s v="PALF"/>
    <x v="3"/>
    <s v="Congo"/>
    <m/>
    <m/>
    <m/>
  </r>
  <r>
    <x v="232"/>
    <s v="Taxi hotel-magandzi,prospection"/>
    <s v="Transport"/>
    <s v="Investigations"/>
    <n v="1000"/>
    <n v="1.8744037053212446"/>
    <n v="533.50300000000004"/>
    <s v="P29"/>
    <s v="P29-S-D1"/>
    <s v="PALF"/>
    <x v="3"/>
    <s v="Congo"/>
    <m/>
    <m/>
    <m/>
  </r>
  <r>
    <x v="232"/>
    <s v="Taxi magadzi-hotel"/>
    <s v="Transport"/>
    <s v="Investigations"/>
    <n v="1000"/>
    <n v="1.8744037053212446"/>
    <n v="533.50300000000004"/>
    <s v="P29"/>
    <s v="P29-S-D1"/>
    <s v="PALF"/>
    <x v="3"/>
    <s v="Congo"/>
    <m/>
    <m/>
    <m/>
  </r>
  <r>
    <x v="232"/>
    <s v="Taxi : hotel pharaon - hotel de P29"/>
    <s v="Transport"/>
    <s v="Investigations"/>
    <n v="1000"/>
    <n v="1.8744037053212446"/>
    <n v="533.50300000000004"/>
    <s v="T73"/>
    <s v="T73-S-D1"/>
    <s v="PALF"/>
    <x v="3"/>
    <s v="Congo"/>
    <m/>
    <m/>
    <m/>
  </r>
  <r>
    <x v="232"/>
    <s v="Taxi : hotel de P29 - hotel pharaon"/>
    <s v="Transport"/>
    <s v="Investigations"/>
    <n v="1000"/>
    <n v="1.8744037053212446"/>
    <n v="533.50300000000004"/>
    <s v="T73"/>
    <s v="T73-S-D1"/>
    <s v="PALF"/>
    <x v="3"/>
    <s v="Congo"/>
    <m/>
    <m/>
    <m/>
  </r>
  <r>
    <x v="232"/>
    <s v="Bonus à un informateur en RDC"/>
    <s v="Trust Building"/>
    <s v="Investigations"/>
    <n v="35000"/>
    <n v="65.604129686243553"/>
    <n v="533.50300000000004"/>
    <s v="Romain"/>
    <s v="CA-S-R16"/>
    <s v="PALF"/>
    <x v="3"/>
    <s v="Congo"/>
    <m/>
    <m/>
    <m/>
  </r>
  <r>
    <x v="232"/>
    <s v="Frais de tansfert d'argent àl'informateur en RDC"/>
    <s v="Transfert fees"/>
    <s v="Office"/>
    <n v="2278"/>
    <n v="4.2698916407217951"/>
    <n v="533.50300000000004"/>
    <s v="Romain"/>
    <s v="CA-S-R17"/>
    <s v="PALF"/>
    <x v="3"/>
    <s v="Congo"/>
    <m/>
    <m/>
    <m/>
  </r>
  <r>
    <x v="233"/>
    <s v="Maison-Bureau"/>
    <s v="Transport"/>
    <s v="Management"/>
    <n v="1000"/>
    <n v="1.8744037053212446"/>
    <n v="533.50300000000004"/>
    <s v="DOVI"/>
    <s v="DH-S-D1"/>
    <s v="PALF"/>
    <x v="3"/>
    <s v="Congo"/>
    <m/>
    <m/>
    <m/>
  </r>
  <r>
    <x v="233"/>
    <s v="Bureau-Banque BCI"/>
    <s v="Transport"/>
    <s v="Management"/>
    <n v="1000"/>
    <n v="1.8744037053212446"/>
    <n v="533.50300000000004"/>
    <s v="DOVI"/>
    <s v="DH-S-D1"/>
    <s v="PALF"/>
    <x v="3"/>
    <s v="Congo"/>
    <m/>
    <m/>
    <m/>
  </r>
  <r>
    <x v="233"/>
    <s v="Banque BCI -Bureau"/>
    <s v="Transport"/>
    <s v="Management"/>
    <n v="1000"/>
    <n v="1.8744037053212446"/>
    <n v="533.50300000000004"/>
    <s v="DOVI"/>
    <s v="DH-S-D1"/>
    <s v="PALF"/>
    <x v="3"/>
    <s v="Congo"/>
    <m/>
    <m/>
    <m/>
  </r>
  <r>
    <x v="233"/>
    <s v="Bureau-Maison"/>
    <s v="Transport"/>
    <s v="Management"/>
    <n v="1000"/>
    <n v="1.8744037053212446"/>
    <n v="533.50300000000004"/>
    <s v="DOVI"/>
    <s v="DH-S-D1"/>
    <s v="PALF"/>
    <x v="3"/>
    <s v="Congo"/>
    <m/>
    <m/>
    <m/>
  </r>
  <r>
    <x v="233"/>
    <s v="Taxi: Bureau - Charden Farell/transfert d'argent à P29 et T73"/>
    <s v="Transport"/>
    <s v="Office"/>
    <n v="500"/>
    <n v="0.93720185266062228"/>
    <n v="533.50300000000004"/>
    <s v="Parfaite"/>
    <s v="P-S-D1"/>
    <s v="PALF"/>
    <x v="3"/>
    <s v="Congo"/>
    <m/>
    <m/>
    <m/>
  </r>
  <r>
    <x v="233"/>
    <s v="Taxi: Charden Farell- Bureau"/>
    <s v="Transport"/>
    <s v="Office"/>
    <n v="500"/>
    <n v="0.93720185266062228"/>
    <n v="533.50300000000004"/>
    <s v="Parfaite"/>
    <s v="P-S-D1"/>
    <s v="PALF"/>
    <x v="3"/>
    <s v="Congo"/>
    <m/>
    <m/>
    <m/>
  </r>
  <r>
    <x v="233"/>
    <s v="Frais de tansfert d'argent  a P29 et T73"/>
    <s v="Transfert fees"/>
    <s v="Office"/>
    <n v="2000"/>
    <n v="3.7488074106424891"/>
    <n v="533.50300000000004"/>
    <s v="Parfaite"/>
    <s v="CA-S-R18"/>
    <s v="PALF"/>
    <x v="3"/>
    <s v="Congo"/>
    <m/>
    <m/>
    <m/>
  </r>
  <r>
    <x v="233"/>
    <s v="Taxi hotel-cf marché,pas de fonds disponible"/>
    <s v="Transport"/>
    <s v="Investigations"/>
    <n v="1000"/>
    <n v="1.8744037053212446"/>
    <n v="533.50300000000004"/>
    <s v="P29"/>
    <s v="P29-S-D1"/>
    <s v="PALF"/>
    <x v="3"/>
    <s v="Congo"/>
    <m/>
    <m/>
    <m/>
  </r>
  <r>
    <x v="233"/>
    <s v="Taxi cf marché-cf cv,retrait des fonds"/>
    <s v="Transport"/>
    <s v="Investigations"/>
    <n v="1000"/>
    <n v="1.8744037053212446"/>
    <n v="533.50300000000004"/>
    <s v="P29"/>
    <s v="P29-S-D1"/>
    <s v="PALF"/>
    <x v="3"/>
    <s v="Congo"/>
    <m/>
    <m/>
    <m/>
  </r>
  <r>
    <x v="233"/>
    <s v="Taxi cf cv-hotel"/>
    <s v="Transport"/>
    <s v="Investigations"/>
    <n v="1000"/>
    <n v="1.8744037053212446"/>
    <n v="533.50300000000004"/>
    <s v="P29"/>
    <s v="P29-S-D1"/>
    <s v="PALF"/>
    <x v="3"/>
    <s v="Congo"/>
    <m/>
    <m/>
    <m/>
  </r>
  <r>
    <x v="233"/>
    <s v="Taxi : hotel pharaon - marché tsila ( rendez vous avec la cible)"/>
    <s v="Transport"/>
    <s v="Investigations"/>
    <n v="1000"/>
    <n v="1.8744037053212446"/>
    <n v="533.50300000000004"/>
    <s v="T73"/>
    <s v="T73-S-D1"/>
    <s v="PALF"/>
    <x v="3"/>
    <s v="Congo"/>
    <m/>
    <m/>
    <m/>
  </r>
  <r>
    <x v="233"/>
    <s v="Taxi : marché tsila - centre ville ( rendez vous avec la cible)"/>
    <s v="Transport"/>
    <s v="Investigations"/>
    <n v="1000"/>
    <n v="1.8744037053212446"/>
    <n v="533.50300000000004"/>
    <s v="T73"/>
    <s v="T73-S-D1"/>
    <s v="PALF"/>
    <x v="3"/>
    <s v="Congo"/>
    <m/>
    <m/>
    <m/>
  </r>
  <r>
    <x v="233"/>
    <s v="Taxi : centre ville - grand marché (extraction)"/>
    <s v="Transport"/>
    <s v="Investigations"/>
    <n v="1000"/>
    <n v="1.8744037053212446"/>
    <n v="533.50300000000004"/>
    <s v="T73"/>
    <s v="T73-S-D1"/>
    <s v="PALF"/>
    <x v="3"/>
    <s v="Congo"/>
    <m/>
    <m/>
    <m/>
  </r>
  <r>
    <x v="233"/>
    <s v="Taxi : grand marché - mont fleury (extraction)"/>
    <s v="Transport"/>
    <s v="Investigations"/>
    <n v="1000"/>
    <n v="1.8744037053212446"/>
    <n v="533.50300000000004"/>
    <s v="T73"/>
    <s v="T73-S-D1"/>
    <s v="PALF"/>
    <x v="3"/>
    <s v="Congo"/>
    <m/>
    <m/>
    <m/>
  </r>
  <r>
    <x v="233"/>
    <s v="Taxi : mont fleury - charden farell (extraction)"/>
    <s v="Transport"/>
    <s v="Investigations"/>
    <n v="1000"/>
    <n v="1.8744037053212446"/>
    <n v="533.50300000000004"/>
    <s v="T73"/>
    <s v="T73-S-D1"/>
    <s v="PALF"/>
    <x v="3"/>
    <s v="Congo"/>
    <m/>
    <m/>
    <m/>
  </r>
  <r>
    <x v="233"/>
    <s v="Taxi : charden farell - hotel  (fin de journeé)"/>
    <s v="Transport"/>
    <s v="Investigations"/>
    <n v="1000"/>
    <n v="1.8744037053212446"/>
    <n v="533.50300000000004"/>
    <s v="T73"/>
    <s v="T73-S-D1"/>
    <s v="PALF"/>
    <x v="3"/>
    <s v="Congo"/>
    <m/>
    <m/>
    <m/>
  </r>
  <r>
    <x v="233"/>
    <s v="achat boissons deux cible"/>
    <s v="Trust Building"/>
    <s v="Investigations"/>
    <n v="11500"/>
    <n v="21.555642611194312"/>
    <n v="533.50300000000004"/>
    <s v="T73"/>
    <s v="T73-S-D3"/>
    <s v="PALF"/>
    <x v="3"/>
    <s v="Congo"/>
    <m/>
    <m/>
    <m/>
  </r>
  <r>
    <x v="233"/>
    <s v="Taxi : Domicile - Moukondo/ Prospection"/>
    <s v="Transport"/>
    <s v="Investigations"/>
    <n v="2000"/>
    <n v="3.7488074106424891"/>
    <n v="533.50300000000004"/>
    <s v="IT87"/>
    <s v="IT87-S-D1"/>
    <s v="PALF"/>
    <x v="3"/>
    <s v="Congo"/>
    <m/>
    <m/>
    <m/>
  </r>
  <r>
    <x v="233"/>
    <s v="Taxi : Moukondo - Nkombo/ Prospection"/>
    <s v="Transport"/>
    <s v="Investigations"/>
    <n v="1500"/>
    <n v="2.8116055579818666"/>
    <n v="533.50300000000004"/>
    <s v="IT87"/>
    <s v="IT87-S-D1"/>
    <s v="PALF"/>
    <x v="3"/>
    <s v="Congo"/>
    <m/>
    <m/>
    <m/>
  </r>
  <r>
    <x v="233"/>
    <s v="Taxi : Nkombo - Tsiéme/ Prospection"/>
    <s v="Transport"/>
    <s v="Investigations"/>
    <n v="1000"/>
    <n v="1.8744037053212446"/>
    <n v="533.50300000000004"/>
    <s v="IT87"/>
    <s v="IT87-S-D1"/>
    <s v="PALF"/>
    <x v="3"/>
    <s v="Congo"/>
    <m/>
    <m/>
    <m/>
  </r>
  <r>
    <x v="233"/>
    <s v="Taxi : Tsiéme - Domicile/ retour de prospection"/>
    <s v="Transport"/>
    <s v="Investigations"/>
    <n v="2500"/>
    <n v="4.6860092633031112"/>
    <n v="533.50300000000004"/>
    <s v="IT87"/>
    <s v="IT87-S-D1"/>
    <s v="PALF"/>
    <x v="3"/>
    <s v="Congo"/>
    <m/>
    <m/>
    <m/>
  </r>
  <r>
    <x v="233"/>
    <s v="Taxi: Domicile - nganga lingolo/ prospection"/>
    <s v="Transport"/>
    <s v="Investigations"/>
    <n v="2000"/>
    <n v="3.7488074106424891"/>
    <n v="533.50300000000004"/>
    <s v="G12"/>
    <s v="G12-S-D1"/>
    <s v="PALF"/>
    <x v="3"/>
    <s v="Congo"/>
    <m/>
    <m/>
    <m/>
  </r>
  <r>
    <x v="233"/>
    <s v="Taxi: Nganga lingolo - mayanga/prospection"/>
    <s v="Transport"/>
    <s v="Investigations"/>
    <n v="1000"/>
    <n v="1.8744037053212446"/>
    <n v="533.50300000000004"/>
    <s v="G12"/>
    <s v="G12-S-D1"/>
    <s v="PALF"/>
    <x v="3"/>
    <s v="Congo"/>
    <m/>
    <m/>
    <m/>
  </r>
  <r>
    <x v="233"/>
    <s v="Taxi: Mayanga- domicile"/>
    <s v="Transport"/>
    <s v="Investigations"/>
    <n v="1000"/>
    <n v="1.8744037053212446"/>
    <n v="533.50300000000004"/>
    <s v="G12"/>
    <s v="G12-S-D1"/>
    <s v="PALF"/>
    <x v="3"/>
    <s v="Congo"/>
    <m/>
    <m/>
    <m/>
  </r>
  <r>
    <x v="233"/>
    <s v="Achat eau mineral 10 LITRES/Bureau"/>
    <s v="Office Materiels"/>
    <s v="Office"/>
    <n v="25000"/>
    <n v="46.860092633031115"/>
    <n v="533.50300000000004"/>
    <s v="Abraham"/>
    <s v="CA-S-R19"/>
    <s v="PALF"/>
    <x v="3"/>
    <s v="Congo"/>
    <m/>
    <m/>
    <m/>
  </r>
  <r>
    <x v="234"/>
    <s v="Maison-Bureau"/>
    <s v="Transport"/>
    <s v="Management"/>
    <n v="1000"/>
    <n v="1.8744037053212446"/>
    <n v="533.50300000000004"/>
    <s v="DOVI"/>
    <s v="DH-S-D1"/>
    <s v="PALF"/>
    <x v="3"/>
    <s v="Congo"/>
    <m/>
    <m/>
    <m/>
  </r>
  <r>
    <x v="234"/>
    <s v="Bureau-Maison"/>
    <s v="Transport"/>
    <s v="Management"/>
    <n v="1000"/>
    <n v="1.8744037053212446"/>
    <n v="533.50300000000004"/>
    <s v="DOVI"/>
    <s v="DH-S-D1"/>
    <s v="PALF"/>
    <x v="3"/>
    <s v="Congo"/>
    <m/>
    <m/>
    <m/>
  </r>
  <r>
    <x v="234"/>
    <s v="Frais de réparation d'imprimante bureau PALF"/>
    <s v="Office Materiels"/>
    <s v="Office"/>
    <n v="19000"/>
    <n v="35.613670401103647"/>
    <n v="533.50300000000004"/>
    <s v="Parfaite"/>
    <s v="CA-S-R20"/>
    <s v="PALF"/>
    <x v="3"/>
    <s v="Congo"/>
    <m/>
    <m/>
    <m/>
  </r>
  <r>
    <x v="234"/>
    <s v="Taxi : hotel pharaon - hotel de P29"/>
    <s v="Transport"/>
    <s v="Investigations"/>
    <n v="1000"/>
    <n v="1.8744037053212446"/>
    <n v="533.50300000000004"/>
    <s v="T73"/>
    <s v="T73-S-D1"/>
    <s v="PALF"/>
    <x v="3"/>
    <s v="Congo"/>
    <m/>
    <m/>
    <m/>
  </r>
  <r>
    <x v="234"/>
    <s v="Taxi : hotel de P29 - hotel pharaon"/>
    <s v="Transport"/>
    <s v="Investigations"/>
    <n v="1000"/>
    <n v="1.8744037053212446"/>
    <n v="533.50300000000004"/>
    <s v="T73"/>
    <s v="T73-S-D1"/>
    <s v="PALF"/>
    <x v="3"/>
    <s v="Congo"/>
    <m/>
    <m/>
    <m/>
  </r>
  <r>
    <x v="235"/>
    <s v="Maison-Bureau"/>
    <s v="Transport"/>
    <s v="Management"/>
    <n v="1000"/>
    <n v="1.8744037053212446"/>
    <n v="533.50300000000004"/>
    <s v="DOVI"/>
    <s v="DH-S-D1"/>
    <s v="PALF"/>
    <x v="3"/>
    <s v="Congo"/>
    <m/>
    <m/>
    <m/>
  </r>
  <r>
    <x v="235"/>
    <s v="Bureau-Maison"/>
    <s v="Transport"/>
    <s v="Management"/>
    <n v="1000"/>
    <n v="1.8744037053212446"/>
    <n v="533.50300000000004"/>
    <s v="DOVI"/>
    <s v="DH-S-D1"/>
    <s v="PALF"/>
    <x v="3"/>
    <s v="Congo"/>
    <m/>
    <m/>
    <m/>
  </r>
  <r>
    <x v="235"/>
    <s v="Taxi : hotel pharaon - hotel de P29"/>
    <s v="Transport"/>
    <s v="Investigations"/>
    <n v="1000"/>
    <n v="1.8744037053212446"/>
    <n v="533.50300000000004"/>
    <s v="T73"/>
    <s v="T73-S-D1"/>
    <s v="PALF"/>
    <x v="3"/>
    <s v="Congo"/>
    <m/>
    <m/>
    <m/>
  </r>
  <r>
    <x v="235"/>
    <s v="Taxi : hotel de P29 - hotel pharaon"/>
    <s v="Transport"/>
    <s v="Investigations"/>
    <n v="1000"/>
    <n v="1.8744037053212446"/>
    <n v="533.50300000000004"/>
    <s v="T73"/>
    <s v="T73-S-D1"/>
    <s v="PALF"/>
    <x v="3"/>
    <s v="Congo"/>
    <m/>
    <m/>
    <m/>
  </r>
  <r>
    <x v="235"/>
    <s v="Taxi: Bureau-DGEF"/>
    <s v="Transport"/>
    <s v="Legal"/>
    <n v="1000"/>
    <n v="1.8744037053212446"/>
    <n v="533.50300000000004"/>
    <s v="Romain"/>
    <s v="RM-S-D1"/>
    <s v="PALF"/>
    <x v="3"/>
    <s v="Congo"/>
    <m/>
    <m/>
    <m/>
  </r>
  <r>
    <x v="235"/>
    <s v="Taxi: DGEF-Bureau"/>
    <s v="Transport"/>
    <s v="Legal"/>
    <n v="1000"/>
    <n v="1.8744037053212446"/>
    <n v="533.50300000000004"/>
    <s v="Romain"/>
    <s v="RM-S-D1"/>
    <s v="PALF"/>
    <x v="3"/>
    <s v="Congo"/>
    <m/>
    <m/>
    <m/>
  </r>
  <r>
    <x v="236"/>
    <s v="Maison-Bureau"/>
    <s v="Transport"/>
    <s v="Management"/>
    <n v="1000"/>
    <n v="1.8744037053212446"/>
    <n v="533.50300000000004"/>
    <s v="DOVI"/>
    <s v="DH-S-D1"/>
    <s v="PALF"/>
    <x v="3"/>
    <s v="Congo"/>
    <m/>
    <m/>
    <m/>
  </r>
  <r>
    <x v="236"/>
    <s v="Bureau-Maison"/>
    <s v="Transport"/>
    <s v="Management"/>
    <n v="1000"/>
    <n v="1.8744037053212446"/>
    <n v="533.50300000000004"/>
    <s v="DOVI"/>
    <s v="DH-S-D1"/>
    <s v="PALF"/>
    <x v="3"/>
    <s v="Congo"/>
    <m/>
    <m/>
    <m/>
  </r>
  <r>
    <x v="236"/>
    <s v="Taxi:  Bureau- Direction MTN/Transfert d'argent à P29 et T73"/>
    <s v="Transport"/>
    <s v="Office"/>
    <n v="1000"/>
    <n v="1.8744037053212446"/>
    <n v="533.50300000000004"/>
    <s v="Parfaite"/>
    <s v="P-S-D1"/>
    <s v="PALF"/>
    <x v="3"/>
    <s v="Congo"/>
    <m/>
    <m/>
    <m/>
  </r>
  <r>
    <x v="236"/>
    <s v="Taxi:   Direction MTN- Domicile"/>
    <s v="Transport"/>
    <s v="Office"/>
    <n v="1000"/>
    <n v="1.8744037053212446"/>
    <n v="533.50300000000004"/>
    <s v="Parfaite"/>
    <s v="P-S-D1"/>
    <s v="PALF"/>
    <x v="3"/>
    <s v="Congo"/>
    <m/>
    <m/>
    <m/>
  </r>
  <r>
    <x v="236"/>
    <s v="Frais de ramassage Ordure de Septembre 2025"/>
    <s v="Rent &amp; Utilities"/>
    <s v="Office"/>
    <n v="6000"/>
    <n v="11.246422231927466"/>
    <n v="533.50300000000004"/>
    <s v="Parfaite"/>
    <s v="CA-S-R21"/>
    <s v="PALF"/>
    <x v="3"/>
    <s v="Congo"/>
    <m/>
    <m/>
    <m/>
  </r>
  <r>
    <x v="236"/>
    <s v="Frais de tansfert d'argent  a P29 et T73"/>
    <s v="Transfert fees"/>
    <s v="Office"/>
    <n v="2800"/>
    <n v="5.248330374899485"/>
    <n v="533.50300000000004"/>
    <s v="Parfaite"/>
    <s v="CA-S-R22"/>
    <s v="PALF"/>
    <x v="3"/>
    <s v="Congo"/>
    <m/>
    <m/>
    <m/>
  </r>
  <r>
    <x v="236"/>
    <s v="Taxi : hotel pharaon - hotel de P29"/>
    <s v="Transport"/>
    <s v="Investigations"/>
    <n v="1000"/>
    <n v="1.8744037053212446"/>
    <n v="533.50300000000004"/>
    <s v="T73"/>
    <s v="T73-S-D1"/>
    <s v="PALF"/>
    <x v="3"/>
    <s v="Congo"/>
    <m/>
    <m/>
    <m/>
  </r>
  <r>
    <x v="236"/>
    <s v="Taxi : hotel de P29 - hotel pharaon"/>
    <s v="Transport"/>
    <s v="Investigations"/>
    <n v="1000"/>
    <n v="1.8744037053212446"/>
    <n v="533.50300000000004"/>
    <s v="T73"/>
    <s v="T73-S-D1"/>
    <s v="PALF"/>
    <x v="3"/>
    <s v="Congo"/>
    <m/>
    <m/>
    <m/>
  </r>
  <r>
    <x v="236"/>
    <s v="Taxi: Bureau-Cabinet Maitre BANZOUZI"/>
    <s v="Transport"/>
    <s v="Legal"/>
    <n v="1500"/>
    <n v="2.8116055579818666"/>
    <n v="533.50300000000004"/>
    <s v="Romain"/>
    <s v="RM-S-D1"/>
    <s v="PALF"/>
    <x v="3"/>
    <s v="Congo"/>
    <m/>
    <m/>
    <m/>
  </r>
  <r>
    <x v="236"/>
    <s v="Taxi: Cabinet Maitre BANZOUZI-Domicile"/>
    <s v="Transport"/>
    <s v="Legal"/>
    <n v="3500"/>
    <n v="6.5604129686243562"/>
    <n v="533.50300000000004"/>
    <s v="Romain"/>
    <s v="RM-S-D1"/>
    <s v="PALF"/>
    <x v="3"/>
    <s v="Congo"/>
    <m/>
    <m/>
    <m/>
  </r>
  <r>
    <x v="237"/>
    <s v="Maison-Bureau"/>
    <s v="Transport"/>
    <s v="Management"/>
    <n v="1000"/>
    <n v="1.8744037053212446"/>
    <n v="533.50300000000004"/>
    <s v="DOVI"/>
    <s v="DH-S-D1"/>
    <s v="PALF"/>
    <x v="3"/>
    <s v="Congo"/>
    <m/>
    <m/>
    <m/>
  </r>
  <r>
    <x v="237"/>
    <s v="Bureau- Maison"/>
    <s v="Transport"/>
    <s v="Management"/>
    <n v="1000"/>
    <n v="1.8744037053212446"/>
    <n v="533.50300000000004"/>
    <s v="DOVI"/>
    <s v="DH-S-D1"/>
    <s v="PALF"/>
    <x v="3"/>
    <s v="Congo"/>
    <m/>
    <m/>
    <m/>
  </r>
  <r>
    <x v="237"/>
    <s v="Taxi: Domicile Mayanga-Marché Total pour le bureau préparatifs mission Dolisie."/>
    <s v="Transport"/>
    <s v="Legal"/>
    <n v="1500"/>
    <n v="2.8116055579818666"/>
    <n v="533.50300000000004"/>
    <s v="Crépin"/>
    <s v="CR-S-D1"/>
    <s v="PALF"/>
    <x v="3"/>
    <s v="Congo"/>
    <m/>
    <m/>
    <m/>
  </r>
  <r>
    <x v="237"/>
    <s v="Taxi: Marché Total-Bureau"/>
    <s v="Transport"/>
    <s v="Legal"/>
    <n v="1000"/>
    <n v="1.8744037053212446"/>
    <n v="533.50300000000004"/>
    <s v="Crépin"/>
    <s v="CR-S-D1"/>
    <s v="PALF"/>
    <x v="3"/>
    <s v="Congo"/>
    <m/>
    <m/>
    <m/>
  </r>
  <r>
    <x v="237"/>
    <s v="Taxi: Bureau-Marché Total"/>
    <s v="Transport"/>
    <s v="Legal"/>
    <n v="1000"/>
    <n v="1.8744037053212446"/>
    <n v="533.50300000000004"/>
    <s v="Crépin"/>
    <s v="CR-S-D1"/>
    <s v="PALF"/>
    <x v="3"/>
    <s v="Congo"/>
    <m/>
    <m/>
    <m/>
  </r>
  <r>
    <x v="237"/>
    <s v="Taxi: Marché Total-Domicile"/>
    <s v="Transport"/>
    <s v="Legal"/>
    <n v="1500"/>
    <n v="2.8116055579818666"/>
    <n v="533.50300000000004"/>
    <s v="Crépin"/>
    <s v="CR-S-D1"/>
    <s v="PALF"/>
    <x v="3"/>
    <s v="Congo"/>
    <m/>
    <m/>
    <m/>
  </r>
  <r>
    <x v="237"/>
    <s v="Taxi:Domicile -Bureau"/>
    <s v="Transport"/>
    <s v="Office"/>
    <n v="1000"/>
    <n v="1.8744037053212446"/>
    <n v="533.50300000000004"/>
    <s v="Parfaite"/>
    <s v="P-S-D1"/>
    <s v="PALF"/>
    <x v="3"/>
    <s v="Congo"/>
    <m/>
    <m/>
    <m/>
  </r>
  <r>
    <x v="237"/>
    <s v="Taxi:  Bureau- WESTERN UNION Moungali"/>
    <s v="Transport"/>
    <s v="Office"/>
    <n v="1000"/>
    <n v="1.8744037053212446"/>
    <n v="533.50300000000004"/>
    <s v="Parfaite"/>
    <s v="P-S-D1"/>
    <s v="PALF"/>
    <x v="3"/>
    <s v="Congo"/>
    <m/>
    <m/>
    <m/>
  </r>
  <r>
    <x v="237"/>
    <s v="Taxi:  WESTERN UNION Moungali-WESTERN UNION Mapassi"/>
    <s v="Transport"/>
    <s v="Office"/>
    <n v="500"/>
    <n v="0.93720185266062228"/>
    <n v="533.50300000000004"/>
    <s v="Parfaite"/>
    <s v="P-S-D1"/>
    <s v="PALF"/>
    <x v="3"/>
    <s v="Congo"/>
    <m/>
    <m/>
    <m/>
  </r>
  <r>
    <x v="237"/>
    <s v="Taxi: WESTERN UNION Mapassi- WESTERN UNION Plateau"/>
    <s v="Transport"/>
    <s v="Office"/>
    <n v="1000"/>
    <n v="1.8744037053212446"/>
    <n v="533.50300000000004"/>
    <s v="Parfaite"/>
    <s v="P-S-D1"/>
    <s v="PALF"/>
    <x v="3"/>
    <s v="Congo"/>
    <m/>
    <m/>
    <m/>
  </r>
  <r>
    <x v="237"/>
    <s v="Taxi:  WESTERN UNION Plateau- Bureau"/>
    <s v="Transport"/>
    <s v="Office"/>
    <n v="1000"/>
    <n v="1.8744037053212446"/>
    <n v="533.50300000000004"/>
    <s v="Parfaite"/>
    <s v="P-S-D1"/>
    <s v="PALF"/>
    <x v="3"/>
    <s v="Congo"/>
    <m/>
    <m/>
    <m/>
  </r>
  <r>
    <x v="237"/>
    <s v="Taxi:   Bureau- Domicile"/>
    <s v="Transport"/>
    <s v="Office"/>
    <n v="1000"/>
    <n v="1.8744037053212446"/>
    <n v="533.50300000000004"/>
    <s v="Parfaite"/>
    <s v="P-S-D1"/>
    <s v="PALF"/>
    <x v="3"/>
    <s v="Congo"/>
    <m/>
    <m/>
    <m/>
  </r>
  <r>
    <x v="237"/>
    <s v="Taxi : hotel pharaon - hotel de P29"/>
    <s v="Transport"/>
    <s v="Investigations"/>
    <n v="1000"/>
    <n v="1.8744037053212446"/>
    <n v="533.50300000000004"/>
    <s v="T73"/>
    <s v="T73-S-D1"/>
    <s v="PALF"/>
    <x v="3"/>
    <s v="Congo"/>
    <m/>
    <m/>
    <m/>
  </r>
  <r>
    <x v="237"/>
    <s v="Taxi : hotel de P29 - hotel pharaon"/>
    <s v="Transport"/>
    <s v="Investigations"/>
    <n v="1000"/>
    <n v="1.8744037053212446"/>
    <n v="533.50300000000004"/>
    <s v="T73"/>
    <s v="T73-S-D1"/>
    <s v="PALF"/>
    <x v="3"/>
    <s v="Congo"/>
    <m/>
    <m/>
    <m/>
  </r>
  <r>
    <x v="237"/>
    <s v="Taxi Domicile-Bureau/ Pour une eventuelle mission"/>
    <s v="Transport "/>
    <s v="Legal"/>
    <n v="1000"/>
    <n v="1.8744037053212446"/>
    <n v="533.50300000000004"/>
    <s v="Donald-Roméo"/>
    <s v="DR-S-D1"/>
    <s v="PALF"/>
    <x v="3"/>
    <s v="Congo"/>
    <m/>
    <m/>
    <m/>
  </r>
  <r>
    <x v="237"/>
    <s v="Taxi Bureau-Domicile"/>
    <s v="Transport "/>
    <s v="Legal"/>
    <n v="1000"/>
    <n v="1.8744037053212446"/>
    <n v="533.50300000000004"/>
    <s v="Donald-Roméo"/>
    <s v="DR-S-D1"/>
    <s v="PALF"/>
    <x v="3"/>
    <s v="Congo"/>
    <m/>
    <m/>
    <m/>
  </r>
  <r>
    <x v="237"/>
    <s v="Taxi, Domicile-Bureau PALF"/>
    <s v="Transport"/>
    <s v="Media"/>
    <n v="1000"/>
    <n v="1.8744037053212446"/>
    <n v="533.50300000000004"/>
    <s v="Evariste"/>
    <s v="EV-S-D1"/>
    <s v="PALF"/>
    <x v="3"/>
    <s v="Congo"/>
    <m/>
    <m/>
    <m/>
  </r>
  <r>
    <x v="237"/>
    <s v="Taxi, Bureau PALF-Domicile"/>
    <s v="Transport"/>
    <s v="Media"/>
    <n v="1000"/>
    <n v="1.8744037053212446"/>
    <n v="533.50300000000004"/>
    <s v="Evariste"/>
    <s v="EV-S-D1"/>
    <s v="PALF"/>
    <x v="3"/>
    <s v="Congo"/>
    <m/>
    <m/>
    <m/>
  </r>
  <r>
    <x v="238"/>
    <s v="Maison-Bureau"/>
    <s v="Transport"/>
    <s v="Management"/>
    <n v="1000"/>
    <m/>
    <n v="533.50300000000004"/>
    <s v="DOVI"/>
    <s v="DH-S-D1"/>
    <s v="PALF"/>
    <x v="3"/>
    <s v="Congo"/>
    <m/>
    <m/>
    <m/>
  </r>
  <r>
    <x v="238"/>
    <s v="Bureau -Maison"/>
    <s v="Transport"/>
    <s v="Management"/>
    <n v="1000"/>
    <n v="1.8744037053212446"/>
    <n v="533.50300000000004"/>
    <s v="DOVI"/>
    <s v="DH-S-D1"/>
    <s v="PALF"/>
    <x v="3"/>
    <s v="Congo"/>
    <m/>
    <m/>
    <m/>
  </r>
  <r>
    <x v="238"/>
    <s v="Achat billet Brazzaville- Dolisie/ DOVI"/>
    <s v="Transport"/>
    <s v="Management"/>
    <n v="9000"/>
    <n v="16.869633347891202"/>
    <n v="533.50300000000004"/>
    <s v="DOVI"/>
    <s v="DH-S-R5"/>
    <s v="PALF"/>
    <x v="3"/>
    <s v="Congo"/>
    <m/>
    <m/>
    <m/>
  </r>
  <r>
    <x v="238"/>
    <s v="Taxi: Domicile Mayanga-Marché Total"/>
    <s v="Transport"/>
    <s v="Legal"/>
    <n v="1500"/>
    <n v="2.8116055579818666"/>
    <n v="533.50300000000004"/>
    <s v="Crépin"/>
    <s v="CR-S-D1"/>
    <s v="PALF"/>
    <x v="3"/>
    <s v="Congo"/>
    <m/>
    <m/>
    <m/>
  </r>
  <r>
    <x v="238"/>
    <s v="Taxi: Marché Total-Bureau"/>
    <s v="Transport"/>
    <s v="Legal"/>
    <n v="1000"/>
    <n v="1.8744037053212446"/>
    <n v="533.50300000000004"/>
    <s v="Crépin"/>
    <s v="CR-S-D1"/>
    <s v="PALF"/>
    <x v="3"/>
    <s v="Congo"/>
    <m/>
    <m/>
    <m/>
  </r>
  <r>
    <x v="238"/>
    <s v="Taxi: Bureau-Agence trans bony achat billets"/>
    <s v="Transport"/>
    <s v="Legal"/>
    <n v="1000"/>
    <n v="1.8744037053212446"/>
    <n v="533.50300000000004"/>
    <s v="Crépin"/>
    <s v="CR-S-D1"/>
    <s v="PALF"/>
    <x v="3"/>
    <s v="Congo"/>
    <m/>
    <m/>
    <m/>
  </r>
  <r>
    <x v="238"/>
    <s v="Taxi: Agence trans bony la frontière-Bureau "/>
    <s v="Transport"/>
    <s v="Legal"/>
    <n v="1000"/>
    <n v="1.8744037053212446"/>
    <n v="533.50300000000004"/>
    <s v="Crépin"/>
    <s v="CR-S-D1"/>
    <s v="PALF"/>
    <x v="3"/>
    <s v="Congo"/>
    <m/>
    <m/>
    <m/>
  </r>
  <r>
    <x v="238"/>
    <s v="Taxi: Bureau-Marché Total"/>
    <s v="Transport"/>
    <s v="Legal"/>
    <n v="1000"/>
    <n v="1.8744037053212446"/>
    <n v="533.50300000000004"/>
    <s v="Crépin"/>
    <s v="CR-S-D1"/>
    <s v="PALF"/>
    <x v="3"/>
    <s v="Congo"/>
    <m/>
    <m/>
    <m/>
  </r>
  <r>
    <x v="238"/>
    <s v="Taxi: Marché Total-Domicile Mayanga."/>
    <s v="Transport"/>
    <s v="Legal"/>
    <n v="1500"/>
    <n v="2.8116055579818666"/>
    <n v="533.50300000000004"/>
    <s v="Crépin"/>
    <s v="CR-S-D1"/>
    <s v="PALF"/>
    <x v="3"/>
    <s v="Congo"/>
    <m/>
    <m/>
    <m/>
  </r>
  <r>
    <x v="238"/>
    <s v="Achat Billet Brazzaville-Dolisie/ CREPIN"/>
    <s v="Transport"/>
    <s v="Legal"/>
    <n v="9000"/>
    <n v="16.869633347891202"/>
    <n v="533.50300000000004"/>
    <s v="Crépin"/>
    <s v="CR-S-R11"/>
    <s v="PALF"/>
    <x v="3"/>
    <s v="Congo"/>
    <m/>
    <m/>
    <m/>
  </r>
  <r>
    <x v="238"/>
    <s v="Taxi:  Domicile- Western Union Plateau"/>
    <s v="Transport"/>
    <s v="Office"/>
    <n v="1000"/>
    <n v="1.7827155035636482"/>
    <n v="560.94200000000001"/>
    <s v="Parfaite"/>
    <s v="P-S-D1"/>
    <s v="PALF"/>
    <x v="5"/>
    <s v="Congo"/>
    <m/>
    <m/>
    <m/>
  </r>
  <r>
    <x v="238"/>
    <s v="Taxi:   Bureau- Domicile"/>
    <s v="Transport"/>
    <s v="Office"/>
    <n v="1000"/>
    <n v="1.7827155035636482"/>
    <n v="560.94200000000001"/>
    <s v="Parfaite"/>
    <s v="P-S-D1"/>
    <s v="PALF"/>
    <x v="5"/>
    <s v="Congo"/>
    <m/>
    <m/>
    <m/>
  </r>
  <r>
    <x v="238"/>
    <s v="Taxi : hotel pharaon - la gare centrale ( rendez-vous avec la cible)"/>
    <s v="Transport"/>
    <s v="Investigations"/>
    <n v="1000"/>
    <n v="1.7827155035636482"/>
    <n v="560.94200000000001"/>
    <s v="T73"/>
    <s v="T73-S-D1"/>
    <s v="PALF"/>
    <x v="5"/>
    <s v="Congo"/>
    <m/>
    <m/>
    <m/>
  </r>
  <r>
    <x v="238"/>
    <s v="Taxi : la gare centrale - centre ville (extraction)"/>
    <s v="Transport"/>
    <s v="Investigations"/>
    <n v="1000"/>
    <n v="1.7827155035636482"/>
    <n v="560.94200000000001"/>
    <s v="T73"/>
    <s v="T73-S-D1"/>
    <s v="PALF"/>
    <x v="5"/>
    <s v="Congo"/>
    <m/>
    <m/>
    <m/>
  </r>
  <r>
    <x v="238"/>
    <s v="Taxi : centre ville - tsila (extraction)"/>
    <s v="Transport"/>
    <s v="Investigations"/>
    <n v="1000"/>
    <n v="1.7827155035636482"/>
    <n v="560.94200000000001"/>
    <s v="T73"/>
    <s v="T73-S-D1"/>
    <s v="PALF"/>
    <x v="5"/>
    <s v="Congo"/>
    <m/>
    <m/>
    <m/>
  </r>
  <r>
    <x v="238"/>
    <s v="Taxi : tsila - hotel de P29 (extraction)"/>
    <s v="Transport"/>
    <s v="Investigations"/>
    <n v="1000"/>
    <n v="1.7827155035636482"/>
    <n v="560.94200000000001"/>
    <s v="T73"/>
    <s v="T73-S-D1"/>
    <s v="PALF"/>
    <x v="5"/>
    <s v="Congo"/>
    <m/>
    <m/>
    <m/>
  </r>
  <r>
    <x v="238"/>
    <s v="Taxi : hotel de P29 - hotel pharaon (fin de journée)"/>
    <s v="Transport"/>
    <s v="Investigations"/>
    <n v="1000"/>
    <m/>
    <n v="560.94200000000001"/>
    <s v="T73"/>
    <s v="T73-S-D1"/>
    <s v="PALF"/>
    <x v="5"/>
    <s v="Congo"/>
    <m/>
    <m/>
    <m/>
  </r>
  <r>
    <x v="238"/>
    <s v="achat boisson/2cible"/>
    <s v="Trust Building"/>
    <s v="Investigations"/>
    <n v="3500"/>
    <n v="6.239504262472769"/>
    <n v="560.94200000000001"/>
    <s v="T73"/>
    <s v="T73-S-D3"/>
    <s v="PALF"/>
    <x v="5"/>
    <s v="Congo"/>
    <m/>
    <m/>
    <m/>
  </r>
  <r>
    <x v="238"/>
    <s v="Taxi Domicile-Bureau/ Pour preparer la mission sur Dolisie"/>
    <s v="Transport "/>
    <s v="Legal"/>
    <n v="1000"/>
    <n v="1.7827155035636482"/>
    <n v="560.94200000000001"/>
    <s v="Donald-Roméo"/>
    <s v="DR-S-D1"/>
    <s v="PALF"/>
    <x v="5"/>
    <s v="Congo"/>
    <m/>
    <m/>
    <m/>
  </r>
  <r>
    <x v="238"/>
    <s v="Achat billet Brazzaville-Dolisie/ Donald-Roméo"/>
    <s v="Transport "/>
    <s v="Legal"/>
    <n v="9000"/>
    <n v="16.044439532072836"/>
    <n v="560.94200000000001"/>
    <s v="Donald-Roméo"/>
    <s v="DR-S-R8"/>
    <s v="PALF"/>
    <x v="5"/>
    <s v="Congo"/>
    <m/>
    <m/>
    <m/>
  </r>
  <r>
    <x v="238"/>
    <s v="Taxi Bureau-Domicile"/>
    <s v="Transport "/>
    <s v="Legal"/>
    <n v="1000"/>
    <n v="1.7827155035636482"/>
    <n v="560.94200000000001"/>
    <s v="Donald-Roméo"/>
    <s v="DR-S-D1"/>
    <s v="PALF"/>
    <x v="5"/>
    <s v="Congo"/>
    <m/>
    <m/>
    <m/>
  </r>
  <r>
    <x v="238"/>
    <s v="Taxi, Domicile-Bureau PALF"/>
    <s v="Transport"/>
    <s v="Media"/>
    <n v="1000"/>
    <n v="1.7827155035636482"/>
    <n v="560.94200000000001"/>
    <s v="Evariste"/>
    <s v="EV-S-D1"/>
    <s v="PALF"/>
    <x v="5"/>
    <s v="Congo"/>
    <m/>
    <m/>
    <m/>
  </r>
  <r>
    <x v="238"/>
    <s v="Achat billet Brazzaville-Dolisie"/>
    <s v="Transport"/>
    <s v="Media"/>
    <n v="9000"/>
    <n v="16.044439532072836"/>
    <n v="560.94200000000001"/>
    <s v="Evariste"/>
    <s v="EV-S-R9"/>
    <s v="PALF"/>
    <x v="5"/>
    <s v="Congo"/>
    <m/>
    <m/>
    <m/>
  </r>
  <r>
    <x v="238"/>
    <s v="Taxi, Bureau PALF-Domicile"/>
    <s v="Transport"/>
    <s v="Media"/>
    <n v="1000"/>
    <n v="1.7827155035636482"/>
    <n v="560.94200000000001"/>
    <s v="Evariste"/>
    <s v="EV-S-D1"/>
    <s v="PALF"/>
    <x v="5"/>
    <s v="Congo"/>
    <m/>
    <m/>
    <m/>
  </r>
  <r>
    <x v="239"/>
    <s v="Maison-Transbony (Départ pour Dolisie)"/>
    <s v="Transport"/>
    <s v="Management"/>
    <n v="1000"/>
    <n v="1.7827155035636482"/>
    <n v="560.94200000000001"/>
    <s v="DOVI"/>
    <s v="DH-S-D1"/>
    <s v="PALF"/>
    <x v="5"/>
    <s v="Congo"/>
    <m/>
    <m/>
    <m/>
  </r>
  <r>
    <x v="239"/>
    <s v="Credit telephonique MTN/PALF/ du 29 septembre au 05 octobre 2025/DOVI"/>
    <s v="Telephone"/>
    <s v="Management"/>
    <n v="12500"/>
    <n v="22.283943794545603"/>
    <n v="560.94200000000001"/>
    <s v="DOVI"/>
    <s v="DH-S-R6"/>
    <s v="PALF"/>
    <x v="5"/>
    <s v="Congo"/>
    <m/>
    <m/>
    <m/>
  </r>
  <r>
    <x v="239"/>
    <s v="Ration du 29/09 au 02/ 10/ 2025 à Dolisie"/>
    <s v="Travel Subsistence"/>
    <s v="Management"/>
    <n v="30000"/>
    <n v="53.481465106909447"/>
    <n v="560.94200000000001"/>
    <s v="DOVI"/>
    <s v="DH-S-D1"/>
    <s v="PALF"/>
    <x v="5"/>
    <s v="Congo"/>
    <m/>
    <m/>
    <m/>
  </r>
  <r>
    <x v="239"/>
    <s v="Credit telephonique MTN PALF/du 29 septembre au 05 octobre 2025/ crepin"/>
    <s v="Telephone"/>
    <s v="Legal"/>
    <n v="10000"/>
    <n v="17.827155035636483"/>
    <n v="560.94200000000001"/>
    <s v="Crépin"/>
    <s v="CR-S-R12"/>
    <s v="PALF"/>
    <x v="5"/>
    <s v="Congo"/>
    <m/>
    <m/>
    <m/>
  </r>
  <r>
    <x v="239"/>
    <s v="CREPIN-CONGO Ration du 29 /09 au 05/10/2025 à Dolisie"/>
    <s v="Travel Subsistence"/>
    <s v="Legal"/>
    <n v="60000"/>
    <n v="106.96293021381889"/>
    <n v="560.94200000000001"/>
    <s v="Crépin"/>
    <s v="CR-S-D3"/>
    <s v="PALF"/>
    <x v="5"/>
    <s v="Congo"/>
    <m/>
    <m/>
    <m/>
  </r>
  <r>
    <x v="239"/>
    <s v="Taxi: Domicile Mayanga-Agence Trans Bony la Frontière"/>
    <s v="Transport"/>
    <s v="Legal"/>
    <n v="2500"/>
    <n v="4.4567887589091209"/>
    <n v="560.94200000000001"/>
    <s v="Crépin"/>
    <s v="CR-S-D1"/>
    <s v="PALF"/>
    <x v="5"/>
    <s v="Congo"/>
    <m/>
    <m/>
    <m/>
  </r>
  <r>
    <x v="239"/>
    <s v="Taxi:  Domicile- Direction MTN/Achat crédits  Bureau PALF"/>
    <s v="Transport"/>
    <s v="Office"/>
    <n v="1500"/>
    <n v="2.6740732553454722"/>
    <n v="560.94200000000001"/>
    <s v="Parfaite"/>
    <s v="P-S-D1"/>
    <s v="PALF"/>
    <x v="5"/>
    <s v="Congo"/>
    <m/>
    <m/>
    <m/>
  </r>
  <r>
    <x v="239"/>
    <s v="Taxi:   Direction MTN- Banque/Demande de positionnement de fond dans le compte PALF"/>
    <s v="Transport"/>
    <s v="Office"/>
    <n v="500"/>
    <n v="0.89135775178182408"/>
    <n v="560.94200000000001"/>
    <s v="Parfaite"/>
    <s v="P-S-D1"/>
    <s v="PALF"/>
    <x v="5"/>
    <s v="Congo"/>
    <m/>
    <m/>
    <m/>
  </r>
  <r>
    <x v="239"/>
    <s v="Taxi:  Banque BCI - Bureau"/>
    <s v="Transport"/>
    <s v="Office"/>
    <n v="1500"/>
    <n v="2.6740732553454722"/>
    <n v="560.94200000000001"/>
    <s v="Parfaite"/>
    <s v="P-S-D1"/>
    <s v="PALF"/>
    <x v="5"/>
    <s v="Congo"/>
    <m/>
    <m/>
    <m/>
  </r>
  <r>
    <x v="239"/>
    <s v="Credit teléphonique MTN PALF/ du 29  septembre au 05 octobre 2025/ Parfaite"/>
    <s v="Telephone"/>
    <s v="Management"/>
    <n v="7500"/>
    <n v="13.370366276727362"/>
    <n v="560.94200000000001"/>
    <s v="Parfaite"/>
    <s v="P-S-R4"/>
    <s v="PALF"/>
    <x v="5"/>
    <s v="Congo"/>
    <m/>
    <m/>
    <m/>
  </r>
  <r>
    <x v="239"/>
    <s v="Taxi hotel-hotel la gloire,réservation équipe op"/>
    <s v="Transport"/>
    <s v="Investigations"/>
    <n v="1000"/>
    <n v="1.7827155035636482"/>
    <n v="560.94200000000001"/>
    <s v="P29"/>
    <s v="P29-S-D1"/>
    <s v="PALF"/>
    <x v="5"/>
    <s v="Congo"/>
    <m/>
    <m/>
    <m/>
  </r>
  <r>
    <x v="239"/>
    <s v="Taxi hotel la gloire-hotel yasmine,reservation chambre op"/>
    <s v="Transport"/>
    <s v="Investigations"/>
    <n v="1000"/>
    <n v="1.7827155035636482"/>
    <n v="560.94200000000001"/>
    <s v="P29"/>
    <s v="P29-S-D1"/>
    <s v="PALF"/>
    <x v="5"/>
    <s v="Congo"/>
    <m/>
    <m/>
    <m/>
  </r>
  <r>
    <x v="239"/>
    <s v="Taxi  hotel yasmine-mabidi"/>
    <s v="Transport"/>
    <s v="Investigations"/>
    <n v="1000"/>
    <n v="1.7827155035636482"/>
    <n v="560.94200000000001"/>
    <s v="P29"/>
    <s v="P29-S-D1"/>
    <s v="PALF"/>
    <x v="5"/>
    <s v="Congo"/>
    <m/>
    <m/>
    <m/>
  </r>
  <r>
    <x v="239"/>
    <s v="Taxi hotel mabidi-sab,chercher l'équipe pour installation"/>
    <s v="Transport"/>
    <s v="Investigations"/>
    <n v="1000"/>
    <n v="1.7827155035636482"/>
    <n v="560.94200000000001"/>
    <s v="P29"/>
    <s v="P29-S-D1"/>
    <s v="PALF"/>
    <x v="5"/>
    <s v="Congo"/>
    <m/>
    <m/>
    <m/>
  </r>
  <r>
    <x v="239"/>
    <s v="Taxi sab-yasmine,installé l'équipe"/>
    <s v="Transport"/>
    <s v="Investigations"/>
    <n v="1000"/>
    <n v="1.7827155035636482"/>
    <n v="560.94200000000001"/>
    <s v="P29"/>
    <s v="P29-S-D1"/>
    <s v="PALF"/>
    <x v="5"/>
    <s v="Congo"/>
    <m/>
    <m/>
    <m/>
  </r>
  <r>
    <x v="239"/>
    <s v="Taxi hotel yasmine-hotel mabidi"/>
    <s v="Transport"/>
    <s v="Investigations"/>
    <n v="1000"/>
    <n v="1.7827155035636482"/>
    <n v="560.94200000000001"/>
    <s v="P29"/>
    <s v="P29-S-D1"/>
    <s v="PALF"/>
    <x v="5"/>
    <s v="Congo"/>
    <m/>
    <m/>
    <m/>
  </r>
  <r>
    <x v="239"/>
    <s v="Credit telephonique MTN PALF/ du 29 Septembre  au 05 octobre 2025/ Investigation/P29"/>
    <s v="Telephone"/>
    <s v="Investigations"/>
    <n v="10000"/>
    <n v="17.827155035636483"/>
    <n v="560.94200000000001"/>
    <s v="P29"/>
    <s v="P29-S-R10"/>
    <s v="PALF"/>
    <x v="5"/>
    <s v="Congo"/>
    <m/>
    <m/>
    <m/>
  </r>
  <r>
    <x v="239"/>
    <s v="taxi : hotel pharaon - centre ville (rendez - vous avec la cibe)"/>
    <s v="Transport"/>
    <s v="Investigations"/>
    <n v="1000"/>
    <n v="1.7827155035636482"/>
    <n v="560.94200000000001"/>
    <s v="T73"/>
    <s v="T73-S-D1"/>
    <s v="PALF"/>
    <x v="5"/>
    <s v="Congo"/>
    <m/>
    <m/>
    <m/>
  </r>
  <r>
    <x v="239"/>
    <s v="taxi : centre ville - mont fleury (extraction)"/>
    <s v="Transport"/>
    <s v="Investigations"/>
    <n v="1000"/>
    <n v="1.7827155035636482"/>
    <n v="560.94200000000001"/>
    <s v="T73"/>
    <s v="T73-S-D1"/>
    <s v="PALF"/>
    <x v="5"/>
    <s v="Congo"/>
    <m/>
    <m/>
    <m/>
  </r>
  <r>
    <x v="239"/>
    <s v="taxi : mont fleury - la gare centrale(extraction)"/>
    <s v="Transport"/>
    <s v="Investigations"/>
    <n v="1000"/>
    <n v="1.7827155035636482"/>
    <n v="560.94200000000001"/>
    <s v="T73"/>
    <s v="T73-S-D1"/>
    <s v="PALF"/>
    <x v="5"/>
    <s v="Congo"/>
    <m/>
    <m/>
    <m/>
  </r>
  <r>
    <x v="239"/>
    <s v="taxi : la gare centrale - grand marché (extraction)"/>
    <s v="Transport"/>
    <s v="Investigations"/>
    <n v="1000"/>
    <n v="1.7827155035636482"/>
    <n v="560.94200000000001"/>
    <s v="T73"/>
    <s v="T73-S-D1"/>
    <s v="PALF"/>
    <x v="5"/>
    <s v="Congo"/>
    <m/>
    <m/>
    <m/>
  </r>
  <r>
    <x v="239"/>
    <s v="taxi : grand marché - hotel pharaon (fin de journée)"/>
    <s v="Transport"/>
    <s v="Investigations"/>
    <n v="1000"/>
    <n v="1.7827155035636482"/>
    <n v="560.94200000000001"/>
    <s v="T73"/>
    <s v="T73-S-D1"/>
    <s v="PALF"/>
    <x v="5"/>
    <s v="Congo"/>
    <m/>
    <m/>
    <m/>
  </r>
  <r>
    <x v="239"/>
    <s v="achat boissons et nourriture/3 cibles"/>
    <s v="Trust Building"/>
    <s v="Investigations"/>
    <n v="12500"/>
    <n v="22.283943794545603"/>
    <n v="560.94200000000001"/>
    <s v="T73"/>
    <s v="T73-S-D3"/>
    <s v="PALF"/>
    <x v="5"/>
    <s v="Congo"/>
    <m/>
    <m/>
    <m/>
  </r>
  <r>
    <x v="239"/>
    <s v="Credit telephonique MTN PALF/ du 29 septembre au 05 octobre 2025/ Investigation/T73"/>
    <s v="Telephone"/>
    <s v="Investigations"/>
    <n v="10000"/>
    <n v="17.827155035636483"/>
    <n v="560.94200000000001"/>
    <s v="T73"/>
    <s v="T73-S-R10"/>
    <s v="PALF"/>
    <x v="5"/>
    <s v="Congo"/>
    <m/>
    <m/>
    <m/>
  </r>
  <r>
    <x v="239"/>
    <s v="Credit telephonique MTN PALF/du 29 septembre au 05 octobre 2025/IT87"/>
    <s v="Telephone"/>
    <s v="Investigations"/>
    <n v="10000"/>
    <n v="17.827155035636483"/>
    <n v="560.94200000000001"/>
    <s v="IT87"/>
    <s v="IT87-S-R10"/>
    <s v="PALF"/>
    <x v="5"/>
    <s v="Congo"/>
    <m/>
    <m/>
    <m/>
  </r>
  <r>
    <x v="239"/>
    <s v="Credit telephonique MTN PALF/du 29 septembre au 05 octobre 2025/G12"/>
    <s v="Telephone"/>
    <s v="Investigations"/>
    <n v="10000"/>
    <n v="17.827155035636483"/>
    <n v="560.94200000000001"/>
    <s v="G12"/>
    <s v="G12-S-R4"/>
    <s v="PALF"/>
    <x v="5"/>
    <s v="Congo"/>
    <m/>
    <m/>
    <m/>
  </r>
  <r>
    <x v="239"/>
    <s v="Credit telephonique MTN PALF/ du 29 septembre au 05 octobre 2025/Abraham"/>
    <s v="Telephone"/>
    <s v="Legal"/>
    <n v="7500"/>
    <n v="13.370366276727362"/>
    <n v="560.94200000000001"/>
    <s v="Abraham"/>
    <s v="AB-S-R4"/>
    <s v="PALF"/>
    <x v="5"/>
    <s v="Congo"/>
    <m/>
    <m/>
    <m/>
  </r>
  <r>
    <x v="239"/>
    <s v="Credit telephonique MTN PALF/du 29 Septembre au 05 octobre 2025/Roderlin"/>
    <s v="Telephone"/>
    <s v="Legal"/>
    <n v="7500"/>
    <n v="13.370366276727362"/>
    <n v="560.94200000000001"/>
    <s v="Roderlin"/>
    <s v="RO-S-R8"/>
    <s v="PALF"/>
    <x v="5"/>
    <s v="Congo"/>
    <m/>
    <m/>
    <m/>
  </r>
  <r>
    <x v="239"/>
    <s v="Taxi Domicile-Agence Trans Bony de la frontière/ Pour Dolisie"/>
    <s v="Transport "/>
    <s v="Legal"/>
    <n v="1000"/>
    <n v="1.7827155035636482"/>
    <n v="560.94200000000001"/>
    <s v="Donald-Roméo"/>
    <s v="DR-S-D1"/>
    <s v="PALF"/>
    <x v="5"/>
    <s v="Congo"/>
    <m/>
    <m/>
    <m/>
  </r>
  <r>
    <x v="239"/>
    <s v="Credit telephonique MTN PALF/ du 29 au 05  septembre 2025"/>
    <s v="Telephone"/>
    <s v="Legal"/>
    <n v="10000"/>
    <n v="17.827155035636483"/>
    <n v="560.94200000000001"/>
    <s v="Donald-Roméo"/>
    <s v="DR-S-R9"/>
    <s v="PALF"/>
    <x v="5"/>
    <s v="Congo"/>
    <m/>
    <m/>
    <m/>
  </r>
  <r>
    <x v="239"/>
    <s v="Taxi Agence Trans Bony de Dolisie-Hôtel Yasmine/ Crepin/ Evariste/Dovi/Donald"/>
    <s v="Transport "/>
    <s v="Legal"/>
    <n v="1000"/>
    <n v="1.7827155035636482"/>
    <n v="560.94200000000001"/>
    <s v="Donald-Roméo"/>
    <s v="DR-S-D1"/>
    <s v="PALF"/>
    <x v="5"/>
    <s v="Congo"/>
    <m/>
    <m/>
    <m/>
  </r>
  <r>
    <x v="239"/>
    <s v="Donald-Roméo CONGO Ration  du  29/09 au 05/10/2025 à Dolisie"/>
    <s v="Travel Subsistence"/>
    <s v="Legal"/>
    <n v="60000"/>
    <n v="106.96293021381889"/>
    <n v="560.94200000000001"/>
    <s v="Donald-Roméo"/>
    <s v="DR-S-D3"/>
    <s v="PALF"/>
    <x v="5"/>
    <s v="Congo"/>
    <m/>
    <m/>
    <m/>
  </r>
  <r>
    <x v="239"/>
    <s v="Taxi, Domicile-Agence Trans Bony de Brazzaville"/>
    <s v="Transport"/>
    <s v="Media"/>
    <n v="1000"/>
    <n v="1.7827155035636482"/>
    <n v="560.94200000000001"/>
    <s v="Evariste"/>
    <s v="EV-S-D1"/>
    <s v="PALF"/>
    <x v="5"/>
    <s v="Congo"/>
    <m/>
    <m/>
    <m/>
  </r>
  <r>
    <x v="239"/>
    <s v="Credit telephonique MTN PALF/du 29 septembre au 05 octobre 2025/ Evariste"/>
    <s v="Telephone"/>
    <s v="Media"/>
    <n v="10000"/>
    <n v="17.827155035636483"/>
    <n v="560.94200000000001"/>
    <s v="Evariste"/>
    <s v="EV-S-R10"/>
    <s v="PALF"/>
    <x v="5"/>
    <s v="Congo"/>
    <m/>
    <m/>
    <m/>
  </r>
  <r>
    <x v="239"/>
    <s v="Evariste- CONGO Ration du 29 septembre au 05 octobre 2025 à Dolisie"/>
    <s v="Travel Subsistence"/>
    <s v="Media"/>
    <n v="60000"/>
    <n v="106.96293021381889"/>
    <n v="560.94200000000001"/>
    <s v="Evariste"/>
    <s v="EV-S-D2"/>
    <s v="PALF"/>
    <x v="5"/>
    <s v="Congo"/>
    <m/>
    <m/>
    <m/>
  </r>
  <r>
    <x v="239"/>
    <s v="Taxi: Bureau-Station PUMA Service pour l'achat du carburant"/>
    <s v="Transport"/>
    <s v="Legal"/>
    <n v="1500"/>
    <n v="2.6740732553454722"/>
    <n v="560.94200000000001"/>
    <s v="Romain"/>
    <s v="RM-S-D1"/>
    <s v="PALF"/>
    <x v="5"/>
    <s v="Congo"/>
    <m/>
    <m/>
    <m/>
  </r>
  <r>
    <x v="239"/>
    <s v="Taxi: Station PUMA Service"/>
    <s v="Transport"/>
    <s v="Legal"/>
    <n v="1500"/>
    <n v="2.6740732553454722"/>
    <n v="560.94200000000001"/>
    <s v="Romain"/>
    <s v="RM-S-D1"/>
    <s v="PALF"/>
    <x v="5"/>
    <s v="Congo"/>
    <m/>
    <m/>
    <m/>
  </r>
  <r>
    <x v="239"/>
    <s v="Achat carburant groupe electrogène Bureau "/>
    <s v="Office Materiels"/>
    <s v="Office"/>
    <n v="15625"/>
    <n v="27.854929743182005"/>
    <n v="560.94200000000001"/>
    <s v="Romain"/>
    <s v="CA-S-R23"/>
    <s v="PALF"/>
    <x v="5"/>
    <s v="Congo"/>
    <m/>
    <m/>
    <m/>
  </r>
  <r>
    <x v="239"/>
    <s v="Credit telephonique MTN PALF/du 29 Septembre au 05 Octobre 2025/Romain"/>
    <s v="Telephone"/>
    <s v="Legal"/>
    <n v="7500"/>
    <n v="13.370366276727362"/>
    <n v="560.94200000000001"/>
    <s v="Romain"/>
    <s v="RM-S-R4"/>
    <s v="PALF"/>
    <x v="5"/>
    <s v="Congo"/>
    <m/>
    <m/>
    <m/>
  </r>
  <r>
    <x v="239"/>
    <s v="RAPATRIEME01100 RAO00010914/Fondation Wildcat"/>
    <s v="Grant"/>
    <m/>
    <m/>
    <n v="0"/>
    <n v="533.50316666666663"/>
    <s v="BCI"/>
    <s v="BQ-S-G1"/>
    <s v="PALF"/>
    <x v="5"/>
    <s v="Congo"/>
    <n v="266752"/>
    <n v="500"/>
    <m/>
  </r>
  <r>
    <x v="239"/>
    <s v="RAPATRIEME01100 RAO00010914/Fondation de la Famille Dahan(DFF)"/>
    <s v="Grant"/>
    <m/>
    <m/>
    <n v="0"/>
    <n v="533.50309090909093"/>
    <s v="BCI"/>
    <s v="BQ-S-G2"/>
    <s v="PALF"/>
    <x v="7"/>
    <s v="Congo"/>
    <n v="2934267"/>
    <n v="5500"/>
    <m/>
  </r>
  <r>
    <x v="239"/>
    <s v="RAPATRIEME01100 RAO00010914/Fondation OAT"/>
    <s v="Grant"/>
    <m/>
    <m/>
    <n v="0"/>
    <n v="533.50316666666663"/>
    <s v="BCI"/>
    <s v="BQ-S-G3"/>
    <s v="PALF"/>
    <x v="3"/>
    <s v="Congo"/>
    <n v="3201019"/>
    <n v="6000"/>
    <m/>
  </r>
  <r>
    <x v="240"/>
    <s v="Taxi:  Bureau-Banque BCI/ Retrait espèce"/>
    <s v="Transport"/>
    <s v="Office"/>
    <n v="1000"/>
    <n v="1.7827155035636482"/>
    <n v="560.94200000000001"/>
    <s v="Parfaite"/>
    <s v="P-S-D1"/>
    <s v="PALF"/>
    <x v="5"/>
    <s v="Congo"/>
    <m/>
    <m/>
    <m/>
  </r>
  <r>
    <x v="240"/>
    <s v="Taxi:  Banque BCI -Agence western union/ transfert d'argent à Jana et Lydia"/>
    <s v="Transport"/>
    <s v="Office"/>
    <n v="500"/>
    <n v="0.89135775178182408"/>
    <n v="560.94200000000001"/>
    <s v="Parfaite"/>
    <s v="P-S-D1"/>
    <s v="PALF"/>
    <x v="5"/>
    <s v="Congo"/>
    <m/>
    <m/>
    <m/>
  </r>
  <r>
    <x v="240"/>
    <s v="Taxi: Agence western union-Bureau"/>
    <s v="Transport"/>
    <s v="Office"/>
    <n v="1000"/>
    <n v="1.7827155035636482"/>
    <n v="560.94200000000001"/>
    <s v="Parfaite"/>
    <s v="P-S-D1"/>
    <s v="PALF"/>
    <x v="5"/>
    <s v="Congo"/>
    <m/>
    <m/>
    <m/>
  </r>
  <r>
    <x v="240"/>
    <s v="Taxi:Bureau- Direction Canal Box/ Paiement internet du mois d'octobre 2025"/>
    <s v="Transport"/>
    <s v="Office"/>
    <n v="1000"/>
    <n v="1.7827155035636482"/>
    <n v="560.94200000000001"/>
    <s v="Parfaite"/>
    <s v="P-S-D1"/>
    <s v="PALF"/>
    <x v="5"/>
    <s v="Congo"/>
    <m/>
    <m/>
    <m/>
  </r>
  <r>
    <x v="240"/>
    <s v="Frais de tansfert d'argent  à Jana et Lydia"/>
    <s v="Transfert fees"/>
    <s v="Office"/>
    <n v="122074"/>
    <n v="217.62321238202881"/>
    <n v="560.94200000000001"/>
    <s v="Parfaite"/>
    <s v="CA-S-R24"/>
    <s v="PALF"/>
    <x v="5"/>
    <s v="Congo"/>
    <m/>
    <m/>
    <m/>
  </r>
  <r>
    <x v="240"/>
    <s v="Reglement facture internet periode du 01/10 au 31/10/2025 bureau PALF"/>
    <s v="Internet"/>
    <s v="Office"/>
    <n v="45050"/>
    <n v="80.311333435542352"/>
    <n v="560.94200000000001"/>
    <s v="Parfaite"/>
    <s v="CA-S-R25"/>
    <s v="PALF"/>
    <x v="5"/>
    <s v="Congo"/>
    <m/>
    <m/>
    <m/>
  </r>
  <r>
    <x v="240"/>
    <s v="Taxi: Direction Canal Box-Bureau/ Paiement internet du mois d'octobre 2025"/>
    <s v="Transport"/>
    <s v="Office"/>
    <n v="1000"/>
    <n v="1.7827155035636482"/>
    <n v="560.94200000000001"/>
    <s v="Parfaite"/>
    <s v="P-S-D1"/>
    <s v="PALF"/>
    <x v="5"/>
    <s v="Congo"/>
    <m/>
    <m/>
    <m/>
  </r>
  <r>
    <x v="240"/>
    <s v="P29 -CONGO Frais d'hotel du 04 au 30/09/2025 à  Dolisie (26 Nuitées)"/>
    <s v="Travel Subsistence"/>
    <s v="Investigations"/>
    <n v="390000"/>
    <n v="695.25904638982286"/>
    <n v="560.94200000000001"/>
    <s v="P29"/>
    <s v="P29-S-R11"/>
    <s v="PALF"/>
    <x v="5"/>
    <s v="Congo"/>
    <m/>
    <m/>
    <m/>
  </r>
  <r>
    <x v="240"/>
    <s v="Taxi hotel mabedi-hotel yasmine,reunion avec le coordinateur"/>
    <s v="Transport"/>
    <s v="Investigations"/>
    <n v="1000"/>
    <n v="1.7827155035636482"/>
    <n v="560.94200000000001"/>
    <s v="P29"/>
    <s v="P29-S-D1"/>
    <s v="PALF"/>
    <x v="5"/>
    <s v="Congo"/>
    <m/>
    <m/>
    <m/>
  </r>
  <r>
    <x v="240"/>
    <s v="Taxi hotel yasmine-hotel mabidi"/>
    <s v="Transport"/>
    <s v="Investigations"/>
    <n v="1000"/>
    <n v="1.7827155035636482"/>
    <n v="560.94200000000001"/>
    <s v="P29"/>
    <s v="P29-S-D1"/>
    <s v="PALF"/>
    <x v="5"/>
    <s v="Congo"/>
    <m/>
    <m/>
    <m/>
  </r>
  <r>
    <x v="240"/>
    <s v=" Taxi :hotel pharaon - hotel yasmine ( rendez vous avec le coordo)"/>
    <s v="Transport"/>
    <s v="Investigations"/>
    <n v="1000"/>
    <n v="1.7827155035636482"/>
    <n v="560.94200000000001"/>
    <s v="T73"/>
    <s v="T73-S-D1"/>
    <s v="PALF"/>
    <x v="5"/>
    <s v="Congo"/>
    <m/>
    <m/>
    <m/>
  </r>
  <r>
    <x v="240"/>
    <s v=" Taxi : hotel yasmine - hotel pharaon( rendez vous avec le coordo)"/>
    <s v="Transport"/>
    <s v="Investigations"/>
    <n v="1000"/>
    <n v="1.7827155035636482"/>
    <n v="560.94200000000001"/>
    <s v="T73"/>
    <s v="T73-S-D1"/>
    <s v="PALF"/>
    <x v="5"/>
    <s v="Congo"/>
    <m/>
    <m/>
    <m/>
  </r>
  <r>
    <x v="241"/>
    <s v="Taxi: Environs de l'hôtel MANDEBI lieu de l'opération-Hôtel Yasmine"/>
    <s v="Transport"/>
    <s v="Legal"/>
    <n v="1000"/>
    <n v="1.8401363172983856"/>
    <n v="543.43799999999999"/>
    <s v="Crépin"/>
    <s v="CR-O-D1"/>
    <s v="PALF"/>
    <x v="5"/>
    <s v="Congo"/>
    <m/>
    <m/>
    <m/>
  </r>
  <r>
    <x v="241"/>
    <s v="Taxi: Hôtel Yasmine-Gendarmerie Rencontre avec le COMREG"/>
    <s v="Transport"/>
    <s v="Legal"/>
    <n v="1000"/>
    <n v="1.8401363172983856"/>
    <n v="543.43799999999999"/>
    <s v="Crépin"/>
    <s v="CR-O-D1"/>
    <s v="PALF"/>
    <x v="5"/>
    <s v="Congo"/>
    <m/>
    <m/>
    <m/>
  </r>
  <r>
    <x v="241"/>
    <s v="Taxi: Gendarmerie-Hôtel Yasmine"/>
    <s v="Transport"/>
    <s v="Legal"/>
    <n v="1000"/>
    <n v="1.8401363172983856"/>
    <n v="543.43799999999999"/>
    <s v="Crépin"/>
    <s v="CR-O-D1"/>
    <s v="PALF"/>
    <x v="5"/>
    <s v="Congo"/>
    <m/>
    <m/>
    <m/>
  </r>
  <r>
    <x v="241"/>
    <s v="Taxi: Hôtel Yasmine-Hôtel MANDEBI"/>
    <s v="Transport"/>
    <s v="Legal"/>
    <n v="1000"/>
    <n v="1.8401363172983856"/>
    <n v="543.43799999999999"/>
    <s v="Crépin"/>
    <s v="CR-O-D1"/>
    <s v="PALF"/>
    <x v="5"/>
    <s v="Congo"/>
    <m/>
    <m/>
    <m/>
  </r>
  <r>
    <x v="241"/>
    <s v="CREPIN- CONGO-Frais d'hôtel du 29/09/ au 01/10/2025 à Dolisie (02 Nuitées )"/>
    <s v="Travel Subsistence"/>
    <s v="Legal"/>
    <n v="30000"/>
    <n v="55.204089518951562"/>
    <n v="543.43799999999999"/>
    <s v="Crépin"/>
    <s v="CR-O-R1"/>
    <s v="PALF"/>
    <x v="5"/>
    <s v="Congo"/>
    <m/>
    <m/>
    <m/>
  </r>
  <r>
    <x v="241"/>
    <s v="Taxi hotel mabidi-hotel mandebi,reperage avec l'équipe"/>
    <s v="Transport"/>
    <s v="Investigation"/>
    <n v="1000"/>
    <n v="1.8401363172983856"/>
    <n v="543.43799999999999"/>
    <s v="P29"/>
    <s v="P29-O-D1"/>
    <s v="PALF"/>
    <x v="5"/>
    <s v="Congo"/>
    <m/>
    <m/>
    <m/>
  </r>
  <r>
    <x v="241"/>
    <s v="Taxi hotel mandebi-hotel mabidi"/>
    <s v="Transport"/>
    <s v="Investigation"/>
    <n v="1000"/>
    <n v="1.8401363172983856"/>
    <n v="543.43799999999999"/>
    <s v="P29"/>
    <s v="P29-O-D1"/>
    <s v="PALF"/>
    <x v="5"/>
    <s v="Congo"/>
    <m/>
    <m/>
    <m/>
  </r>
  <r>
    <x v="241"/>
    <s v="Taxi hotel mabidi-hotel yasmine,réunion avec l'équipe"/>
    <s v="Transport"/>
    <s v="Investigation"/>
    <n v="1000"/>
    <n v="1.8401363172983856"/>
    <n v="543.43799999999999"/>
    <s v="P29"/>
    <s v="P29-O-D1"/>
    <s v="PALF"/>
    <x v="5"/>
    <s v="Congo"/>
    <m/>
    <m/>
    <m/>
  </r>
  <r>
    <x v="241"/>
    <s v="Taxi hotel yasmine-hotel mabidi"/>
    <s v="Transport"/>
    <s v="Investigation"/>
    <n v="1000"/>
    <n v="1.8401363172983856"/>
    <n v="543.43799999999999"/>
    <s v="P29"/>
    <s v="P29-O-D1"/>
    <s v="PALF"/>
    <x v="5"/>
    <s v="Congo"/>
    <m/>
    <m/>
    <m/>
  </r>
  <r>
    <x v="241"/>
    <s v="T73 - CONGO Frais d'hotel du 04/09/2025 au 01/10/2025 à Dolisie (27 Nuitées)"/>
    <s v="Travel Subsistence"/>
    <s v="Investigation"/>
    <n v="405000"/>
    <n v="745.2552085058461"/>
    <n v="543.43799999999999"/>
    <s v="T73"/>
    <s v="T73-O-R1"/>
    <s v="PALF"/>
    <x v="5"/>
    <s v="Congo"/>
    <m/>
    <m/>
    <m/>
  </r>
  <r>
    <x v="241"/>
    <s v="Taxi : hotel pharaon - hotel madimbi ( changement d'hotel pour l'OP°"/>
    <s v="Transport"/>
    <s v="Investigation"/>
    <n v="1000"/>
    <n v="1.8401363172983856"/>
    <n v="543.43799999999999"/>
    <s v="T73"/>
    <s v="T73-O-D1"/>
    <s v="PALF"/>
    <x v="5"/>
    <s v="Congo"/>
    <m/>
    <m/>
    <m/>
  </r>
  <r>
    <x v="241"/>
    <s v="Taxi : hotel madimbi - hotel yasmine ( reunion avec l'équipe)"/>
    <s v="Transport"/>
    <s v="Investigation"/>
    <n v="1000"/>
    <n v="1.8401363172983856"/>
    <n v="543.43799999999999"/>
    <s v="T73"/>
    <s v="T73-O-D1"/>
    <s v="PALF"/>
    <x v="5"/>
    <s v="Congo"/>
    <m/>
    <m/>
    <m/>
  </r>
  <r>
    <x v="241"/>
    <s v="Taxi : hotel madimbi - hotel yasmine ( reunion avec l'équipe)"/>
    <s v="Transport"/>
    <s v="Investigation"/>
    <n v="1000"/>
    <n v="1.8401363172983856"/>
    <n v="543.43799999999999"/>
    <s v="T73"/>
    <s v="T73-O-D1"/>
    <s v="PALF"/>
    <x v="5"/>
    <s v="Congo"/>
    <m/>
    <m/>
    <m/>
  </r>
  <r>
    <x v="241"/>
    <s v="Taxi : hotel yasmine - hotel mambidi ( reunion avec l'équipe)"/>
    <s v="Transport"/>
    <s v="Investigation"/>
    <n v="1000"/>
    <n v="1.8401363172983856"/>
    <n v="543.43799999999999"/>
    <s v="T73"/>
    <s v="T73-O-D1"/>
    <s v="PALF"/>
    <x v="5"/>
    <s v="Congo"/>
    <m/>
    <m/>
    <m/>
  </r>
  <r>
    <x v="241"/>
    <s v="Taxi Hôtel Yasmine-Hôtel Mandebi pour le reperage/ Crepin/ Evariste/Dovi/Donald"/>
    <s v="Transport "/>
    <s v="Legal"/>
    <n v="1000"/>
    <n v="1.8401363172983856"/>
    <n v="543.43799999999999"/>
    <s v="Donald-Roméo"/>
    <s v="DR-O-D1"/>
    <s v="PALF"/>
    <x v="5"/>
    <s v="Congo"/>
    <m/>
    <m/>
    <m/>
  </r>
  <r>
    <x v="241"/>
    <s v="Taxi Hôtel Hôtel Mandebi-Ecole Primaire de Mboukou"/>
    <s v="Transport "/>
    <s v="Legal"/>
    <n v="1000"/>
    <n v="1.8401363172983856"/>
    <n v="543.43799999999999"/>
    <s v="Donald-Roméo"/>
    <s v="DR-O-D1"/>
    <s v="PALF"/>
    <x v="5"/>
    <s v="Congo"/>
    <m/>
    <m/>
    <m/>
  </r>
  <r>
    <x v="241"/>
    <s v="Taxi Hôtel Ecole Primaire de Mboukou-Station de Mboukou"/>
    <s v="Transport "/>
    <s v="Legal"/>
    <n v="1000"/>
    <n v="1.8401363172983856"/>
    <n v="543.43799999999999"/>
    <s v="Donald-Roméo"/>
    <s v="DR-O-D1"/>
    <s v="PALF"/>
    <x v="5"/>
    <s v="Congo"/>
    <m/>
    <m/>
    <m/>
  </r>
  <r>
    <x v="241"/>
    <s v="Taxi Station de Mboukou-Hôtel Yasmine"/>
    <s v="Transport "/>
    <s v="Legal"/>
    <n v="1000"/>
    <n v="1.8401363172983856"/>
    <n v="543.43799999999999"/>
    <s v="Donald-Roméo"/>
    <s v="DR-O-D1"/>
    <s v="PALF"/>
    <x v="5"/>
    <s v="Congo"/>
    <m/>
    <m/>
    <m/>
  </r>
  <r>
    <x v="241"/>
    <s v="Taxi, Les environs de l'hôtel Mandebi-Hôtel Yasmine"/>
    <s v="Transport"/>
    <s v="Media"/>
    <n v="1000"/>
    <n v="1.8401363172983856"/>
    <n v="543.43799999999999"/>
    <s v="Evariste"/>
    <s v="EV-O-D1"/>
    <s v="PALF"/>
    <x v="5"/>
    <s v="Congo"/>
    <m/>
    <m/>
    <m/>
  </r>
  <r>
    <x v="242"/>
    <s v="DOVI-CONGO Ration du 29 Septembre 2025 au 02 Octobre 2025 soit 06 nuitées à Dolisie(Hôtel Yasmine)"/>
    <s v="Travel Subsistence"/>
    <s v="Management"/>
    <n v="30000"/>
    <n v="55.204089518951562"/>
    <n v="543.43799999999999"/>
    <s v="DOVI"/>
    <s v="DH-O-D2"/>
    <s v="PALF"/>
    <x v="5"/>
    <s v="Congo"/>
    <m/>
    <m/>
    <m/>
  </r>
  <r>
    <x v="242"/>
    <s v="Taxi hotel mabidi-cf,pas de fonds disponible"/>
    <s v="Transport"/>
    <s v="Investigation"/>
    <n v="1000"/>
    <n v="1.8401363172983856"/>
    <n v="543.43799999999999"/>
    <s v="P29"/>
    <s v="P29-O-D1"/>
    <s v="PALF"/>
    <x v="5"/>
    <s v="Congo"/>
    <m/>
    <m/>
    <m/>
  </r>
  <r>
    <x v="242"/>
    <s v="Taxi cf marché-cf cv,retrait des fonds"/>
    <s v="Transport"/>
    <s v="Investigation"/>
    <n v="1000"/>
    <n v="1.8401363172983856"/>
    <n v="543.43799999999999"/>
    <s v="P29"/>
    <s v="P29-O-D1"/>
    <s v="PALF"/>
    <x v="5"/>
    <s v="Congo"/>
    <m/>
    <m/>
    <m/>
  </r>
  <r>
    <x v="242"/>
    <s v="Taxi  cf cv-hotel mabidi"/>
    <s v="Transport"/>
    <s v="Investigation"/>
    <n v="1000"/>
    <n v="1.8401363172983856"/>
    <n v="543.43799999999999"/>
    <s v="P29"/>
    <s v="P29-O-D1"/>
    <s v="PALF"/>
    <x v="5"/>
    <s v="Congo"/>
    <m/>
    <m/>
    <m/>
  </r>
  <r>
    <x v="242"/>
    <s v="Taxi hotel mabidi-hotel mandebi,payement chambre op"/>
    <s v="Transport"/>
    <s v="Investigation"/>
    <n v="1000"/>
    <n v="1.8401363172983856"/>
    <n v="543.43799999999999"/>
    <s v="P29"/>
    <s v="P29-O-D1"/>
    <s v="PALF"/>
    <x v="5"/>
    <s v="Congo"/>
    <m/>
    <m/>
    <m/>
  </r>
  <r>
    <x v="242"/>
    <s v="Taxi hotel mandebi-hotel mabidi"/>
    <s v="Transport"/>
    <s v="Investigation"/>
    <n v="1000"/>
    <n v="1.8401363172983856"/>
    <n v="543.43799999999999"/>
    <s v="P29"/>
    <s v="P29-O-D1"/>
    <s v="PALF"/>
    <x v="5"/>
    <s v="Congo"/>
    <m/>
    <m/>
    <m/>
  </r>
  <r>
    <x v="242"/>
    <s v="Taxi : hotel mabendi - centre ville ( rendez vous avec la cible)"/>
    <s v="Transport"/>
    <s v="Investigation"/>
    <n v="1000"/>
    <n v="1.8401363172983856"/>
    <n v="543.43799999999999"/>
    <s v="T73"/>
    <s v="T73-O-D1"/>
    <s v="PALF"/>
    <x v="5"/>
    <s v="Congo"/>
    <m/>
    <m/>
    <m/>
  </r>
  <r>
    <x v="242"/>
    <s v="Taxi : centre ville - tsila (vérification des produit)"/>
    <s v="Transport"/>
    <s v="Investigation"/>
    <n v="1000"/>
    <n v="1.8401363172983856"/>
    <n v="543.43799999999999"/>
    <s v="T73"/>
    <s v="T73-O-D1"/>
    <s v="PALF"/>
    <x v="5"/>
    <s v="Congo"/>
    <m/>
    <m/>
    <m/>
  </r>
  <r>
    <x v="242"/>
    <s v="Taxi : tsila - centre ville (restaurant avec les cibles)"/>
    <s v="Transport"/>
    <s v="Investigation"/>
    <n v="1000"/>
    <n v="1.8401363172983856"/>
    <n v="543.43799999999999"/>
    <s v="T73"/>
    <s v="T73-O-D1"/>
    <s v="PALF"/>
    <x v="5"/>
    <s v="Congo"/>
    <m/>
    <m/>
    <m/>
  </r>
  <r>
    <x v="242"/>
    <s v="Taxi : centre ville - marché (extraction)"/>
    <s v="Transport"/>
    <s v="Investigation"/>
    <n v="1000"/>
    <n v="1.8401363172983856"/>
    <n v="543.43799999999999"/>
    <s v="T73"/>
    <s v="T73-O-D1"/>
    <s v="PALF"/>
    <x v="5"/>
    <s v="Congo"/>
    <m/>
    <m/>
    <m/>
  </r>
  <r>
    <x v="242"/>
    <s v="Taxi : marché - quartier petit zanaga (extraction)"/>
    <s v="Transport"/>
    <s v="Investigation"/>
    <n v="1000"/>
    <n v="1.8401363172983856"/>
    <n v="543.43799999999999"/>
    <s v="T73"/>
    <s v="T73-O-D1"/>
    <s v="PALF"/>
    <x v="5"/>
    <s v="Congo"/>
    <m/>
    <m/>
    <m/>
  </r>
  <r>
    <x v="242"/>
    <s v="Taxi : quartier petit zanaga - charden farel (extraction)"/>
    <s v="Transport"/>
    <s v="Investigation"/>
    <n v="1000"/>
    <n v="1.8401363172983856"/>
    <n v="543.43799999999999"/>
    <s v="T73"/>
    <s v="T73-O-D1"/>
    <s v="PALF"/>
    <x v="5"/>
    <s v="Congo"/>
    <m/>
    <m/>
    <m/>
  </r>
  <r>
    <x v="242"/>
    <s v="Taxi : charden farel - hotel madembi (extraction)"/>
    <s v="Transport"/>
    <s v="Investigation"/>
    <n v="1000"/>
    <n v="1.8401363172983856"/>
    <n v="543.43799999999999"/>
    <s v="T73"/>
    <s v="T73-O-D1"/>
    <s v="PALF"/>
    <x v="5"/>
    <s v="Congo"/>
    <m/>
    <m/>
    <m/>
  </r>
  <r>
    <x v="242"/>
    <s v="Taxi : hotel madembi - hotel yasmine (reunion avec l'équipe)"/>
    <s v="Transport"/>
    <s v="Investigation"/>
    <n v="1000"/>
    <n v="1.8401363172983856"/>
    <n v="543.43799999999999"/>
    <s v="T73"/>
    <s v="T73-O-D1"/>
    <s v="PALF"/>
    <x v="5"/>
    <s v="Congo"/>
    <m/>
    <m/>
    <m/>
  </r>
  <r>
    <x v="242"/>
    <s v="Taxi : hotel yasmine - hotel madembi (fin de journée)"/>
    <s v="Transport"/>
    <s v="Investigation"/>
    <n v="1000"/>
    <n v="1.8401363172983856"/>
    <n v="543.43799999999999"/>
    <s v="T73"/>
    <s v="T73-O-D1"/>
    <s v="PALF"/>
    <x v="5"/>
    <s v="Congo"/>
    <m/>
    <m/>
    <m/>
  </r>
  <r>
    <x v="242"/>
    <s v="achat boison, nourriture (deux cible)"/>
    <s v="Trust Building"/>
    <s v="Investigation"/>
    <n v="9000"/>
    <n v="16.561226855685469"/>
    <n v="543.43799999999999"/>
    <s v="T73"/>
    <s v="T73-O-D2"/>
    <s v="PALF"/>
    <x v="5"/>
    <s v="Congo"/>
    <m/>
    <m/>
    <m/>
  </r>
  <r>
    <x v="242"/>
    <s v="achat bouteille wisky pour l'OP"/>
    <s v="Trust Building"/>
    <s v="Investigation"/>
    <n v="3500"/>
    <n v="6.4404771105443492"/>
    <n v="543.43799999999999"/>
    <s v="T73"/>
    <s v="T73-O-D2"/>
    <s v="PALF"/>
    <x v="5"/>
    <s v="Congo"/>
    <m/>
    <m/>
    <m/>
  </r>
  <r>
    <x v="242"/>
    <s v="Taxi: Bureau-Charden Farell/Transfert de fonds"/>
    <s v="Transport"/>
    <s v="Legal"/>
    <n v="500"/>
    <n v="0.92006815864919278"/>
    <n v="543.43799999999999"/>
    <s v="Abraham"/>
    <s v="AB-O-D1"/>
    <s v="PALF"/>
    <x v="5"/>
    <s v="Congo"/>
    <m/>
    <m/>
    <m/>
  </r>
  <r>
    <x v="242"/>
    <s v="Taxi: Charden Farel-Bureau"/>
    <s v="Transport"/>
    <s v="Legal"/>
    <n v="500"/>
    <n v="0.92006815864919278"/>
    <n v="543.43799999999999"/>
    <s v="Abraham"/>
    <s v="AB-O-D1"/>
    <s v="PALF"/>
    <x v="5"/>
    <s v="Congo"/>
    <m/>
    <m/>
    <m/>
  </r>
  <r>
    <x v="242"/>
    <s v="Frais de tansfert d'argent  a P29 ,T73, DOVI et Donald-Roméo"/>
    <s v="Transfert fees"/>
    <s v="Office"/>
    <n v="12990"/>
    <n v="23.903370761706029"/>
    <n v="543.43799999999999"/>
    <s v="Abraham"/>
    <s v="CA-O-R3"/>
    <s v="PALF"/>
    <x v="5"/>
    <s v="Congo"/>
    <m/>
    <m/>
    <m/>
  </r>
  <r>
    <x v="242"/>
    <s v="Taxi:Bureau-Ouenze pour l'achat des produits d'entretien du groupe "/>
    <s v="Transport"/>
    <s v="Legal"/>
    <n v="1000"/>
    <n v="1.8401363172983856"/>
    <n v="543.43799999999999"/>
    <s v="Roderlin"/>
    <s v="RO-O-D1"/>
    <s v="PALF"/>
    <x v="5"/>
    <s v="Congo"/>
    <m/>
    <m/>
    <m/>
  </r>
  <r>
    <x v="242"/>
    <s v="Taxi:Ouenze-Bureau"/>
    <s v="Transport"/>
    <s v="Legal"/>
    <n v="1000"/>
    <n v="1.8401363172983856"/>
    <n v="543.43799999999999"/>
    <s v="Roderlin"/>
    <s v="RO-O-D1"/>
    <s v="PALF"/>
    <x v="5"/>
    <s v="Congo"/>
    <m/>
    <m/>
    <m/>
  </r>
  <r>
    <x v="242"/>
    <s v="Achat produit d'entretien  et Main d'œuvre du groupe électrogène/Bureau PALF"/>
    <s v="Office Materiels"/>
    <s v="Office"/>
    <n v="96000"/>
    <n v="176.653086460645"/>
    <n v="543.43799999999999"/>
    <s v="Roderlin"/>
    <s v="CA-O-R2"/>
    <s v="PALF"/>
    <x v="5"/>
    <s v="Congo"/>
    <m/>
    <m/>
    <m/>
  </r>
  <r>
    <x v="242"/>
    <s v="Taxi Hôtel Yasmine-Charden farell"/>
    <s v="Transport "/>
    <s v="Legal"/>
    <n v="1000"/>
    <n v="1.8401363172983856"/>
    <n v="543.43799999999999"/>
    <s v="Donald-Roméo"/>
    <s v="DR-O-D1"/>
    <s v="PALF"/>
    <x v="5"/>
    <s v="Congo"/>
    <m/>
    <m/>
    <m/>
  </r>
  <r>
    <x v="242"/>
    <s v="Taxi Charden farell-Hôtel Yasmine"/>
    <s v="Transport "/>
    <s v="Legal"/>
    <n v="1000"/>
    <n v="1.8401363172983856"/>
    <n v="543.43799999999999"/>
    <s v="Donald-Roméo"/>
    <s v="DR-O-D1"/>
    <s v="PALF"/>
    <x v="5"/>
    <s v="Congo"/>
    <m/>
    <m/>
    <m/>
  </r>
  <r>
    <x v="242"/>
    <s v="Taxi: Bureau-Station  Service PUMA  pour l'achat du carburant"/>
    <s v="Transport"/>
    <s v="Legal"/>
    <n v="1500"/>
    <n v="2.7602044759475781"/>
    <n v="543.43799999999999"/>
    <s v="Romain"/>
    <s v="RM-O-D1"/>
    <s v="PALF"/>
    <x v="5"/>
    <s v="Congo"/>
    <m/>
    <m/>
    <m/>
  </r>
  <r>
    <x v="242"/>
    <s v="Taxi: Station service PUMA-Bureau"/>
    <s v="Transport"/>
    <s v="Legal"/>
    <n v="1500"/>
    <n v="2.7602044759475781"/>
    <n v="543.43799999999999"/>
    <s v="Romain"/>
    <s v="RM-O-D1"/>
    <s v="PALF"/>
    <x v="5"/>
    <s v="Congo"/>
    <m/>
    <m/>
    <m/>
  </r>
  <r>
    <x v="242"/>
    <s v="Achat carburant groupe electrogène Bureau "/>
    <s v="Office Materiels"/>
    <s v="Office "/>
    <n v="31250"/>
    <n v="57.504259915574544"/>
    <n v="543.43799999999999"/>
    <s v="Romain"/>
    <s v="CA-O-R1"/>
    <s v="PALF"/>
    <x v="5"/>
    <s v="Congo"/>
    <m/>
    <m/>
    <m/>
  </r>
  <r>
    <x v="243"/>
    <s v="Hotel Yasmine - DDEF"/>
    <s v="Transport"/>
    <s v="Management"/>
    <n v="1000"/>
    <n v="1.8401363172983856"/>
    <n v="543.43799999999999"/>
    <s v="DOVI"/>
    <s v="DH-O-D1"/>
    <s v="PALF"/>
    <x v="5"/>
    <s v="Congo"/>
    <m/>
    <m/>
    <m/>
  </r>
  <r>
    <x v="243"/>
    <s v="DDEF - Hôtel Yasmine"/>
    <s v="Transport"/>
    <s v="Management"/>
    <n v="1000"/>
    <n v="1.8401363172983856"/>
    <n v="543.43799999999999"/>
    <s v="DOVI"/>
    <s v="DH-O-D1"/>
    <s v="PALF"/>
    <x v="5"/>
    <s v="Congo"/>
    <m/>
    <m/>
    <m/>
  </r>
  <r>
    <x v="243"/>
    <s v="Taxi: Hôtel MANDEBI-DDEF"/>
    <s v="Transport"/>
    <s v="Legal"/>
    <n v="1000"/>
    <n v="1.8401363172983856"/>
    <n v="543.43799999999999"/>
    <s v="Crépin"/>
    <s v="CR-O-D1"/>
    <s v="PALF"/>
    <x v="5"/>
    <s v="Congo"/>
    <m/>
    <m/>
    <m/>
  </r>
  <r>
    <x v="243"/>
    <s v="Taxi: Parquet-Hôtel YASMINE"/>
    <s v="Transport"/>
    <s v="Legal"/>
    <n v="1000"/>
    <n v="1.8401363172983856"/>
    <n v="543.43799999999999"/>
    <s v="Crépin"/>
    <s v="CR-O-D1"/>
    <s v="PALF"/>
    <x v="5"/>
    <s v="Congo"/>
    <m/>
    <m/>
    <m/>
  </r>
  <r>
    <x v="243"/>
    <s v="Taxi: Hôtel Yasmine-Hôtel MANDEBI"/>
    <s v="Transport"/>
    <s v="Legal"/>
    <n v="1000"/>
    <n v="1.8401363172983856"/>
    <n v="543.43799999999999"/>
    <s v="Crépin"/>
    <s v="CR-O-D1"/>
    <s v="PALF"/>
    <x v="5"/>
    <s v="Congo"/>
    <m/>
    <m/>
    <m/>
  </r>
  <r>
    <x v="243"/>
    <s v="Taxi:  Bureau-Banque BCI/ Retrait réleve septembre 2025"/>
    <s v="Transport"/>
    <s v="Office"/>
    <n v="1000"/>
    <n v="1.8401363172983856"/>
    <n v="543.43799999999999"/>
    <s v="Parfaite"/>
    <s v="P-O-D1"/>
    <s v="PALF"/>
    <x v="5"/>
    <s v="Congo"/>
    <m/>
    <m/>
    <m/>
  </r>
  <r>
    <x v="243"/>
    <s v="Taxi:  Banque BCI - Bureau"/>
    <s v="Transport"/>
    <s v="Office"/>
    <n v="1000"/>
    <n v="1.8401363172983856"/>
    <n v="543.43799999999999"/>
    <s v="Parfaite"/>
    <s v="P-O-D1"/>
    <s v="PALF"/>
    <x v="5"/>
    <s v="Congo"/>
    <m/>
    <m/>
    <m/>
  </r>
  <r>
    <x v="243"/>
    <s v="Taxi hotel mabidi-hotel yasmine,brefing avec l'équipe"/>
    <s v="Transport"/>
    <s v="Investigation"/>
    <n v="1000"/>
    <n v="1.8401363172983856"/>
    <n v="543.43799999999999"/>
    <s v="P29"/>
    <s v="P29-O-D1"/>
    <s v="PALF"/>
    <x v="5"/>
    <s v="Congo"/>
    <m/>
    <m/>
    <m/>
  </r>
  <r>
    <x v="243"/>
    <s v="Taxi hotel yasmine-hotel mabidi"/>
    <s v="Transport"/>
    <s v="Investigation"/>
    <n v="1000"/>
    <n v="1.8401363172983856"/>
    <n v="543.43799999999999"/>
    <s v="P29"/>
    <s v="P29-O-D1"/>
    <s v="PALF"/>
    <x v="5"/>
    <s v="Congo"/>
    <m/>
    <m/>
    <m/>
  </r>
  <r>
    <x v="243"/>
    <s v="Taxi Hôtel Yasmine-Grand marché/ Faire imprimer le mandat et la photo"/>
    <s v="Transport "/>
    <s v="Legal"/>
    <n v="1000"/>
    <n v="1.8401363172983856"/>
    <n v="543.43799999999999"/>
    <s v="Donald-Roméo"/>
    <s v="DR-O-D1"/>
    <s v="PALF"/>
    <x v="5"/>
    <s v="Congo"/>
    <m/>
    <m/>
    <m/>
  </r>
  <r>
    <x v="243"/>
    <s v="Frais d'impression de la photo et du mandat"/>
    <s v="Court fees"/>
    <s v="Legal"/>
    <n v="1400"/>
    <n v="2.5761908442177397"/>
    <n v="543.43799999999999"/>
    <s v="Donald-Roméo"/>
    <s v="DR-O-R1"/>
    <s v="PALF"/>
    <x v="5"/>
    <s v="Congo"/>
    <m/>
    <m/>
    <m/>
  </r>
  <r>
    <x v="243"/>
    <s v="Taxi Grand marché-Hôtel Mandebi/ Retirer les effets de Crépin"/>
    <s v="Transport "/>
    <s v="Legal"/>
    <n v="1000"/>
    <n v="1.8401363172983856"/>
    <n v="543.43799999999999"/>
    <s v="Donald-Roméo"/>
    <s v="DR-O-D1"/>
    <s v="PALF"/>
    <x v="5"/>
    <s v="Congo"/>
    <m/>
    <m/>
    <m/>
  </r>
  <r>
    <x v="243"/>
    <s v="Taxi Hôtel Mandebi-Hôtel Yasmine"/>
    <s v="Transport "/>
    <s v="Legal"/>
    <n v="1000"/>
    <n v="1.8401363172983856"/>
    <n v="543.43799999999999"/>
    <s v="Donald-Roméo"/>
    <s v="DR-O-D1"/>
    <s v="PALF"/>
    <x v="5"/>
    <s v="Congo"/>
    <m/>
    <m/>
    <m/>
  </r>
  <r>
    <x v="244"/>
    <s v="Hôtel Yasmine -Gendarmerie"/>
    <s v="Transport"/>
    <s v="Management"/>
    <n v="1000"/>
    <n v="1.8401363172983856"/>
    <n v="543.43799999999999"/>
    <s v="DOVI"/>
    <s v="DH-O-D1"/>
    <s v="PALF"/>
    <x v="5"/>
    <s v="Congo"/>
    <m/>
    <m/>
    <m/>
  </r>
  <r>
    <x v="244"/>
    <s v="Gendarmerie - Hotel Mandébi"/>
    <s v="Transport"/>
    <s v="Management"/>
    <n v="1000"/>
    <n v="1.8401363172983856"/>
    <n v="543.43799999999999"/>
    <s v="DOVI"/>
    <s v="DH-O-D1"/>
    <s v="PALF"/>
    <x v="5"/>
    <s v="Congo"/>
    <m/>
    <m/>
    <m/>
  </r>
  <r>
    <x v="244"/>
    <s v="Rafraîchissement op"/>
    <s v="Travel Subsistence"/>
    <s v="Management"/>
    <n v="3300"/>
    <n v="6.0724498470846724"/>
    <n v="543.43799999999999"/>
    <s v="DOVI"/>
    <s v="DH-O-R1"/>
    <s v="PALF"/>
    <x v="5"/>
    <s v="Congo"/>
    <m/>
    <m/>
    <m/>
  </r>
  <r>
    <x v="244"/>
    <s v="Hotel Mandébi - Gendarmerie"/>
    <s v="Transport"/>
    <s v="Management"/>
    <n v="1000"/>
    <n v="1.8401363172983856"/>
    <n v="543.43799999999999"/>
    <s v="DOVI"/>
    <s v="DH-O-D1"/>
    <s v="PALF"/>
    <x v="5"/>
    <s v="Congo"/>
    <m/>
    <m/>
    <m/>
  </r>
  <r>
    <x v="244"/>
    <s v="Gendarmerie - Hotel Mandébi"/>
    <s v="Transport"/>
    <s v="Management"/>
    <n v="1000"/>
    <n v="1.8401363172983856"/>
    <n v="543.43799999999999"/>
    <s v="DOVI"/>
    <s v="DH-O-D1"/>
    <s v="PALF"/>
    <x v="5"/>
    <s v="Congo"/>
    <m/>
    <m/>
    <m/>
  </r>
  <r>
    <x v="244"/>
    <s v="Hotel Mandébi - Hotel Yasmine"/>
    <s v="Transport"/>
    <s v="Management"/>
    <n v="1000"/>
    <n v="1.8401363172983856"/>
    <n v="543.43799999999999"/>
    <s v="DOVI"/>
    <s v="DH-O-D1"/>
    <s v="PALF"/>
    <x v="5"/>
    <s v="Congo"/>
    <m/>
    <m/>
    <m/>
  </r>
  <r>
    <x v="244"/>
    <s v="Achat billet Dolisie - Brazzaville/ DOVI"/>
    <s v="Transport"/>
    <s v="Management"/>
    <n v="9000"/>
    <n v="16.561226855685469"/>
    <n v="543.43799999999999"/>
    <s v="DOVI"/>
    <s v="DH-O-R2"/>
    <s v="PALF"/>
    <x v="5"/>
    <s v="Congo"/>
    <m/>
    <m/>
    <m/>
  </r>
  <r>
    <x v="244"/>
    <s v="DOVI-CONGO Frais d'hôtel du 29  Septembre 2025 au 05 Octobre 2025 soit 06 nuitées à Dolisie(Hôtel Yasmine)"/>
    <s v="Travel Subsistence"/>
    <s v="Management"/>
    <n v="90000"/>
    <n v="165.6122685568547"/>
    <n v="543.43799999999999"/>
    <s v="DOVI"/>
    <s v="DH-O-R3"/>
    <s v="PALF"/>
    <x v="5"/>
    <s v="Congo"/>
    <m/>
    <m/>
    <m/>
  </r>
  <r>
    <x v="244"/>
    <s v="Taxi: Hôtel MANDEBI-Hôtel YASMINE"/>
    <s v="Transport"/>
    <s v="Legal"/>
    <n v="1000"/>
    <n v="1.8401363172983856"/>
    <n v="543.43799999999999"/>
    <s v="Crépin"/>
    <s v="CR-O-D1"/>
    <s v="PALF"/>
    <x v="5"/>
    <s v="Congo"/>
    <m/>
    <m/>
    <m/>
  </r>
  <r>
    <x v="244"/>
    <s v="Taxi: Hôtel YASMINE-Gendarmerie."/>
    <s v="Transport"/>
    <s v="Legal"/>
    <n v="1000"/>
    <n v="1.8401363172983856"/>
    <n v="543.43799999999999"/>
    <s v="Crépin"/>
    <s v="CR-O-D1"/>
    <s v="PALF"/>
    <x v="5"/>
    <s v="Congo"/>
    <m/>
    <m/>
    <m/>
  </r>
  <r>
    <x v="244"/>
    <s v="Taxi: Gendarmerie-Hôtel MANDEBI pour l'opération"/>
    <s v="Transport"/>
    <s v="Legal"/>
    <n v="9600"/>
    <n v="17.665308646064499"/>
    <n v="543.43799999999999"/>
    <s v="Crépin"/>
    <s v="CR-O-R2"/>
    <s v="PALF"/>
    <x v="5"/>
    <s v="Congo"/>
    <m/>
    <m/>
    <m/>
  </r>
  <r>
    <x v="244"/>
    <s v="Raffraichissement et plats pendant l'attente de l'opération avec deux gendarmes"/>
    <s v="Transport"/>
    <s v="Legal"/>
    <n v="1000"/>
    <n v="1.8401363172983856"/>
    <n v="543.43799999999999"/>
    <s v="Crépin"/>
    <s v="CR-O-D1"/>
    <s v="PALF"/>
    <x v="5"/>
    <s v="Congo"/>
    <m/>
    <m/>
    <m/>
  </r>
  <r>
    <x v="244"/>
    <s v="Taxi: Hôtel MANDEBI-Gendarmerie après interpellation"/>
    <s v="Transport"/>
    <s v="Legal"/>
    <n v="1000"/>
    <n v="1.8401363172983856"/>
    <n v="543.43799999999999"/>
    <s v="Crépin"/>
    <s v="CR-O-D1"/>
    <s v="PALF"/>
    <x v="5"/>
    <s v="Congo"/>
    <m/>
    <m/>
    <m/>
  </r>
  <r>
    <x v="244"/>
    <s v="Taxi: Gendarmerie-Hôtel YASMINE pour recupération de bagages"/>
    <s v="Transport"/>
    <s v="Legal"/>
    <n v="1000"/>
    <n v="1.8401363172983856"/>
    <n v="543.43799999999999"/>
    <s v="Crépin"/>
    <s v="CR-O-D1"/>
    <s v="PALF"/>
    <x v="5"/>
    <s v="Congo"/>
    <m/>
    <m/>
    <m/>
  </r>
  <r>
    <x v="244"/>
    <s v="Taxi: Hôtel YASMINE-Hôtel Pharaon 2 "/>
    <s v="Transport"/>
    <s v="Legal"/>
    <n v="1000"/>
    <n v="1.8401363172983856"/>
    <n v="543.43799999999999"/>
    <s v="Crépin"/>
    <s v="CR-O-D1"/>
    <s v="PALF"/>
    <x v="5"/>
    <s v="Congo"/>
    <m/>
    <m/>
    <m/>
  </r>
  <r>
    <x v="244"/>
    <s v="Location véhicule pour extraction dolisie-nkayi/P29"/>
    <s v="Transport"/>
    <s v="Investigation"/>
    <n v="50000"/>
    <n v="92.006815864919275"/>
    <n v="543.43799999999999"/>
    <s v="P29"/>
    <s v="P29-O-R1"/>
    <s v="PALF"/>
    <x v="5"/>
    <s v="Congo"/>
    <m/>
    <m/>
    <m/>
  </r>
  <r>
    <x v="244"/>
    <s v="Taxi hotel mabidi-hotel mamdebi,donné le téléphone à crépin"/>
    <s v="Transport"/>
    <s v="Investigation"/>
    <n v="1000"/>
    <n v="1.8401363172983856"/>
    <n v="543.43799999999999"/>
    <s v="P29"/>
    <s v="P29-O-D1"/>
    <s v="PALF"/>
    <x v="5"/>
    <s v="Congo"/>
    <m/>
    <m/>
    <m/>
  </r>
  <r>
    <x v="244"/>
    <s v="Taxi hotel mamdebi-hotel mabidi"/>
    <s v="Transport"/>
    <s v="Investigation"/>
    <n v="1000"/>
    <n v="1.8401363172983856"/>
    <n v="543.43799999999999"/>
    <s v="P29"/>
    <s v="P29-O-D1"/>
    <s v="PALF"/>
    <x v="5"/>
    <s v="Congo"/>
    <m/>
    <m/>
    <m/>
  </r>
  <r>
    <x v="244"/>
    <s v="Taxi hotel mabidi-4 points cardinaux,croiser le chauffeur (extraction)"/>
    <s v="Transport"/>
    <s v="Investigation"/>
    <n v="1500"/>
    <n v="2.7602044759475781"/>
    <n v="543.43799999999999"/>
    <s v="P29"/>
    <s v="P29-O-D1"/>
    <s v="PALF"/>
    <x v="5"/>
    <s v="Congo"/>
    <m/>
    <m/>
    <m/>
  </r>
  <r>
    <x v="244"/>
    <s v="Taxi route national-transbony,achat billet"/>
    <s v="Transport"/>
    <s v="Investigation"/>
    <n v="1000"/>
    <n v="1.8401363172983856"/>
    <n v="543.43799999999999"/>
    <s v="P29"/>
    <s v="P29-O-D1"/>
    <s v="PALF"/>
    <x v="5"/>
    <s v="Congo"/>
    <m/>
    <m/>
    <m/>
  </r>
  <r>
    <x v="244"/>
    <s v="Taxi transbony-océan du nord,réservation billet"/>
    <s v="Transport"/>
    <s v="Investigation"/>
    <n v="1000"/>
    <n v="1.8401363172983856"/>
    <n v="543.43799999999999"/>
    <s v="P29"/>
    <s v="P29-O-D1"/>
    <s v="PALF"/>
    <x v="5"/>
    <s v="Congo"/>
    <m/>
    <m/>
    <m/>
  </r>
  <r>
    <x v="244"/>
    <s v="Achat billet Nkayi-Brazzaville"/>
    <s v="Transport"/>
    <s v="Investigation"/>
    <n v="8000"/>
    <n v="14.721090538387084"/>
    <n v="543.43799999999999"/>
    <s v="P29"/>
    <s v="P29-O-R2"/>
    <s v="PALF"/>
    <x v="5"/>
    <s v="Congo"/>
    <m/>
    <m/>
    <m/>
  </r>
  <r>
    <x v="244"/>
    <s v="P29 -CONGO Frais d'hotel du 30/09/ au 04/10/2025 à  Dolisie (04 Nuitées)"/>
    <s v="Travel Subsistence"/>
    <s v="Investigation"/>
    <n v="60000"/>
    <n v="110.40817903790312"/>
    <n v="543.43799999999999"/>
    <s v="P29"/>
    <s v="P29-O-R3"/>
    <s v="PALF"/>
    <x v="5"/>
    <s v="Congo"/>
    <m/>
    <m/>
    <m/>
  </r>
  <r>
    <x v="244"/>
    <s v="Achat carburant BJ OP"/>
    <s v="Transport "/>
    <s v="Operation"/>
    <n v="25000"/>
    <n v="46.003407932459638"/>
    <n v="543.43799999999999"/>
    <s v="Donald-Roméo"/>
    <s v="DR-O-R2"/>
    <s v="PALF"/>
    <x v="5"/>
    <s v="Congo"/>
    <m/>
    <m/>
    <m/>
  </r>
  <r>
    <x v="244"/>
    <s v="Raffraichissement OP  à Dolisie/10  gendarmes et moi"/>
    <s v="Travel Subsistence"/>
    <s v="Legal"/>
    <n v="18300"/>
    <n v="33.674494606560458"/>
    <n v="543.43799999999999"/>
    <s v="Donald-Roméo"/>
    <s v="DR-O-R3"/>
    <s v="PALF"/>
    <x v="5"/>
    <s v="Congo"/>
    <m/>
    <m/>
    <m/>
  </r>
  <r>
    <x v="244"/>
    <s v="Taxi Gendarmerie-Gare Routière/ Extraction"/>
    <s v="Transport "/>
    <s v="Legal"/>
    <n v="1000"/>
    <n v="1.8401363172983856"/>
    <n v="543.43799999999999"/>
    <s v="Donald-Roméo"/>
    <s v="DR-O-D1"/>
    <s v="PALF"/>
    <x v="5"/>
    <s v="Congo"/>
    <m/>
    <m/>
    <m/>
  </r>
  <r>
    <x v="244"/>
    <s v="Taxi Gare Routière-Route Nationale"/>
    <s v="Transport "/>
    <s v="Legal"/>
    <n v="1000"/>
    <n v="1.8401363172983856"/>
    <n v="543.43799999999999"/>
    <s v="Donald-Roméo"/>
    <s v="DR-O-D1"/>
    <s v="PALF"/>
    <x v="5"/>
    <s v="Congo"/>
    <m/>
    <m/>
    <m/>
  </r>
  <r>
    <x v="244"/>
    <s v="Taxi Route Nationale-Agence Trans Bony du grand marché/ Faire la reservation du billet de Jules"/>
    <s v="Transport "/>
    <s v="Legal"/>
    <n v="1000"/>
    <n v="1.8401363172983856"/>
    <n v="543.43799999999999"/>
    <s v="Donald-Roméo"/>
    <s v="DR-O-D1"/>
    <s v="PALF"/>
    <x v="5"/>
    <s v="Congo"/>
    <m/>
    <m/>
    <m/>
  </r>
  <r>
    <x v="244"/>
    <s v="Taxi Trans Bony du grand marché-Agence Océan du Nord "/>
    <s v="Transport "/>
    <s v="Legal"/>
    <n v="1000"/>
    <n v="1.8401363172983856"/>
    <n v="543.43799999999999"/>
    <s v="Donald-Roméo"/>
    <s v="DR-O-D1"/>
    <s v="PALF"/>
    <x v="5"/>
    <s v="Congo"/>
    <m/>
    <m/>
    <m/>
  </r>
  <r>
    <x v="244"/>
    <s v="Taxi Agence Océan du Nord-Agence trans Bony de la Mucodec"/>
    <s v="Transport "/>
    <s v="Legal"/>
    <n v="1000"/>
    <n v="1.8401363172983856"/>
    <n v="543.43799999999999"/>
    <s v="Donald-Roméo"/>
    <s v="DR-O-D1"/>
    <s v="PALF"/>
    <x v="5"/>
    <s v="Congo"/>
    <m/>
    <m/>
    <m/>
  </r>
  <r>
    <x v="244"/>
    <s v="Taxi Agence trans Bony de la Mucodec- Hôtel Yasmine"/>
    <s v="Transport "/>
    <s v="Legal"/>
    <n v="1000"/>
    <n v="1.8401363172983856"/>
    <n v="543.43799999999999"/>
    <s v="Donald-Roméo"/>
    <s v="DR-O-D1"/>
    <s v="PALF"/>
    <x v="5"/>
    <s v="Congo"/>
    <m/>
    <m/>
    <m/>
  </r>
  <r>
    <x v="244"/>
    <s v="Taxi  Hôtel Yasmine-La Brigade Territoriale/ Pour la visite geôle du 04/10/2025 à 20h"/>
    <s v="Transport "/>
    <s v="Legal"/>
    <n v="1000"/>
    <n v="1.8401363172983856"/>
    <n v="543.43799999999999"/>
    <s v="Donald-Roméo"/>
    <s v="DR-O-D1"/>
    <s v="PALF"/>
    <x v="5"/>
    <s v="Congo"/>
    <m/>
    <m/>
    <m/>
  </r>
  <r>
    <x v="244"/>
    <s v="Ration des deux prevenus/ Darel et Lionel/ BT de Dolisie/Soir"/>
    <s v="Jail visit"/>
    <s v="Legal"/>
    <n v="3000"/>
    <n v="5.5204089518951562"/>
    <n v="543.43799999999999"/>
    <s v="Donald-Roméo"/>
    <s v="DR-O-D2"/>
    <s v="PALF"/>
    <x v="5"/>
    <s v="Congo"/>
    <m/>
    <m/>
    <m/>
  </r>
  <r>
    <x v="244"/>
    <s v="Taxi  La Brigade Territoriale- Hôtel Yasmine"/>
    <s v="Transport "/>
    <s v="Legal"/>
    <n v="1000"/>
    <n v="1.8401363172983856"/>
    <n v="543.43799999999999"/>
    <s v="Donald-Roméo"/>
    <s v="DR-O-D1"/>
    <s v="PALF"/>
    <x v="5"/>
    <s v="Congo"/>
    <m/>
    <m/>
    <m/>
  </r>
  <r>
    <x v="244"/>
    <s v="Taxi, Région de Gendarmerie-La pâtisserie moderne "/>
    <s v="Transport"/>
    <s v="Media"/>
    <n v="1000"/>
    <n v="1.8401363172983856"/>
    <n v="543.43799999999999"/>
    <s v="Evariste"/>
    <s v="EV-O-D1"/>
    <s v="PALF"/>
    <x v="5"/>
    <s v="Congo"/>
    <m/>
    <m/>
    <m/>
  </r>
  <r>
    <x v="244"/>
    <s v="Rafraichissement mon équipe lors de l'opération"/>
    <s v="Travel Subsistence"/>
    <s v="Media"/>
    <n v="11000"/>
    <n v="20.241499490282241"/>
    <n v="543.43799999999999"/>
    <s v="Evariste"/>
    <s v="EV-O-R1"/>
    <s v="PALF"/>
    <x v="5"/>
    <s v="Congo"/>
    <m/>
    <m/>
    <m/>
  </r>
  <r>
    <x v="244"/>
    <s v="Taxi, La pâtisserie moderne-La Région de Gendarmerie du Niari"/>
    <s v="Transport"/>
    <s v="Media"/>
    <n v="1000"/>
    <n v="1.8401363172983856"/>
    <n v="543.43799999999999"/>
    <s v="Evariste"/>
    <s v="EV-O-D1"/>
    <s v="PALF"/>
    <x v="5"/>
    <s v="Congo"/>
    <m/>
    <m/>
    <m/>
  </r>
  <r>
    <x v="245"/>
    <s v="Hôtel Yasmine - Agence Transbony (paiement aller et retour du taxi qui est venu me récupérer à l'hôtel)"/>
    <s v="Transport"/>
    <s v="Management"/>
    <n v="2000"/>
    <n v="3.6802726345967711"/>
    <n v="543.43799999999999"/>
    <s v="DOVI"/>
    <s v="DH-O-D1"/>
    <s v="PALF"/>
    <x v="5"/>
    <s v="Congo"/>
    <m/>
    <m/>
    <m/>
  </r>
  <r>
    <x v="245"/>
    <s v="Kintélé - Maison (Bus tombé en panne et contrains de prendre un taxi)"/>
    <s v="Transport"/>
    <s v="Management"/>
    <n v="2000"/>
    <n v="3.6802726345967711"/>
    <n v="543.43799999999999"/>
    <s v="DOVI"/>
    <s v="DH-O-D1"/>
    <s v="PALF"/>
    <x v="5"/>
    <s v="Congo"/>
    <m/>
    <m/>
    <m/>
  </r>
  <r>
    <x v="245"/>
    <s v="CREPIN-CONGO Ration du 05 au 18/10/2025 à Dolisie"/>
    <s v="Travel Subsistence"/>
    <s v="Legal"/>
    <n v="130000"/>
    <n v="239.21772124879013"/>
    <n v="543.43799999999999"/>
    <s v="Crépin"/>
    <s v="CR-O-D2"/>
    <s v="PALF"/>
    <x v="5"/>
    <s v="Congo"/>
    <m/>
    <m/>
    <m/>
  </r>
  <r>
    <x v="245"/>
    <s v="Taxi:  Domicile- Direction MTN/transfert d'argent a P29 et T73"/>
    <s v="Transport"/>
    <s v="Office"/>
    <n v="1500"/>
    <n v="2.7602044759475781"/>
    <n v="543.43799999999999"/>
    <s v="Parfaite"/>
    <s v="P-O-D1"/>
    <s v="PALF"/>
    <x v="5"/>
    <s v="Congo"/>
    <m/>
    <m/>
    <m/>
  </r>
  <r>
    <x v="245"/>
    <s v="Taxi:   Direction MTN-Domicile"/>
    <s v="Transport"/>
    <s v="Office"/>
    <n v="1500"/>
    <n v="2.7602044759475781"/>
    <n v="543.43799999999999"/>
    <s v="Parfaite"/>
    <s v="P-O-D1"/>
    <s v="PALF"/>
    <x v="5"/>
    <s v="Congo"/>
    <m/>
    <m/>
    <m/>
  </r>
  <r>
    <x v="245"/>
    <s v="P29 -CONGO Frais d'hotel du 01 au 05/10/2025 à Dolisie lieu OP1 (T73) (04 Nuitées)"/>
    <s v="Travel Subsistence"/>
    <s v="Investigation"/>
    <n v="100000"/>
    <n v="184.01363172983855"/>
    <n v="543.43799999999999"/>
    <s v="P29"/>
    <s v="P29-O-R4"/>
    <s v="PALF"/>
    <x v="5"/>
    <s v="Congo"/>
    <m/>
    <m/>
    <m/>
  </r>
  <r>
    <x v="245"/>
    <s v="P29 -CONGO Frais d'hotel du 01 au 05/10/2025 à Dolisie lieu OP2 (Crépin) (04 Nuitées)"/>
    <s v="Travel Subsistence"/>
    <s v="Investigation"/>
    <n v="100000"/>
    <n v="184.01363172983855"/>
    <n v="543.43799999999999"/>
    <s v="P29"/>
    <s v="P29-O-R5"/>
    <s v="PALF"/>
    <x v="5"/>
    <s v="Congo"/>
    <m/>
    <m/>
    <m/>
  </r>
  <r>
    <x v="245"/>
    <s v="P29 - CONGO Ration  du 05 au 06/10/2025 à Nkayi (1 Nuitée)"/>
    <s v="Travel Subsistence"/>
    <s v="Investigation"/>
    <n v="10000"/>
    <n v="18.401363172983856"/>
    <n v="543.43799999999999"/>
    <s v="P29"/>
    <s v="P29-O-D2"/>
    <s v="PALF"/>
    <x v="5"/>
    <s v="Congo"/>
    <m/>
    <m/>
    <m/>
  </r>
  <r>
    <x v="245"/>
    <s v="T73 - CONGO Frais Ration  du 05 au 06/10/2025 à Nkayi (02 Nuitées)"/>
    <s v="Travel Subsistence"/>
    <s v="Investigation"/>
    <n v="10000"/>
    <n v="18.401363172983856"/>
    <n v="543.43799999999999"/>
    <s v="T73"/>
    <s v="T73-O-D3"/>
    <s v="PALF"/>
    <x v="5"/>
    <s v="Congo"/>
    <m/>
    <m/>
    <m/>
  </r>
  <r>
    <x v="245"/>
    <s v="Taxi : hotel crapp - agence océan/retour sur Brazzaville"/>
    <s v="Transport"/>
    <s v="Investigation"/>
    <n v="1000"/>
    <n v="1.8401363172983856"/>
    <n v="543.43799999999999"/>
    <s v="T73"/>
    <s v="T73-O-D1"/>
    <s v="PALF"/>
    <x v="5"/>
    <s v="Congo"/>
    <m/>
    <m/>
    <m/>
  </r>
  <r>
    <x v="245"/>
    <s v="Achat billet  Nkayi - Brazzaville/T73"/>
    <s v="Transport"/>
    <s v="Investigation"/>
    <n v="8000"/>
    <n v="14.721090538387084"/>
    <n v="543.43799999999999"/>
    <s v="T73"/>
    <s v="T73-O-R2"/>
    <s v="PALF"/>
    <x v="5"/>
    <s v="Congo"/>
    <m/>
    <m/>
    <m/>
  </r>
  <r>
    <x v="245"/>
    <s v="T73 - CONGO Frais d'hotel du 03/10/2025 au 05/10/2025 à Nkayi (02 Nuitées)"/>
    <s v="Travel Subsistence"/>
    <s v="Investigation"/>
    <n v="30000"/>
    <n v="55.204089518951562"/>
    <n v="543.43799999999999"/>
    <s v="T73"/>
    <s v="T73-O-R3"/>
    <s v="PALF"/>
    <x v="5"/>
    <s v="Congo"/>
    <m/>
    <m/>
    <m/>
  </r>
  <r>
    <x v="245"/>
    <s v="taxi : agence océan - domicile"/>
    <s v="Transport"/>
    <s v="Investigation"/>
    <n v="1000"/>
    <n v="1.8401363172983856"/>
    <n v="543.43799999999999"/>
    <s v="T73"/>
    <s v="T73-O-D1"/>
    <s v="PALF"/>
    <x v="5"/>
    <s v="Congo"/>
    <m/>
    <m/>
    <m/>
  </r>
  <r>
    <x v="245"/>
    <s v="Donald-Roméo- CONGO Ration  du 05 au 18/10/2025 à Dolisie"/>
    <s v="Travel Subsistence"/>
    <s v="Legal"/>
    <n v="130000"/>
    <n v="239.21772124879013"/>
    <n v="543.43799999999999"/>
    <s v="Donald-Roméo"/>
    <s v="DR-O-D3"/>
    <s v="PALF"/>
    <x v="5"/>
    <s v="Congo"/>
    <m/>
    <m/>
    <m/>
  </r>
  <r>
    <x v="245"/>
    <s v="Taxi  Hôtel Yasmine-La Brigade Territoriale/ Pour la visite geôle du 05/10/2025 à 07h"/>
    <s v="Transport "/>
    <s v="Legal"/>
    <n v="1000"/>
    <n v="1.8401363172983856"/>
    <n v="543.43799999999999"/>
    <s v="Donald-Roméo"/>
    <s v="DR-O-D1"/>
    <s v="PALF"/>
    <x v="5"/>
    <s v="Congo"/>
    <m/>
    <m/>
    <m/>
  </r>
  <r>
    <x v="245"/>
    <s v="Ration des deux prevenus/ Darel et Lionel/ BT de Dolisie/matin"/>
    <s v="Jail visit"/>
    <s v="Legal"/>
    <n v="3000"/>
    <n v="5.5204089518951562"/>
    <n v="543.43799999999999"/>
    <s v="Donald-Roméo"/>
    <s v="DR-O-D2"/>
    <s v="PALF"/>
    <x v="5"/>
    <s v="Congo"/>
    <m/>
    <m/>
    <m/>
  </r>
  <r>
    <x v="245"/>
    <s v="Taxi  La Brigade Territoriale- Hôtel Yasmine"/>
    <s v="Transport "/>
    <s v="Legal"/>
    <n v="1000"/>
    <n v="1.8401363172983856"/>
    <n v="543.43799999999999"/>
    <s v="Donald-Roméo"/>
    <s v="DR-O-D1"/>
    <s v="PALF"/>
    <x v="5"/>
    <s v="Congo"/>
    <m/>
    <m/>
    <m/>
  </r>
  <r>
    <x v="245"/>
    <s v="Taxi  Hôtel Yasmine-La Brigade Territoriale/ Pour la visite geôle du 05/10/2025 à 20h"/>
    <s v="Transport "/>
    <s v="Legal"/>
    <n v="1000"/>
    <n v="1.8401363172983856"/>
    <n v="543.43799999999999"/>
    <s v="Donald-Roméo"/>
    <s v="DR-O-D1"/>
    <s v="PALF"/>
    <x v="5"/>
    <s v="Congo"/>
    <m/>
    <m/>
    <m/>
  </r>
  <r>
    <x v="245"/>
    <s v="Ration des deux prevenus/ Darel et Lionel/ BT de Dolisie/Soir"/>
    <s v="Jail visit"/>
    <s v="Legal"/>
    <n v="3000"/>
    <n v="5.5204089518951562"/>
    <n v="543.43799999999999"/>
    <s v="Donald-Roméo"/>
    <s v="DR-O-D2"/>
    <s v="PALF"/>
    <x v="5"/>
    <s v="Congo"/>
    <m/>
    <m/>
    <m/>
  </r>
  <r>
    <x v="245"/>
    <s v="Taxi  La Brigade Territoriale- Hôtel Yasmine"/>
    <s v="Transport "/>
    <s v="Legal"/>
    <n v="1000"/>
    <n v="1.8401363172983856"/>
    <n v="543.43799999999999"/>
    <s v="Donald-Roméo"/>
    <s v="DR-O-D1"/>
    <s v="PALF"/>
    <x v="5"/>
    <s v="Congo"/>
    <m/>
    <m/>
    <m/>
  </r>
  <r>
    <x v="245"/>
    <s v="Evariste-CONGO-Ration du 05 au 09 octobre 2025 à Dolisie"/>
    <s v="Travel Subsistence"/>
    <s v="Media"/>
    <n v="40000"/>
    <n v="73.605452691935426"/>
    <n v="543.43799999999999"/>
    <s v="Evariste"/>
    <s v="EV-O-D2"/>
    <s v="PALF"/>
    <x v="5"/>
    <s v="Congo"/>
    <m/>
    <m/>
    <m/>
  </r>
  <r>
    <x v="246"/>
    <s v="Maison-Agence transbony (recupération de ma valise)"/>
    <s v="Transport"/>
    <s v="Management"/>
    <n v="1000"/>
    <n v="1.8401363172983856"/>
    <n v="543.43799999999999"/>
    <s v="DOVI"/>
    <s v="DH-O-D1"/>
    <s v="PALF"/>
    <x v="5"/>
    <s v="Congo"/>
    <m/>
    <m/>
    <m/>
  </r>
  <r>
    <x v="246"/>
    <s v="Agence transbony - Maison"/>
    <s v="Transport"/>
    <s v="Management"/>
    <n v="1000"/>
    <n v="1.8401363172983856"/>
    <n v="543.43799999999999"/>
    <s v="DOVI"/>
    <s v="DH-O-D1"/>
    <s v="PALF"/>
    <x v="5"/>
    <s v="Congo"/>
    <m/>
    <m/>
    <m/>
  </r>
  <r>
    <x v="246"/>
    <s v="Maison-Bureau"/>
    <s v="Transport"/>
    <s v="Management"/>
    <n v="1000"/>
    <n v="1.8401363172983856"/>
    <n v="543.43799999999999"/>
    <s v="DOVI"/>
    <s v="DH-O-D1"/>
    <s v="PALF"/>
    <x v="5"/>
    <s v="Congo"/>
    <m/>
    <m/>
    <m/>
  </r>
  <r>
    <x v="246"/>
    <s v="Credit telephonique MTN/PALF/ du 06 au 12 octobre 2025/DOVI"/>
    <s v="Telephone"/>
    <s v="Management"/>
    <n v="12500"/>
    <n v="23.001703966229819"/>
    <n v="543.43799999999999"/>
    <s v="DOVI"/>
    <s v="DH-O-R4"/>
    <s v="PALF"/>
    <x v="5"/>
    <s v="Congo"/>
    <m/>
    <m/>
    <m/>
  </r>
  <r>
    <x v="246"/>
    <s v="Règlement loyer mois de Septembre 2025/Coordo"/>
    <s v="Travel Subsistence"/>
    <s v="Management"/>
    <n v="174625"/>
    <n v="321.33380440823055"/>
    <n v="543.43799999999999"/>
    <s v="DOVI"/>
    <s v="DH-O-R5"/>
    <s v="PALF"/>
    <x v="5"/>
    <s v="Congo"/>
    <m/>
    <m/>
    <m/>
  </r>
  <r>
    <x v="246"/>
    <s v="Bureau -Maison"/>
    <s v="Transport"/>
    <s v="Management"/>
    <n v="1000"/>
    <n v="1.8401363172983856"/>
    <n v="543.43799999999999"/>
    <s v="DOVI"/>
    <s v="DH-O-D1"/>
    <s v="PALF"/>
    <x v="5"/>
    <s v="Congo"/>
    <m/>
    <m/>
    <m/>
  </r>
  <r>
    <x v="246"/>
    <s v="Taxi: Hôtel Pharaon 2-Gendarmerie"/>
    <s v="Transport"/>
    <s v="Legal"/>
    <n v="1000"/>
    <n v="1.8401363172983856"/>
    <n v="543.43799999999999"/>
    <s v="Crépin"/>
    <s v="CR-O-D1"/>
    <s v="PALF"/>
    <x v="5"/>
    <s v="Congo"/>
    <m/>
    <m/>
    <m/>
  </r>
  <r>
    <x v="246"/>
    <s v="Credit telephonique MTN PALF/du 06 au 12 octobre 2025/ crepin"/>
    <s v="Telephone"/>
    <s v="Legal"/>
    <n v="10000"/>
    <n v="18.401363172983856"/>
    <n v="543.43799999999999"/>
    <s v="Crépin"/>
    <s v="CR-O-R3"/>
    <s v="PALF"/>
    <x v="5"/>
    <s v="Congo"/>
    <m/>
    <m/>
    <m/>
  </r>
  <r>
    <x v="246"/>
    <s v="Bonus pour 16 gendarmes ayant participé à l'opération du 04/10/2025 à Dolisie"/>
    <s v="Bonus"/>
    <s v="Operation"/>
    <n v="160000"/>
    <n v="294.4218107677417"/>
    <n v="543.43799999999999"/>
    <s v="Crépin"/>
    <s v="CR-O-R4"/>
    <s v="PALF"/>
    <x v="5"/>
    <s v="Congo"/>
    <m/>
    <m/>
    <m/>
  </r>
  <r>
    <x v="246"/>
    <s v="Bonus pour 02 EF ayant participé à l'opération du 04/10/2025 à Dolisie"/>
    <s v="Bonus"/>
    <s v="Operation"/>
    <n v="20000"/>
    <n v="36.802726345967713"/>
    <n v="543.43799999999999"/>
    <s v="Crépin"/>
    <s v="CR-O-R5"/>
    <s v="PALF"/>
    <x v="5"/>
    <s v="Congo"/>
    <m/>
    <m/>
    <m/>
  </r>
  <r>
    <x v="246"/>
    <s v="Taxi: Gendarmerie-Hôtel YASMINE"/>
    <s v="Transport"/>
    <s v="Legal"/>
    <n v="1000"/>
    <n v="1.8401363172983856"/>
    <n v="543.43799999999999"/>
    <s v="Crépin"/>
    <s v="CR-O-D1"/>
    <s v="PALF"/>
    <x v="5"/>
    <s v="Congo"/>
    <m/>
    <m/>
    <m/>
  </r>
  <r>
    <x v="246"/>
    <s v="Taxi: Hôtel YASMINE-Hôtel Pharaon 2 "/>
    <s v="Transport"/>
    <s v="Legal"/>
    <n v="1000"/>
    <n v="1.8401363172983856"/>
    <n v="543.43799999999999"/>
    <s v="Crépin"/>
    <s v="CR-O-D1"/>
    <s v="PALF"/>
    <x v="5"/>
    <s v="Congo"/>
    <m/>
    <m/>
    <m/>
  </r>
  <r>
    <x v="246"/>
    <s v="Taxi: Bureau- Banque BCI /retait espèces"/>
    <s v="Transport"/>
    <s v="Office"/>
    <n v="1000"/>
    <n v="1.8401363172983856"/>
    <n v="543.43799999999999"/>
    <s v="Parfaite"/>
    <s v="P-O-D1"/>
    <s v="PALF"/>
    <x v="5"/>
    <s v="Congo"/>
    <m/>
    <m/>
    <m/>
  </r>
  <r>
    <x v="246"/>
    <s v="Taxi:Banque BCI - Direction MTN / Achat crédit bureau PALF"/>
    <s v="Transport"/>
    <s v="Office"/>
    <n v="500"/>
    <n v="0.92006815864919278"/>
    <n v="543.43799999999999"/>
    <s v="Parfaite"/>
    <s v="P-O-D1"/>
    <s v="PALF"/>
    <x v="5"/>
    <s v="Congo"/>
    <m/>
    <m/>
    <m/>
  </r>
  <r>
    <x v="246"/>
    <s v="Taxi: Direction MTN-Bureau/"/>
    <s v="Transport"/>
    <s v="Office"/>
    <n v="1000"/>
    <n v="1.8401363172983856"/>
    <n v="543.43799999999999"/>
    <s v="Parfaite"/>
    <s v="P-O-D1"/>
    <s v="PALF"/>
    <x v="5"/>
    <s v="Congo"/>
    <m/>
    <m/>
    <m/>
  </r>
  <r>
    <x v="246"/>
    <s v="Credit teléphonique MTN PALF/ du 06 au 12 octobre 2025/ Parfaite"/>
    <s v="Telephone"/>
    <s v="Management"/>
    <n v="7500"/>
    <n v="13.801022379737891"/>
    <n v="543.43799999999999"/>
    <s v="Parfaite"/>
    <s v="P-O-R1"/>
    <s v="PALF"/>
    <x v="5"/>
    <s v="Congo"/>
    <m/>
    <m/>
    <m/>
  </r>
  <r>
    <x v="246"/>
    <s v="Taxi:  Bureau-Domicile/ finalisation avec les pieces comptables de mois de septembre 2025"/>
    <s v="Transport"/>
    <s v="Office"/>
    <n v="1000"/>
    <n v="1.8401363172983856"/>
    <n v="543.43799999999999"/>
    <s v="Parfaite"/>
    <s v="P-O-D1"/>
    <s v="PALF"/>
    <x v="5"/>
    <s v="Congo"/>
    <m/>
    <m/>
    <m/>
  </r>
  <r>
    <x v="246"/>
    <s v="Reglement prestation de nettoyage  PALF du mois de Septembre 2025"/>
    <s v="Services"/>
    <s v="Office"/>
    <n v="80000"/>
    <n v="147.21090538387085"/>
    <n v="543.43799999999999"/>
    <s v="Parfaite"/>
    <s v="CA-O-R4"/>
    <s v="PALF"/>
    <x v="5"/>
    <s v="Congo"/>
    <m/>
    <m/>
    <m/>
  </r>
  <r>
    <x v="246"/>
    <s v="Frais de tansfert d'argent  a P29 ,T73"/>
    <s v="Transfert fees"/>
    <s v="Office"/>
    <n v="2625"/>
    <n v="4.8303578329082617"/>
    <n v="543.43799999999999"/>
    <s v="Parfaite"/>
    <s v="CA-O-R5"/>
    <s v="PALF"/>
    <x v="5"/>
    <s v="Congo"/>
    <m/>
    <m/>
    <m/>
  </r>
  <r>
    <x v="246"/>
    <s v=" Frais de prestation de nettoyage jardin PALF septembre 2025"/>
    <s v="Services"/>
    <s v="Office"/>
    <n v="40000"/>
    <n v="73.605452691935426"/>
    <n v="543.43799999999999"/>
    <s v="Parfaite"/>
    <s v="CA-O-R7"/>
    <s v="PALF"/>
    <x v="5"/>
    <s v="Congo"/>
    <m/>
    <m/>
    <m/>
  </r>
  <r>
    <x v="246"/>
    <s v="Credit telephonique MTN PALF/ du 06 au 12 octobre 2025/ Investigation/P29"/>
    <s v="Telephone"/>
    <s v="Investigation"/>
    <n v="10000"/>
    <n v="18.401363172983856"/>
    <n v="543.43799999999999"/>
    <s v="P29"/>
    <s v="P29-O-R6"/>
    <s v="PALF"/>
    <x v="5"/>
    <s v="Congo"/>
    <m/>
    <m/>
    <m/>
  </r>
  <r>
    <x v="246"/>
    <s v="P29 -CONGO Frais d'hotel du 04 au 06/10/2025 à nkayi (02 Nuitées)"/>
    <s v="Travel Subsistence"/>
    <s v="Investigation"/>
    <n v="30000"/>
    <n v="55.204089518951562"/>
    <n v="543.43799999999999"/>
    <s v="P29"/>
    <s v="P29-O-R7"/>
    <s v="PALF"/>
    <x v="5"/>
    <s v="Congo"/>
    <m/>
    <m/>
    <m/>
  </r>
  <r>
    <x v="246"/>
    <s v="Taxi hotel-agence,départ brazza"/>
    <s v="Transport"/>
    <s v="Investigation"/>
    <n v="1000"/>
    <n v="1.8401363172983856"/>
    <n v="543.43799999999999"/>
    <s v="P29"/>
    <s v="P29-O-D1"/>
    <s v="PALF"/>
    <x v="5"/>
    <s v="Congo"/>
    <m/>
    <m/>
    <m/>
  </r>
  <r>
    <x v="246"/>
    <s v="Taxi agence-domicile,arrivé à brazzaville"/>
    <s v="Transport"/>
    <s v="Investigation"/>
    <n v="1500"/>
    <n v="2.7602044759475781"/>
    <n v="543.43799999999999"/>
    <s v="P29"/>
    <s v="P29-O-D1"/>
    <s v="PALF"/>
    <x v="5"/>
    <s v="Congo"/>
    <m/>
    <m/>
    <m/>
  </r>
  <r>
    <x v="246"/>
    <s v="Credit telephonique MTN PALF/ du 06 au 12 octobre  2025/ Investigation/T73"/>
    <s v="Telephone"/>
    <s v="Investigation"/>
    <n v="10000"/>
    <n v="18.401363172983856"/>
    <n v="543.43799999999999"/>
    <s v="T73"/>
    <s v="T73-O-R4"/>
    <s v="PALF"/>
    <x v="5"/>
    <s v="Congo"/>
    <m/>
    <m/>
    <m/>
  </r>
  <r>
    <x v="246"/>
    <s v="Credit telephonique MTN PALF/du 06 au 12 octobre 2025/IT87"/>
    <s v="Telephone"/>
    <s v="Investigation"/>
    <n v="10000"/>
    <n v="18.401363172983856"/>
    <n v="543.43799999999999"/>
    <s v="IT87"/>
    <s v="IT87-O-R1"/>
    <s v="PALF"/>
    <x v="5"/>
    <s v="Congo"/>
    <m/>
    <m/>
    <m/>
  </r>
  <r>
    <x v="246"/>
    <s v="Credit telephonique MTN PALF/du 06 au 12 octobre 2025/G12"/>
    <s v="Telephone"/>
    <s v="Investigation"/>
    <n v="10000"/>
    <n v="18.401363172983856"/>
    <n v="543.43799999999999"/>
    <s v="G12"/>
    <s v="G12-O-R1"/>
    <s v="PALF"/>
    <x v="5"/>
    <s v="Congo"/>
    <m/>
    <m/>
    <m/>
  </r>
  <r>
    <x v="246"/>
    <s v="Credit telephonique MTN PALF/ du 06 au 12 octobre 2025/Abraham"/>
    <s v="Telephone"/>
    <s v="Legal"/>
    <n v="7500"/>
    <n v="13.801022379737891"/>
    <n v="543.43799999999999"/>
    <s v="Abraham"/>
    <s v="AB-O-R1"/>
    <s v="PALF"/>
    <x v="5"/>
    <s v="Congo"/>
    <m/>
    <m/>
    <m/>
  </r>
  <r>
    <x v="246"/>
    <s v="Taxi:Bureau-Charden Farrel pour un transfert de fonds "/>
    <s v="Transport"/>
    <s v="Legal"/>
    <n v="500"/>
    <n v="0.92006815864919278"/>
    <n v="543.43799999999999"/>
    <s v="Roderlin"/>
    <s v="RO-O-D1"/>
    <s v="PALF"/>
    <x v="5"/>
    <s v="Congo"/>
    <m/>
    <m/>
    <m/>
  </r>
  <r>
    <x v="246"/>
    <s v="Taxi:Charden Farrel-Bureau"/>
    <s v="Transport"/>
    <s v="Legal"/>
    <n v="500"/>
    <n v="0.92006815864919278"/>
    <n v="543.43799999999999"/>
    <s v="Roderlin"/>
    <s v="RO-O-D1"/>
    <s v="PALF"/>
    <x v="5"/>
    <s v="Congo"/>
    <m/>
    <m/>
    <m/>
  </r>
  <r>
    <x v="246"/>
    <s v="Taxi:Bureau-Charden Farrel pour un transfert de fonds "/>
    <s v="Transport"/>
    <s v="Legal"/>
    <n v="500"/>
    <n v="0.92006815864919278"/>
    <n v="543.43799999999999"/>
    <s v="Roderlin"/>
    <s v="RO-O-D1"/>
    <s v="PALF"/>
    <x v="5"/>
    <s v="Congo"/>
    <m/>
    <m/>
    <m/>
  </r>
  <r>
    <x v="246"/>
    <s v="Taxi:Charden Farrel-Bureau"/>
    <s v="Transport"/>
    <s v="Legal"/>
    <n v="500"/>
    <n v="0.92006815864919278"/>
    <n v="543.43799999999999"/>
    <s v="Roderlin"/>
    <s v="RO-O-D1"/>
    <s v="PALF"/>
    <x v="5"/>
    <s v="Congo"/>
    <m/>
    <m/>
    <m/>
  </r>
  <r>
    <x v="246"/>
    <s v="Credit telephonique MTN PALF/du 06 au 12 octobre 2025/Roderlin"/>
    <s v="Telephone"/>
    <s v="Legal"/>
    <n v="7500"/>
    <n v="13.801022379737891"/>
    <n v="543.43799999999999"/>
    <s v="Roderlin"/>
    <s v="RO-O-R1"/>
    <s v="PALF"/>
    <x v="5"/>
    <s v="Congo"/>
    <m/>
    <m/>
    <m/>
  </r>
  <r>
    <x v="246"/>
    <s v="Frais de tansfert d'argent  a crepin ,evariste et Donald-Roméo"/>
    <s v="Transfert fees"/>
    <s v="Office"/>
    <n v="7740"/>
    <n v="14.242655095889504"/>
    <n v="543.43799999999999"/>
    <s v="Roderlin"/>
    <s v="CA-O-R6"/>
    <s v="PALF"/>
    <x v="5"/>
    <s v="Congo"/>
    <m/>
    <m/>
    <m/>
  </r>
  <r>
    <x v="246"/>
    <s v="Taxi:Bureau-Cabinet BANZOUZI"/>
    <s v="Transport"/>
    <s v="Legal"/>
    <n v="1000"/>
    <n v="1.8401363172983856"/>
    <n v="543.43799999999999"/>
    <s v="Roderlin"/>
    <s v="RO-O-D1"/>
    <s v="PALF"/>
    <x v="5"/>
    <s v="Congo"/>
    <m/>
    <m/>
    <m/>
  </r>
  <r>
    <x v="246"/>
    <s v="Taxi:Cabinet BANZOUZI-Domicile"/>
    <s v="Transport"/>
    <s v="Legal"/>
    <n v="1500"/>
    <n v="2.7602044759475781"/>
    <n v="543.43799999999999"/>
    <s v="Roderlin"/>
    <s v="RO-O-D1"/>
    <s v="PALF"/>
    <x v="5"/>
    <s v="Congo"/>
    <m/>
    <m/>
    <m/>
  </r>
  <r>
    <x v="246"/>
    <s v="Taxi  Hôtel Yasmine-La Brigade Territoriale/ Pour la visite geôle du 06/10/2025 à 07h"/>
    <s v="Transport "/>
    <s v="Legal"/>
    <n v="1000"/>
    <n v="1.8401363172983856"/>
    <n v="543.43799999999999"/>
    <s v="Donald-Roméo"/>
    <s v="DR-O-D1"/>
    <s v="PALF"/>
    <x v="5"/>
    <s v="Congo"/>
    <m/>
    <m/>
    <m/>
  </r>
  <r>
    <x v="246"/>
    <s v="Ration des deux prevenus/ Darel et Lionel/ BT de Dolisie/matin"/>
    <s v="Jail visit"/>
    <s v="Legal"/>
    <n v="3000"/>
    <n v="5.5204089518951562"/>
    <n v="543.43799999999999"/>
    <s v="Donald-Roméo"/>
    <s v="DR-O-D2"/>
    <s v="PALF"/>
    <x v="5"/>
    <s v="Congo"/>
    <m/>
    <m/>
    <m/>
  </r>
  <r>
    <x v="246"/>
    <s v="Taxi  La Brigade Territoriale- Hôtel Yasmine"/>
    <s v="Transport "/>
    <s v="Legal"/>
    <n v="1000"/>
    <n v="1.8401363172983856"/>
    <n v="543.43799999999999"/>
    <s v="Donald-Roméo"/>
    <s v="DR-O-D1"/>
    <s v="PALF"/>
    <x v="5"/>
    <s v="Congo"/>
    <m/>
    <m/>
    <m/>
  </r>
  <r>
    <x v="246"/>
    <s v="Taxi  Region de gendarmerie-Brigade Territoriale/ Extraction des prevenus pour les auditions"/>
    <s v="Transport "/>
    <s v="Legal"/>
    <n v="1000"/>
    <n v="1.8401363172983856"/>
    <n v="543.43799999999999"/>
    <s v="Donald-Roméo"/>
    <s v="DR-O-D1"/>
    <s v="PALF"/>
    <x v="5"/>
    <s v="Congo"/>
    <m/>
    <m/>
    <m/>
  </r>
  <r>
    <x v="246"/>
    <s v="Taxi La Brigade Territoriale- Region de gendarmerie"/>
    <s v="Transport "/>
    <s v="Legal"/>
    <n v="1000"/>
    <n v="1.8401363172983856"/>
    <n v="543.43799999999999"/>
    <s v="Donald-Roméo"/>
    <s v="DR-O-D1"/>
    <s v="PALF"/>
    <x v="5"/>
    <s v="Congo"/>
    <m/>
    <m/>
    <m/>
  </r>
  <r>
    <x v="246"/>
    <s v="Taxi Contre Rail-Charden farell/ Retirer les fonds"/>
    <s v="Transport "/>
    <s v="Legal"/>
    <n v="1000"/>
    <n v="1.8401363172983856"/>
    <n v="543.43799999999999"/>
    <s v="Donald-Roméo"/>
    <s v="DR-O-D1"/>
    <s v="PALF"/>
    <x v="5"/>
    <s v="Congo"/>
    <m/>
    <m/>
    <m/>
  </r>
  <r>
    <x v="246"/>
    <s v="Taxi Charden farell-Hôtel le Pharaon/ Remettre le budget de Crépin"/>
    <s v="Transport "/>
    <s v="Legal"/>
    <n v="1000"/>
    <n v="1.8401363172983856"/>
    <n v="543.43799999999999"/>
    <s v="Donald-Roméo"/>
    <s v="DR-O-D1"/>
    <s v="PALF"/>
    <x v="5"/>
    <s v="Congo"/>
    <m/>
    <m/>
    <m/>
  </r>
  <r>
    <x v="246"/>
    <s v="Taxi Hôtel le Pharaon-Hôtel Yasmine"/>
    <s v="Transport "/>
    <s v="Legal"/>
    <n v="1000"/>
    <n v="1.8401363172983856"/>
    <n v="543.43799999999999"/>
    <s v="Donald-Roméo"/>
    <s v="DR-O-D1"/>
    <s v="PALF"/>
    <x v="5"/>
    <s v="Congo"/>
    <m/>
    <m/>
    <m/>
  </r>
  <r>
    <x v="246"/>
    <s v="Taxi Hôtel Yasmine-La Brigade Territoriale/ Pour la visite geôle du 06/10/2025 à 20h"/>
    <s v="Transport "/>
    <s v="Legal"/>
    <n v="1000"/>
    <n v="1.8401363172983856"/>
    <n v="543.43799999999999"/>
    <s v="Donald-Roméo"/>
    <s v="DR-O-D1"/>
    <s v="PALF"/>
    <x v="5"/>
    <s v="Congo"/>
    <m/>
    <m/>
    <m/>
  </r>
  <r>
    <x v="246"/>
    <s v="Ration des deux prevenus/ Darel et Lionel/ BT de Dolisie/Soir"/>
    <s v="Jail visit"/>
    <s v="Legal"/>
    <n v="3000"/>
    <n v="5.5204089518951562"/>
    <n v="543.43799999999999"/>
    <s v="Donald-Roméo"/>
    <s v="DR-O-D2"/>
    <s v="PALF"/>
    <x v="5"/>
    <s v="Congo"/>
    <m/>
    <m/>
    <m/>
  </r>
  <r>
    <x v="246"/>
    <s v="Taxi La Brigade Territoriale- Hôtel Yasmine"/>
    <s v="Transport "/>
    <s v="Legal"/>
    <n v="1000"/>
    <n v="1.8401363172983856"/>
    <n v="543.43799999999999"/>
    <s v="Donald-Roméo"/>
    <s v="DR-O-D1"/>
    <s v="PALF"/>
    <x v="5"/>
    <s v="Congo"/>
    <m/>
    <m/>
    <m/>
  </r>
  <r>
    <x v="246"/>
    <s v="Credit telephonique MTN PALF/ du 06 au 12 octobre 2025"/>
    <s v="Telephone"/>
    <s v="Legal"/>
    <n v="10000"/>
    <n v="18.401363172983856"/>
    <n v="543.43799999999999"/>
    <s v="Donald-Roméo"/>
    <s v="DR-O-R4"/>
    <s v="PALF"/>
    <x v="5"/>
    <s v="Congo"/>
    <m/>
    <m/>
    <m/>
  </r>
  <r>
    <x v="246"/>
    <s v="Taxi, l'hôtel Yasmine-La Gendarmerie"/>
    <s v="Transport"/>
    <s v="Media"/>
    <n v="1000"/>
    <n v="1.8401363172983856"/>
    <n v="543.43799999999999"/>
    <s v="Evariste"/>
    <s v="EV-O-D1"/>
    <s v="PALF"/>
    <x v="5"/>
    <s v="Congo"/>
    <m/>
    <m/>
    <m/>
  </r>
  <r>
    <x v="246"/>
    <s v="Taxi, La Région de Gendarmerie-L'hôtel Yasmine"/>
    <s v="Transport"/>
    <s v="Media"/>
    <n v="1000"/>
    <n v="1.8401363172983856"/>
    <n v="543.43799999999999"/>
    <s v="Evariste"/>
    <s v="EV-O-D1"/>
    <s v="PALF"/>
    <x v="5"/>
    <s v="Congo"/>
    <m/>
    <m/>
    <m/>
  </r>
  <r>
    <x v="246"/>
    <s v="Credit telephonique MTN PALF/du 06  au 12 octobre 2025/ Evariste"/>
    <s v="Telephone"/>
    <s v="Media"/>
    <n v="10000"/>
    <n v="18.401363172983856"/>
    <n v="543.43799999999999"/>
    <s v="Evariste"/>
    <s v="EV-O-R2"/>
    <s v="PALF"/>
    <x v="5"/>
    <s v="Congo"/>
    <m/>
    <m/>
    <m/>
  </r>
  <r>
    <x v="246"/>
    <s v="Credit telephonique MTN PALF/du 06 au 12octobre 2025/Romain"/>
    <s v="Telephone"/>
    <s v="Legal"/>
    <n v="7500"/>
    <n v="13.801022379737891"/>
    <n v="543.43799999999999"/>
    <s v="Romain"/>
    <s v="RM-O-R1"/>
    <s v="PALF"/>
    <x v="5"/>
    <s v="Congo"/>
    <m/>
    <m/>
    <m/>
  </r>
  <r>
    <x v="247"/>
    <s v="Maison-Bureau"/>
    <s v="Transport"/>
    <s v="Management"/>
    <n v="1000"/>
    <n v="1.8401363172983856"/>
    <n v="543.43799999999999"/>
    <s v="DOVI"/>
    <s v="DH-O-D1"/>
    <s v="PALF"/>
    <x v="5"/>
    <s v="Congo"/>
    <m/>
    <m/>
    <m/>
  </r>
  <r>
    <x v="247"/>
    <s v="Bureau-Maison"/>
    <s v="Transport"/>
    <s v="Management"/>
    <n v="1000"/>
    <n v="1.8401363172983856"/>
    <n v="543.43799999999999"/>
    <s v="DOVI"/>
    <s v="DH-O-D1"/>
    <s v="PALF"/>
    <x v="5"/>
    <s v="Congo"/>
    <m/>
    <m/>
    <m/>
  </r>
  <r>
    <x v="247"/>
    <s v="Ration de 02 Prevenus (Darel et Lionel)  à la BT de Dolisie/ matin"/>
    <s v="Jail visits"/>
    <s v="Legal"/>
    <n v="3000"/>
    <n v="5.5204089518951562"/>
    <n v="543.43799999999999"/>
    <s v="Crépin"/>
    <s v="CR-O-D3"/>
    <s v="PALF"/>
    <x v="5"/>
    <s v="Congo"/>
    <m/>
    <m/>
    <m/>
  </r>
  <r>
    <x v="247"/>
    <s v="Taxi:  Boutique-BT"/>
    <s v="Transport"/>
    <s v="Legal"/>
    <n v="1000"/>
    <n v="1.8401363172983856"/>
    <n v="543.43799999999999"/>
    <s v="Crépin"/>
    <s v="CR-O-D1"/>
    <s v="PALF"/>
    <x v="5"/>
    <s v="Congo"/>
    <m/>
    <m/>
    <m/>
  </r>
  <r>
    <x v="247"/>
    <s v="Taxi: BT-Hôtel Pharaon 2"/>
    <s v="Transport"/>
    <s v="Legal"/>
    <n v="1000"/>
    <n v="1.8401363172983856"/>
    <n v="543.43799999999999"/>
    <s v="Crépin"/>
    <s v="CR-O-D1"/>
    <s v="PALF"/>
    <x v="5"/>
    <s v="Congo"/>
    <m/>
    <m/>
    <m/>
  </r>
  <r>
    <x v="247"/>
    <s v="Taxi: Hôtel Pharaon 2-Gendarmerie"/>
    <s v="Transport"/>
    <s v="Legal"/>
    <n v="1000"/>
    <n v="1.8401363172983856"/>
    <n v="543.43799999999999"/>
    <s v="Crépin"/>
    <s v="CR-O-D1"/>
    <s v="PALF"/>
    <x v="5"/>
    <s v="Congo"/>
    <m/>
    <m/>
    <m/>
  </r>
  <r>
    <x v="247"/>
    <s v="Taxi: Gendarmerie-Hôtel Pharaon 2."/>
    <s v="Transport"/>
    <s v="Legal"/>
    <n v="1000"/>
    <n v="1.8401363172983856"/>
    <n v="543.43799999999999"/>
    <s v="Crépin"/>
    <s v="CR-O-D1"/>
    <s v="PALF"/>
    <x v="5"/>
    <s v="Congo"/>
    <m/>
    <m/>
    <m/>
  </r>
  <r>
    <x v="247"/>
    <s v="Ration de 02 Prevenus (Darel et Lionel)  à la BT de Dolisie/Soir"/>
    <s v="Jail visits"/>
    <s v="Legal"/>
    <n v="3000"/>
    <n v="5.5204089518951562"/>
    <n v="543.43799999999999"/>
    <s v="Crépin"/>
    <s v="CR-O-D3"/>
    <s v="PALF"/>
    <x v="5"/>
    <s v="Congo"/>
    <m/>
    <m/>
    <m/>
  </r>
  <r>
    <x v="247"/>
    <s v="Taxi: Boutique-BT"/>
    <s v="Transport"/>
    <s v="Legal"/>
    <n v="1000"/>
    <n v="1.8401363172983856"/>
    <n v="543.43799999999999"/>
    <s v="Crépin"/>
    <s v="CR-O-D1"/>
    <s v="PALF"/>
    <x v="5"/>
    <s v="Congo"/>
    <m/>
    <m/>
    <m/>
  </r>
  <r>
    <x v="247"/>
    <s v="Taxi: BT-Hôtel Pharaon 2"/>
    <s v="Transport"/>
    <s v="Legal"/>
    <n v="1000"/>
    <n v="1.8401363172983856"/>
    <n v="543.43799999999999"/>
    <s v="Crépin"/>
    <s v="CR-O-D1"/>
    <s v="PALF"/>
    <x v="5"/>
    <s v="Congo"/>
    <m/>
    <m/>
    <m/>
  </r>
  <r>
    <x v="247"/>
    <s v="Taxi: Bureau-Charden Farell/Transfert de fonds"/>
    <s v="Transport"/>
    <s v="Legal"/>
    <n v="500"/>
    <n v="0.92006815864919278"/>
    <n v="543.43799999999999"/>
    <s v="Abraham"/>
    <s v="AB-O-D1"/>
    <s v="PALF"/>
    <x v="5"/>
    <s v="Congo"/>
    <m/>
    <m/>
    <m/>
  </r>
  <r>
    <x v="247"/>
    <s v="Taxi: Charden Farel-Bureau"/>
    <s v="Transport"/>
    <s v="Legal"/>
    <n v="500"/>
    <n v="0.92006815864919278"/>
    <n v="543.43799999999999"/>
    <s v="Abraham"/>
    <s v="AB-O-D1"/>
    <s v="PALF"/>
    <x v="5"/>
    <s v="Congo"/>
    <m/>
    <m/>
    <m/>
  </r>
  <r>
    <x v="247"/>
    <s v="Frais de tansfert d'argent  a Crepin et  Donald-Roméo"/>
    <s v="Transfert fees"/>
    <s v="Office"/>
    <n v="3480"/>
    <n v="6.4036743841983812"/>
    <n v="543.43799999999999"/>
    <s v="Abraham"/>
    <s v="CA-O-R8"/>
    <s v="PALF"/>
    <x v="5"/>
    <s v="Congo"/>
    <m/>
    <m/>
    <m/>
  </r>
  <r>
    <x v="247"/>
    <s v="Taxi  Hôtel Yasmine-Region de gendarmerie"/>
    <s v="Transport "/>
    <s v="Legal"/>
    <n v="1000"/>
    <n v="1.8401363172983856"/>
    <n v="543.43799999999999"/>
    <s v="Donald-Roméo"/>
    <s v="DR-O-D1"/>
    <s v="PALF"/>
    <x v="5"/>
    <s v="Congo"/>
    <m/>
    <m/>
    <m/>
  </r>
  <r>
    <x v="247"/>
    <s v="Taxi Region de gendarmerie-DDEF"/>
    <s v="Transport "/>
    <s v="Legal"/>
    <n v="1000"/>
    <n v="1.8401363172983856"/>
    <n v="543.43799999999999"/>
    <s v="Donald-Roméo"/>
    <s v="DR-O-D1"/>
    <s v="PALF"/>
    <x v="5"/>
    <s v="Congo"/>
    <m/>
    <m/>
    <m/>
  </r>
  <r>
    <x v="247"/>
    <s v="Taxi DDEF-Charden farell/ Retirer les fonds"/>
    <s v="Transport "/>
    <s v="Legal"/>
    <n v="1000"/>
    <n v="1.8401363172983856"/>
    <n v="543.43799999999999"/>
    <s v="Donald-Roméo"/>
    <s v="DR-O-D1"/>
    <s v="PALF"/>
    <x v="5"/>
    <s v="Congo"/>
    <m/>
    <m/>
    <m/>
  </r>
  <r>
    <x v="247"/>
    <s v="Taxi Charden farell-Hôtel Yasmine"/>
    <s v="Transport "/>
    <s v="Legal"/>
    <n v="1000"/>
    <n v="1.8401363172983856"/>
    <n v="543.43799999999999"/>
    <s v="Donald-Roméo"/>
    <s v="DR-O-D1"/>
    <s v="PALF"/>
    <x v="5"/>
    <s v="Congo"/>
    <m/>
    <m/>
    <m/>
  </r>
  <r>
    <x v="247"/>
    <s v="Taxi, l'hôtel Yasmine-La Gendarmerie"/>
    <s v="Transport"/>
    <s v="Media"/>
    <n v="1000"/>
    <n v="1.8401363172983856"/>
    <n v="543.43799999999999"/>
    <s v="Evariste"/>
    <s v="EV-O-D1"/>
    <s v="PALF"/>
    <x v="5"/>
    <s v="Congo"/>
    <m/>
    <m/>
    <m/>
  </r>
  <r>
    <x v="247"/>
    <s v="Taxi, La Région de Gendarmerie-La DDEF Niari"/>
    <s v="Transport"/>
    <s v="Media"/>
    <n v="1000"/>
    <n v="1.8401363172983856"/>
    <n v="543.43799999999999"/>
    <s v="Evariste"/>
    <s v="EV-O-D1"/>
    <s v="PALF"/>
    <x v="5"/>
    <s v="Congo"/>
    <m/>
    <m/>
    <m/>
  </r>
  <r>
    <x v="247"/>
    <s v="Taxi, LA DDEF du Niari-L'hôtel Yasmine"/>
    <s v="Transport"/>
    <s v="Media"/>
    <n v="1000"/>
    <n v="1.8401363172983856"/>
    <n v="543.43799999999999"/>
    <s v="Evariste"/>
    <s v="EV-O-D1"/>
    <s v="PALF"/>
    <x v="5"/>
    <s v="Congo"/>
    <m/>
    <m/>
    <m/>
  </r>
  <r>
    <x v="248"/>
    <s v="Maison-Bureau"/>
    <s v="Transport"/>
    <s v="Management"/>
    <n v="1000"/>
    <n v="1.8401363172983856"/>
    <n v="543.43799999999999"/>
    <s v="DOVI"/>
    <s v="DH-O-D1"/>
    <s v="PALF"/>
    <x v="5"/>
    <s v="Congo"/>
    <m/>
    <m/>
    <m/>
  </r>
  <r>
    <x v="248"/>
    <s v="Bureau-UBA"/>
    <s v="Transport"/>
    <s v="Management"/>
    <n v="1000"/>
    <n v="1.8401363172983856"/>
    <n v="543.43799999999999"/>
    <s v="DOVI"/>
    <s v="DH-O-D1"/>
    <s v="PALF"/>
    <x v="5"/>
    <s v="Congo"/>
    <m/>
    <m/>
    <m/>
  </r>
  <r>
    <x v="248"/>
    <s v="UBA-Bureau"/>
    <s v="Transport"/>
    <s v="Management"/>
    <n v="1000"/>
    <n v="1.8401363172983856"/>
    <n v="543.43799999999999"/>
    <s v="DOVI"/>
    <s v="DH-O-D1"/>
    <s v="PALF"/>
    <x v="5"/>
    <s v="Congo"/>
    <m/>
    <m/>
    <m/>
  </r>
  <r>
    <x v="248"/>
    <s v="Bureau -Maison"/>
    <s v="Transport"/>
    <s v="Management"/>
    <n v="1000"/>
    <n v="1.8401363172983856"/>
    <n v="543.43799999999999"/>
    <s v="DOVI"/>
    <s v="DH-O-D1"/>
    <s v="PALF"/>
    <x v="5"/>
    <s v="Congo"/>
    <m/>
    <m/>
    <m/>
  </r>
  <r>
    <x v="248"/>
    <s v="Ration de 02 Prevenus (Darel et Lionel)  à la BT de Dolisie/matin"/>
    <s v="Jail visits"/>
    <s v="Legal"/>
    <n v="3000"/>
    <n v="5.5204089518951562"/>
    <n v="543.43799999999999"/>
    <s v="Crépin"/>
    <s v="CR-O-D3"/>
    <s v="PALF"/>
    <x v="5"/>
    <s v="Congo"/>
    <m/>
    <m/>
    <m/>
  </r>
  <r>
    <x v="248"/>
    <s v="Taxi: Boutique-BT"/>
    <s v="Transport"/>
    <s v="Legal"/>
    <n v="1000"/>
    <n v="1.8401363172983856"/>
    <n v="543.43799999999999"/>
    <s v="Crépin"/>
    <s v="CR-O-D1"/>
    <s v="PALF"/>
    <x v="5"/>
    <s v="Congo"/>
    <m/>
    <m/>
    <m/>
  </r>
  <r>
    <x v="248"/>
    <s v="Taxi: BT-Hôtel Pharaon 2"/>
    <s v="Transport"/>
    <s v="Legal"/>
    <n v="1000"/>
    <n v="1.8401363172983856"/>
    <n v="543.43799999999999"/>
    <s v="Crépin"/>
    <s v="CR-O-D1"/>
    <s v="PALF"/>
    <x v="5"/>
    <s v="Congo"/>
    <m/>
    <m/>
    <m/>
  </r>
  <r>
    <x v="248"/>
    <s v="Taxi: Hôtel-Gendarmerie"/>
    <s v="Transport"/>
    <s v="Legal"/>
    <n v="1000"/>
    <n v="1.8401363172983856"/>
    <n v="543.43799999999999"/>
    <s v="Crépin"/>
    <s v="CR-O-D1"/>
    <s v="PALF"/>
    <x v="5"/>
    <s v="Congo"/>
    <m/>
    <m/>
    <m/>
  </r>
  <r>
    <x v="248"/>
    <s v="Taxi: Gendarmerie-Hôtel Pharaon 2."/>
    <s v="Transport"/>
    <s v="Legal"/>
    <n v="1000"/>
    <n v="1.8401363172983856"/>
    <n v="543.43799999999999"/>
    <s v="Crépin"/>
    <s v="CR-O-D1"/>
    <s v="PALF"/>
    <x v="5"/>
    <s v="Congo"/>
    <m/>
    <m/>
    <m/>
  </r>
  <r>
    <x v="248"/>
    <s v="Ration de 02 Prevenus (Darel et Lionel)  à la BT de Dolisie/Soir"/>
    <s v="Jail visits"/>
    <s v="Legal"/>
    <n v="3000"/>
    <n v="5.5204089518951562"/>
    <n v="543.43799999999999"/>
    <s v="Crépin"/>
    <s v="CR-O-D3"/>
    <s v="PALF"/>
    <x v="5"/>
    <s v="Congo"/>
    <m/>
    <m/>
    <m/>
  </r>
  <r>
    <x v="248"/>
    <s v="Taxi: Petit marché de nuit-BT"/>
    <s v="Transport"/>
    <s v="Legal"/>
    <n v="1000"/>
    <n v="1.8401363172983856"/>
    <n v="543.43799999999999"/>
    <s v="Crépin"/>
    <s v="CR-O-D1"/>
    <s v="PALF"/>
    <x v="5"/>
    <s v="Congo"/>
    <m/>
    <m/>
    <m/>
  </r>
  <r>
    <x v="248"/>
    <s v="Taxi: BT-Hôtel Pharaon 2"/>
    <s v="Transport"/>
    <s v="Legal"/>
    <n v="1000"/>
    <n v="1.8401363172983856"/>
    <n v="543.43799999999999"/>
    <s v="Crépin"/>
    <s v="CR-O-D1"/>
    <s v="PALF"/>
    <x v="5"/>
    <s v="Congo"/>
    <m/>
    <m/>
    <m/>
  </r>
  <r>
    <x v="248"/>
    <s v="Taxi:  Bureau- Société de gardiennage/remis de chèque du mois de septembre 2025"/>
    <s v="Transport"/>
    <s v="Office"/>
    <n v="1000"/>
    <n v="1.8401363172983856"/>
    <n v="543.43799999999999"/>
    <s v="Parfaite"/>
    <s v="P-O-D1"/>
    <s v="PALF"/>
    <x v="5"/>
    <s v="Congo"/>
    <m/>
    <m/>
    <m/>
  </r>
  <r>
    <x v="248"/>
    <s v="Taxi:  Societé de gardiennage  - Bureau"/>
    <s v="Transport"/>
    <s v="Office"/>
    <n v="1000"/>
    <n v="1.8401363172983856"/>
    <n v="543.43799999999999"/>
    <s v="Parfaite"/>
    <s v="P-O-D1"/>
    <s v="PALF"/>
    <x v="5"/>
    <s v="Congo"/>
    <m/>
    <m/>
    <m/>
  </r>
  <r>
    <x v="248"/>
    <s v="Taxi Hôtel Yasmine-DDEF/ Procédure"/>
    <s v="Transport "/>
    <s v="Legal"/>
    <n v="1000"/>
    <n v="1.8401363172983856"/>
    <n v="543.43799999999999"/>
    <s v="Donald-Roméo"/>
    <s v="DR-O-D1"/>
    <s v="PALF"/>
    <x v="5"/>
    <s v="Congo"/>
    <m/>
    <m/>
    <m/>
  </r>
  <r>
    <x v="248"/>
    <s v="Taxi DDEF-Hôtel Yasmine"/>
    <s v="Transport "/>
    <s v="Legal"/>
    <n v="1000"/>
    <n v="1.8401363172983856"/>
    <n v="543.43799999999999"/>
    <s v="Donald-Roméo"/>
    <s v="DR-O-D1"/>
    <s v="PALF"/>
    <x v="5"/>
    <s v="Congo"/>
    <m/>
    <m/>
    <m/>
  </r>
  <r>
    <x v="248"/>
    <s v="Taxi, Hôtel Yasmine-Agence Trans Bony de Dolisie"/>
    <s v="Transport"/>
    <s v="Media"/>
    <n v="1000"/>
    <n v="1.8401363172983856"/>
    <n v="543.43799999999999"/>
    <s v="Evariste"/>
    <s v="EV-O-D1"/>
    <s v="PALF"/>
    <x v="5"/>
    <s v="Congo"/>
    <m/>
    <m/>
    <m/>
  </r>
  <r>
    <x v="248"/>
    <s v="Taxi, Agence Trans Bony de Dolisie-Agence Océan du Nord "/>
    <s v="Transport"/>
    <s v="Media"/>
    <n v="1000"/>
    <n v="1.8401363172983856"/>
    <n v="543.43799999999999"/>
    <s v="Evariste"/>
    <s v="EV-O-D1"/>
    <s v="PALF"/>
    <x v="5"/>
    <s v="Congo"/>
    <m/>
    <m/>
    <m/>
  </r>
  <r>
    <x v="248"/>
    <s v="Achat billet Dolisie-Brazzaville/ Evariste"/>
    <s v="Transport"/>
    <s v="Media"/>
    <n v="9000"/>
    <n v="16.561226855685469"/>
    <n v="543.43799999999999"/>
    <s v="Evariste"/>
    <s v="EV-O-R3"/>
    <s v="PALF"/>
    <x v="5"/>
    <s v="Congo"/>
    <m/>
    <m/>
    <m/>
  </r>
  <r>
    <x v="248"/>
    <s v="Taxi, Agence Océan du Nord-Région de Gendarmerie du Niari"/>
    <s v="Transport"/>
    <s v="Media"/>
    <n v="1000"/>
    <n v="1.8401363172983856"/>
    <n v="543.43799999999999"/>
    <s v="Evariste"/>
    <s v="EV-O-D1"/>
    <s v="PALF"/>
    <x v="5"/>
    <s v="Congo"/>
    <m/>
    <m/>
    <m/>
  </r>
  <r>
    <x v="248"/>
    <s v="Taxi, Région de Gendarmerie-DDEF Niari"/>
    <s v="Transport"/>
    <s v="Media"/>
    <n v="1000"/>
    <n v="1.8401363172983856"/>
    <n v="543.43799999999999"/>
    <s v="Evariste"/>
    <s v="EV-O-D1"/>
    <s v="PALF"/>
    <x v="5"/>
    <s v="Congo"/>
    <m/>
    <m/>
    <m/>
  </r>
  <r>
    <x v="248"/>
    <s v="Taxi, DDEF Niari-Région de Gendarmerie"/>
    <s v="Transport"/>
    <s v="Media"/>
    <n v="1000"/>
    <n v="1.8401363172983856"/>
    <n v="543.43799999999999"/>
    <s v="Evariste"/>
    <s v="EV-O-D1"/>
    <s v="PALF"/>
    <x v="5"/>
    <s v="Congo"/>
    <m/>
    <m/>
    <m/>
  </r>
  <r>
    <x v="248"/>
    <s v="Taxi, Région de Gendarmerie du Niari-Hôtel Yasmine"/>
    <s v="Transport"/>
    <s v="Media"/>
    <n v="1000"/>
    <n v="1.8401363172983856"/>
    <n v="543.43799999999999"/>
    <s v="Evariste"/>
    <s v="EV-O-D1"/>
    <s v="PALF"/>
    <x v="5"/>
    <s v="Congo"/>
    <m/>
    <m/>
    <m/>
  </r>
  <r>
    <x v="248"/>
    <s v="Taxi, Région de Gendarmerie-Hôtel Yasmine"/>
    <s v="Transport"/>
    <s v="Media"/>
    <n v="1000"/>
    <n v="1.8401363172983856"/>
    <n v="543.43799999999999"/>
    <s v="Evariste"/>
    <s v="EV-O-D1"/>
    <s v="PALF"/>
    <x v="5"/>
    <s v="Congo"/>
    <m/>
    <m/>
    <m/>
  </r>
  <r>
    <x v="248"/>
    <s v="Reglement Facture Gardiennage Mois de septembre 2025/365443654439"/>
    <s v="Services"/>
    <s v="Office"/>
    <n v="260000"/>
    <n v="478.43544249758025"/>
    <n v="543.43799999999999"/>
    <s v="BCI"/>
    <s v="BQ-O-R1"/>
    <s v="PALF"/>
    <x v="5"/>
    <s v="Congo"/>
    <m/>
    <m/>
    <m/>
  </r>
  <r>
    <x v="248"/>
    <s v="Reglement honoraire du mois de septembret 2025/G12/3654438"/>
    <s v="Personnel"/>
    <s v="Investigation"/>
    <n v="255000"/>
    <n v="469.2347609110883"/>
    <n v="543.43799999999999"/>
    <s v="BCI"/>
    <s v="BQ-O-R2"/>
    <s v="PALF"/>
    <x v="5"/>
    <s v="Congo"/>
    <m/>
    <m/>
    <m/>
  </r>
  <r>
    <x v="248"/>
    <s v="Reglement honoraire du mois de septembre 2025/IT87/3654440"/>
    <s v="Personnel"/>
    <s v="Investigation"/>
    <n v="255000"/>
    <n v="469.2347609110883"/>
    <n v="543.43799999999999"/>
    <s v="BCI"/>
    <s v="BQ-O-R3"/>
    <s v="PALF"/>
    <x v="5"/>
    <s v="Congo"/>
    <m/>
    <m/>
    <m/>
  </r>
  <r>
    <x v="248"/>
    <s v="Paiement salaire du mois de septembre 2025/FOUMBA Roderlin/3654443"/>
    <s v="Personnel"/>
    <s v="Legal"/>
    <n v="228800"/>
    <n v="421.02318939787062"/>
    <n v="543.43799999999999"/>
    <s v="BCI"/>
    <s v="BQ-O-R4"/>
    <s v="PALF"/>
    <x v="5"/>
    <s v="Congo"/>
    <m/>
    <m/>
    <m/>
  </r>
  <r>
    <x v="248"/>
    <s v="Paiement salaire du mois de septembre 2025/BOUNGOU MAKOSSO Abraham/36544444"/>
    <s v="Personnel"/>
    <s v="Legal"/>
    <n v="228800"/>
    <n v="421.02318939787062"/>
    <n v="543.43799999999999"/>
    <s v="BCI"/>
    <s v="BQ-O-R5"/>
    <s v="PALF"/>
    <x v="5"/>
    <s v="Congo"/>
    <m/>
    <m/>
    <m/>
  </r>
  <r>
    <x v="248"/>
    <s v="Paiement salaire du mois de septembre 2025/LOUNDOU JeanRomain/3654442"/>
    <s v="Personnel"/>
    <s v="Legal"/>
    <n v="228800"/>
    <n v="421.02318939787062"/>
    <n v="543.43799999999999"/>
    <s v="BCI"/>
    <s v="BQ-O-R6"/>
    <s v="PALF"/>
    <x v="5"/>
    <s v="Congo"/>
    <m/>
    <m/>
    <m/>
  </r>
  <r>
    <x v="248"/>
    <s v="Reglement loyer du mois de septembre 2025/3654441"/>
    <s v="Rent &amp; Utilities"/>
    <s v="Office"/>
    <n v="500000"/>
    <n v="920.0681586491927"/>
    <n v="543.43799999999999"/>
    <s v="BCI"/>
    <s v="BQ-O-R8"/>
    <s v="PALF"/>
    <x v="5"/>
    <s v="Congo"/>
    <m/>
    <m/>
    <m/>
  </r>
  <r>
    <x v="249"/>
    <s v="Maison-Bureau"/>
    <s v="Transport"/>
    <s v="Management"/>
    <n v="1000"/>
    <n v="1.8401363172983856"/>
    <n v="543.43799999999999"/>
    <s v="DOVI"/>
    <s v="DH-O-D1"/>
    <s v="PALF"/>
    <x v="5"/>
    <s v="Congo"/>
    <m/>
    <m/>
    <m/>
  </r>
  <r>
    <x v="249"/>
    <s v="Bureau-UBA"/>
    <s v="Transport"/>
    <s v="Management"/>
    <n v="1000"/>
    <n v="1.8401363172983856"/>
    <n v="543.43799999999999"/>
    <s v="DOVI"/>
    <s v="DH-O-D1"/>
    <s v="PALF"/>
    <x v="5"/>
    <s v="Congo"/>
    <m/>
    <m/>
    <m/>
  </r>
  <r>
    <x v="249"/>
    <s v="UBA-Bureau"/>
    <s v="Transport"/>
    <s v="Management"/>
    <n v="1000"/>
    <n v="1.8401363172983856"/>
    <n v="543.43799999999999"/>
    <s v="DOVI"/>
    <s v="DH-O-D1"/>
    <s v="PALF"/>
    <x v="5"/>
    <s v="Congo"/>
    <m/>
    <m/>
    <m/>
  </r>
  <r>
    <x v="249"/>
    <s v="Bureau-Maison"/>
    <s v="Transport"/>
    <s v="Management"/>
    <n v="1000"/>
    <n v="1.8401363172983856"/>
    <n v="543.43799999999999"/>
    <s v="DOVI"/>
    <s v="DH-O-D1"/>
    <s v="PALF"/>
    <x v="5"/>
    <s v="Congo"/>
    <m/>
    <m/>
    <m/>
  </r>
  <r>
    <x v="249"/>
    <s v="Ration de 02 Prevenus (Darel et Lionel)  à la BT de Dolisie/matin"/>
    <s v="Jail visits"/>
    <s v="Legal"/>
    <n v="3000"/>
    <n v="5.5204089518951562"/>
    <n v="543.43799999999999"/>
    <s v="Crépin"/>
    <s v="CR-O-D3"/>
    <s v="PALF"/>
    <x v="5"/>
    <s v="Congo"/>
    <m/>
    <m/>
    <m/>
  </r>
  <r>
    <x v="249"/>
    <s v="Taxi: Boutique-BT"/>
    <s v="Transport"/>
    <s v="Legal"/>
    <n v="1000"/>
    <n v="1.8401363172983856"/>
    <n v="543.43799999999999"/>
    <s v="Crépin"/>
    <s v="CR-O-D1"/>
    <s v="PALF"/>
    <x v="5"/>
    <s v="Congo"/>
    <m/>
    <m/>
    <m/>
  </r>
  <r>
    <x v="249"/>
    <s v="Taxi: BT-Hôtel Pharaon 2"/>
    <s v="Transport"/>
    <s v="Legal"/>
    <n v="1000"/>
    <n v="1.8401363172983856"/>
    <n v="543.43799999999999"/>
    <s v="Crépin"/>
    <s v="CR-O-D1"/>
    <s v="PALF"/>
    <x v="5"/>
    <s v="Congo"/>
    <m/>
    <m/>
    <m/>
  </r>
  <r>
    <x v="249"/>
    <s v="Ration de 02 Prevenus (Darel et Lionel)  à la BT de Dolisie/Soir"/>
    <s v="Jail visits"/>
    <s v="Legal"/>
    <n v="3000"/>
    <n v="5.5204089518951562"/>
    <n v="543.43799999999999"/>
    <s v="Crépin"/>
    <s v="CR-O-D3"/>
    <s v="PALF"/>
    <x v="5"/>
    <s v="Congo"/>
    <m/>
    <m/>
    <m/>
  </r>
  <r>
    <x v="249"/>
    <s v="Taxi: Petit marché de nuit-BT"/>
    <s v="Transport"/>
    <s v="Legal"/>
    <n v="1000"/>
    <n v="1.8401363172983856"/>
    <n v="543.43799999999999"/>
    <s v="Crépin"/>
    <s v="CR-O-D1"/>
    <s v="PALF"/>
    <x v="5"/>
    <s v="Congo"/>
    <m/>
    <m/>
    <m/>
  </r>
  <r>
    <x v="249"/>
    <s v="Taxi: BT-Hôtel Pharaon 2"/>
    <s v="Transport"/>
    <s v="Legal"/>
    <n v="1000"/>
    <n v="1.8401363172983856"/>
    <n v="543.43799999999999"/>
    <s v="Crépin"/>
    <s v="CR-O-D1"/>
    <s v="PALF"/>
    <x v="5"/>
    <s v="Congo"/>
    <m/>
    <m/>
    <m/>
  </r>
  <r>
    <x v="249"/>
    <s v="Taxi Hôtel Yasmine-DDEF/ Procédure"/>
    <s v="Transport "/>
    <s v="Legal"/>
    <n v="1000"/>
    <n v="1.8401363172983856"/>
    <n v="543.43799999999999"/>
    <s v="Donald-Roméo"/>
    <s v="DR-O-D1"/>
    <s v="PALF"/>
    <x v="5"/>
    <s v="Congo"/>
    <m/>
    <m/>
    <m/>
  </r>
  <r>
    <x v="249"/>
    <s v="Taxi DDEF-Brigade Territoriale/ Faire signer les PV aux trafs"/>
    <s v="Transport "/>
    <s v="Legal"/>
    <n v="1000"/>
    <n v="1.8401363172983856"/>
    <n v="543.43799999999999"/>
    <s v="Donald-Roméo"/>
    <s v="DR-O-D1"/>
    <s v="PALF"/>
    <x v="5"/>
    <s v="Congo"/>
    <m/>
    <m/>
    <m/>
  </r>
  <r>
    <x v="249"/>
    <s v="Taxi La Brigade Territoriale- Hôtel Yasmine"/>
    <s v="Transport "/>
    <s v="Legal"/>
    <n v="1000"/>
    <n v="1.8401363172983856"/>
    <n v="543.43799999999999"/>
    <s v="Donald-Roméo"/>
    <s v="DR-O-D1"/>
    <s v="PALF"/>
    <x v="5"/>
    <s v="Congo"/>
    <m/>
    <m/>
    <m/>
  </r>
  <r>
    <x v="249"/>
    <s v="Evariste-CONGO Frais de l'hôtel du 29 septembre au 09 octobre 2025 à Dolisie (10 nuitées)"/>
    <s v="Travel Subsistence"/>
    <s v="Media"/>
    <n v="150000"/>
    <n v="276.0204475947578"/>
    <n v="543.43799999999999"/>
    <s v="Evariste"/>
    <s v="EV-O-R4"/>
    <s v="PALF"/>
    <x v="5"/>
    <s v="Congo"/>
    <m/>
    <m/>
    <m/>
  </r>
  <r>
    <x v="249"/>
    <s v="Taxi, Hôtel Yasmine-Agence Océan du Nord de Dolisie"/>
    <s v="Transport"/>
    <s v="Media"/>
    <n v="1000"/>
    <n v="1.8401363172983856"/>
    <n v="543.43799999999999"/>
    <s v="Evariste"/>
    <s v="EV-O-D1"/>
    <s v="PALF"/>
    <x v="5"/>
    <s v="Congo"/>
    <m/>
    <m/>
    <m/>
  </r>
  <r>
    <x v="249"/>
    <s v="Taxi, Agence Océan du Nord de Brazzaville-Domicile "/>
    <s v="Transport"/>
    <s v="Media"/>
    <n v="1000"/>
    <n v="1.8401363172983856"/>
    <n v="543.43799999999999"/>
    <s v="Evariste"/>
    <s v="EV-O-D1"/>
    <s v="PALF"/>
    <x v="5"/>
    <s v="Congo"/>
    <m/>
    <m/>
    <m/>
  </r>
  <r>
    <x v="249"/>
    <s v="Bonus media portant sur l'interpelation de 02 trafiquants des pointes d'ivoire le 04 octobre 2025 à Dolisie  pièces presse Internet (https://www.panoramik-actu.com)"/>
    <s v="Bonus to media officer"/>
    <s v="Media"/>
    <n v="6000"/>
    <n v="11.040817903790312"/>
    <n v="543.43799999999999"/>
    <s v="Evariste"/>
    <s v="CA-O-D1"/>
    <s v="PALF"/>
    <x v="5"/>
    <s v="Congo"/>
    <m/>
    <m/>
    <m/>
  </r>
  <r>
    <x v="249"/>
    <s v="Bonus media portant sur l'interpelation de 02 trafiquants des pointes d'ivoire le 04 octobre 2025 à Dolisie pièces presse Internet (https://www.tribune-eco.cg)"/>
    <s v="Bonus to media officer"/>
    <s v="Media"/>
    <n v="6000"/>
    <n v="11.040817903790312"/>
    <n v="543.43799999999999"/>
    <s v="Evariste"/>
    <s v="CA-O-D1"/>
    <s v="PALF"/>
    <x v="5"/>
    <s v="Congo"/>
    <m/>
    <m/>
    <m/>
  </r>
  <r>
    <x v="249"/>
    <s v="Bonus media portant sur l'interpelation de 02 trafiquants des pointes d'ivoire le 04 octobre 2025 à Dolisie pièces presse Internet (https://www.groupecongomedias.com)"/>
    <s v="Bonus to media officer"/>
    <s v="Media"/>
    <n v="6000"/>
    <n v="11.040817903790312"/>
    <n v="543.43799999999999"/>
    <s v="Evariste"/>
    <s v="CA-O-D1"/>
    <s v="PALF"/>
    <x v="5"/>
    <s v="Congo"/>
    <m/>
    <m/>
    <m/>
  </r>
  <r>
    <x v="249"/>
    <s v="Bonus media portant sur l'interpelation de 02 trafiquants des pointes d'ivoire le 04 octobre 2025 à Dolisie pièces presse Internet (https://www.labreveonline.com)"/>
    <s v="Bonus to media officer"/>
    <s v="Media"/>
    <n v="6000"/>
    <n v="11.040817903790312"/>
    <n v="543.43799999999999"/>
    <s v="Evariste"/>
    <s v="CA-O-D1"/>
    <s v="PALF"/>
    <x v="5"/>
    <s v="Congo"/>
    <m/>
    <m/>
    <m/>
  </r>
  <r>
    <x v="249"/>
    <s v="Bonus media portant sur l'interpelation de 02 trafiquants des pointes d'ivoire le 04 octobre 2025 à Dolisie pièces presse Internet (https://www.adiac-congo.com)"/>
    <s v="Bonus to media officer"/>
    <s v="Media"/>
    <n v="6000"/>
    <n v="11.040817903790312"/>
    <n v="543.43799999999999"/>
    <s v="Evariste"/>
    <s v="CA-O-D1"/>
    <s v="PALF"/>
    <x v="5"/>
    <s v="Congo"/>
    <m/>
    <m/>
    <m/>
  </r>
  <r>
    <x v="249"/>
    <s v="Bonus media portant sur l'interpelation de 02 trafiquants des pointes d'ivoire le 04 octobre 2025 à Dolisie pièces presse Internet (https://www.lasemaineafricaine.info)"/>
    <s v="Bonus to media officer"/>
    <s v="Media"/>
    <n v="6000"/>
    <n v="11.040817903790312"/>
    <n v="543.43799999999999"/>
    <s v="Evariste"/>
    <s v="CA-O-D1"/>
    <s v="PALF"/>
    <x v="5"/>
    <s v="Congo"/>
    <m/>
    <m/>
    <m/>
  </r>
  <r>
    <x v="249"/>
    <s v="Bonus media portant sur l'interpelation de 02 trafiquants des pointes d'ivoire le 04 octobre 2025 à Dolisie pièces presse Internet (https://www.matinlibre.cg)"/>
    <s v="Bonus to media officer"/>
    <s v="Media"/>
    <n v="6000"/>
    <n v="11.040817903790312"/>
    <n v="543.43799999999999"/>
    <s v="Evariste"/>
    <s v="CA-O-D1"/>
    <s v="PALF"/>
    <x v="5"/>
    <s v="Congo"/>
    <m/>
    <m/>
    <m/>
  </r>
  <r>
    <x v="249"/>
    <s v="Bonus media portant sur l'interpelation de 02 trafiquants des pointes d'ivoire le 04 octobre 2025 à Dolisie pièces presse Internet (https://www.firstmediac.com)"/>
    <s v="Bonus to media officer"/>
    <s v="Media"/>
    <n v="6000"/>
    <n v="11.040817903790312"/>
    <n v="543.43799999999999"/>
    <s v="Evariste"/>
    <s v="CA-O-D1"/>
    <s v="PALF"/>
    <x v="5"/>
    <s v="Congo"/>
    <m/>
    <m/>
    <m/>
  </r>
  <r>
    <x v="249"/>
    <s v="Bonus media portant sur l'interpelation de 02 trafiquants des pointes d'ivoire le 04 octobre 2025 à Dolisie pièces presse Internet (https://www.journaldebrazza.com)"/>
    <s v="Bonus to media officer"/>
    <s v="Media"/>
    <n v="6000"/>
    <n v="11.040817903790312"/>
    <n v="543.43799999999999"/>
    <s v="Evariste"/>
    <s v="CA-O-D1"/>
    <s v="PALF"/>
    <x v="5"/>
    <s v="Congo"/>
    <m/>
    <m/>
    <m/>
  </r>
  <r>
    <x v="249"/>
    <s v="Bonus media portant sur l'interpelation de 02 trafiquants des pointes d'ivoire le 04 octobre 2025 à Dolisie pièces presse Internet (https://vmmedias.info)"/>
    <s v="Bonus to media officer"/>
    <s v="Media"/>
    <n v="6000"/>
    <n v="11.040817903790312"/>
    <n v="543.43799999999999"/>
    <s v="Evariste"/>
    <s v="CA-O-D1"/>
    <s v="PALF"/>
    <x v="5"/>
    <s v="Congo"/>
    <m/>
    <m/>
    <m/>
  </r>
  <r>
    <x v="249"/>
    <s v="Bonus media portant sur l'interpelation de 02 trafiquants des pointes d'ivoire le 04 octobre 2025 à Dolisie pièces presse Internet (https://aci.cg)"/>
    <s v="Bonus to media officer"/>
    <s v="Media"/>
    <n v="6000"/>
    <n v="11.040817903790312"/>
    <n v="543.43799999999999"/>
    <s v="Evariste"/>
    <s v="CA-O-D1"/>
    <s v="PALF"/>
    <x v="5"/>
    <s v="Congo"/>
    <m/>
    <m/>
    <m/>
  </r>
  <r>
    <x v="249"/>
    <s v="Bonus media portant sur l'interpelation de 02 trafiquants des pointes d'ivoire le 04 octobre 2025 à Dolisie pièces presse Internet (https://lesechos-congobrazza.com/)"/>
    <s v="Bonus to media officer"/>
    <s v="Media"/>
    <n v="6000"/>
    <n v="11.040817903790312"/>
    <n v="543.43799999999999"/>
    <s v="Evariste"/>
    <s v="CA-O-D1"/>
    <s v="PALF"/>
    <x v="5"/>
    <s v="Congo"/>
    <m/>
    <m/>
    <m/>
  </r>
  <r>
    <x v="249"/>
    <s v="Bonus media portant sur l'interpelation de 02 trafiquants des pointes d'ivoire le 04 octobre 2025 à Dolisie pièces presse Internet (https://opinionpublique.cg)"/>
    <s v="Bonus to media officer"/>
    <s v="Media"/>
    <n v="6000"/>
    <n v="11.040817903790312"/>
    <n v="543.43799999999999"/>
    <s v="Evariste"/>
    <s v="CA-O-D1"/>
    <s v="PALF"/>
    <x v="5"/>
    <s v="Congo"/>
    <m/>
    <m/>
    <m/>
  </r>
  <r>
    <x v="249"/>
    <s v="Bonus media portant sur l'interpelation de 02 trafiquants des pointes d'ivoire le 04 octobre 2025 à Dolisie pièces presse Internet (https://www.lhorizonafricain.com)"/>
    <s v="Bonus to media officer"/>
    <s v="Media"/>
    <n v="6000"/>
    <n v="11.040817903790312"/>
    <n v="543.43799999999999"/>
    <s v="Evariste"/>
    <s v="CA-O-D1"/>
    <s v="PALF"/>
    <x v="5"/>
    <s v="Congo"/>
    <m/>
    <m/>
    <m/>
  </r>
  <r>
    <x v="249"/>
    <s v="Bonus media portant sur l'interpallation de 02 trafiquants des pointes d'ivoire le 04 octobre 2025 à Dolisie pieces presse papier(les depêches de brazzaville)"/>
    <s v="Bonus to media officer"/>
    <s v="Media"/>
    <n v="10000"/>
    <n v="18.401363172983856"/>
    <n v="543.43799999999999"/>
    <s v="Evariste"/>
    <s v="CA-O-D2"/>
    <s v="PALF"/>
    <x v="5"/>
    <s v="Congo"/>
    <m/>
    <m/>
    <m/>
  </r>
  <r>
    <x v="249"/>
    <s v="Bonus media portant sur l'interpallation de 02 trafiquants des pointes d'ivoire le 04 octobre 2025 à Dolisie pieces presse papier(l l'horizion africain)"/>
    <s v="Bonus to media officer"/>
    <s v="Media"/>
    <n v="10000"/>
    <n v="18.401363172983856"/>
    <n v="543.43799999999999"/>
    <s v="Evariste"/>
    <s v="CA-O-D2"/>
    <s v="PALF"/>
    <x v="5"/>
    <s v="Congo"/>
    <m/>
    <m/>
    <m/>
  </r>
  <r>
    <x v="249"/>
    <s v="Bonus media portant sur l'interpallation de 02 trafiquants des pointes d'ivoire le 04 octobre 2025 à Dolisie pieces presse papier(l'agence congolaise de l'information)"/>
    <s v="Bonus to media officer"/>
    <s v="Media"/>
    <n v="10000"/>
    <n v="18.401363172983856"/>
    <n v="543.43799999999999"/>
    <s v="Evariste"/>
    <s v="CA-O-D2"/>
    <s v="PALF"/>
    <x v="5"/>
    <s v="Congo"/>
    <m/>
    <m/>
    <m/>
  </r>
  <r>
    <x v="249"/>
    <s v="Bonus media portant sur l'interpallation de 02 trafiquants des pointes d'ivoire le 04 octobre 2025 à Dolisie pieces presse papier( la semaine Africaine)"/>
    <s v="Bonus to media officer"/>
    <s v="Media"/>
    <n v="10000"/>
    <n v="18.401363172983856"/>
    <n v="543.43799999999999"/>
    <s v="Evariste"/>
    <s v="CA-O-D2"/>
    <s v="PALF"/>
    <x v="5"/>
    <s v="Congo"/>
    <m/>
    <m/>
    <m/>
  </r>
  <r>
    <x v="249"/>
    <s v="Bonus media portant sur l'interpellation de 02 trafiquants des pointes d'ivoire le 04 octobre 2025 à Dolisie  presse Radio citoyenne des jeunes"/>
    <s v="Bonus to media officer"/>
    <s v="Media"/>
    <n v="6000"/>
    <n v="11.040817903790312"/>
    <n v="543.43799999999999"/>
    <s v="Evariste"/>
    <s v="CA-O-D3"/>
    <s v="PALF"/>
    <x v="5"/>
    <s v="Congo"/>
    <m/>
    <m/>
    <m/>
  </r>
  <r>
    <x v="249"/>
    <s v="Bonus media portant sur l'interpellation de 02 trafiquants des pointes d'ivoire le 04 octobre 2025 à Dolisie  presse Radio (radio Liberté Français)"/>
    <s v="Bonus to media officer"/>
    <s v="Media"/>
    <n v="6000"/>
    <n v="11.040817903790312"/>
    <n v="543.43799999999999"/>
    <s v="Evariste"/>
    <s v="CA-O-D3"/>
    <s v="PALF"/>
    <x v="5"/>
    <s v="Congo"/>
    <m/>
    <m/>
    <m/>
  </r>
  <r>
    <x v="249"/>
    <s v="Bonus media portant sur l'interpellation de 02 trafiquants des pointes d'ivoire le 04 octobre 2025 à Dolisie  presse Radio( radio Liberté Kituba)"/>
    <s v="Bonus to media officer"/>
    <s v="Media"/>
    <n v="6000"/>
    <n v="11.040817903790312"/>
    <n v="543.43799999999999"/>
    <s v="Evariste"/>
    <s v="CA-O-D3"/>
    <s v="PALF"/>
    <x v="5"/>
    <s v="Congo"/>
    <m/>
    <m/>
    <m/>
  </r>
  <r>
    <x v="249"/>
    <s v="Bonus media portant sur l'interpellation de 02 trafiquants des pointes d'ivoire le 04 octobre 2025 à Dolisie  presse Radio (Radio Liberté Lingala)"/>
    <s v="Bonus to media officer"/>
    <s v="Media"/>
    <n v="6000"/>
    <n v="11.040817903790312"/>
    <n v="543.43799999999999"/>
    <s v="Evariste"/>
    <s v="CA-O-D3"/>
    <s v="PALF"/>
    <x v="5"/>
    <s v="Congo"/>
    <m/>
    <m/>
    <m/>
  </r>
  <r>
    <x v="249"/>
    <s v="Taxi: Bureau-Station Service-PUMA pour l'achat du carburant"/>
    <s v="Transport"/>
    <s v="Legal"/>
    <n v="1500"/>
    <n v="2.7602044759475781"/>
    <n v="543.43799999999999"/>
    <s v="Romain"/>
    <s v="RM-O-D1"/>
    <s v="PALF"/>
    <x v="5"/>
    <s v="Congo"/>
    <m/>
    <m/>
    <m/>
  </r>
  <r>
    <x v="249"/>
    <s v="Taxi: Station service PUMA-Bureau"/>
    <s v="Transport"/>
    <s v="Legal"/>
    <n v="1500"/>
    <n v="2.7602044759475781"/>
    <n v="543.43799999999999"/>
    <s v="Romain"/>
    <s v="RM-O-D1"/>
    <s v="PALF"/>
    <x v="5"/>
    <s v="Congo"/>
    <m/>
    <m/>
    <m/>
  </r>
  <r>
    <x v="249"/>
    <s v="Achat carburant groupe electrogène Bureau "/>
    <s v="Office Materiels"/>
    <s v="Office"/>
    <n v="31250"/>
    <n v="57.504259915574544"/>
    <n v="543.43799999999999"/>
    <s v="Romain"/>
    <s v="CA-O-R9"/>
    <s v="PALF"/>
    <x v="5"/>
    <s v="Congo"/>
    <m/>
    <m/>
    <m/>
  </r>
  <r>
    <x v="249"/>
    <s v="Reglement honoraire du mois de septembre 2025/T73/3654445"/>
    <s v="Personnel"/>
    <s v="Investigation"/>
    <n v="255000"/>
    <n v="469.2347609110883"/>
    <n v="543.43799999999999"/>
    <s v="BCI"/>
    <s v="BQ-O-R7"/>
    <s v="PALF"/>
    <x v="5"/>
    <s v="Congo"/>
    <m/>
    <m/>
    <m/>
  </r>
  <r>
    <x v="250"/>
    <s v="Maison-Bureau"/>
    <s v="Transport"/>
    <s v="Management"/>
    <n v="1000"/>
    <n v="1.8401363172983856"/>
    <n v="543.43799999999999"/>
    <s v="DOVI"/>
    <s v="DH-O-D1"/>
    <s v="PALF"/>
    <x v="5"/>
    <s v="Congo"/>
    <m/>
    <m/>
    <m/>
  </r>
  <r>
    <x v="250"/>
    <s v="Bureau-UBA"/>
    <s v="Transport"/>
    <s v="Management"/>
    <n v="1000"/>
    <n v="1.8401363172983856"/>
    <n v="543.43799999999999"/>
    <s v="DOVI"/>
    <s v="DH-O-D1"/>
    <s v="PALF"/>
    <x v="5"/>
    <s v="Congo"/>
    <m/>
    <m/>
    <m/>
  </r>
  <r>
    <x v="250"/>
    <s v="UBA-Bureau"/>
    <s v="Transport"/>
    <s v="Management"/>
    <n v="1000"/>
    <n v="1.8401363172983856"/>
    <n v="543.43799999999999"/>
    <s v="DOVI"/>
    <s v="DH-O-D1"/>
    <s v="PALF"/>
    <x v="5"/>
    <s v="Congo"/>
    <m/>
    <m/>
    <m/>
  </r>
  <r>
    <x v="250"/>
    <s v="Bureau-Maison"/>
    <s v="Transport"/>
    <s v="Management"/>
    <n v="1000"/>
    <n v="1.8401363172983856"/>
    <n v="543.43799999999999"/>
    <s v="DOVI"/>
    <s v="DH-O-D1"/>
    <s v="PALF"/>
    <x v="5"/>
    <s v="Congo"/>
    <m/>
    <m/>
    <m/>
  </r>
  <r>
    <x v="250"/>
    <s v="Ration de 02 Prevenus (Darel et Lionel)  à la BT de Dolisie/matin"/>
    <s v="Jail visits"/>
    <s v="Legal"/>
    <n v="3000"/>
    <n v="5.5204089518951562"/>
    <n v="543.43799999999999"/>
    <s v="Crépin"/>
    <s v="CR-O-D3"/>
    <s v="PALF"/>
    <x v="5"/>
    <s v="Congo"/>
    <m/>
    <m/>
    <m/>
  </r>
  <r>
    <x v="250"/>
    <s v="Taxi: Boutique-BT"/>
    <s v="Transport"/>
    <s v="Legal"/>
    <n v="1000"/>
    <n v="1.8401363172983856"/>
    <n v="543.43799999999999"/>
    <s v="Crépin"/>
    <s v="CR-O-D1"/>
    <s v="PALF"/>
    <x v="5"/>
    <s v="Congo"/>
    <m/>
    <m/>
    <m/>
  </r>
  <r>
    <x v="250"/>
    <s v="Taxi: BT-Hôtel Pharaon 2"/>
    <s v="Transport"/>
    <s v="Legal"/>
    <n v="1000"/>
    <n v="1.8401363172983856"/>
    <n v="543.43799999999999"/>
    <s v="Crépin"/>
    <s v="CR-O-D1"/>
    <s v="PALF"/>
    <x v="5"/>
    <s v="Congo"/>
    <m/>
    <m/>
    <m/>
  </r>
  <r>
    <x v="250"/>
    <s v="Ration de deux trafs (Lionel et Darel) le soir à la BT de Dolisie"/>
    <s v="Transport"/>
    <s v="Legal"/>
    <n v="3000"/>
    <n v="5.5204089518951562"/>
    <n v="543.43799999999999"/>
    <s v="Crépin"/>
    <s v="CR-O-D1"/>
    <s v="PALF"/>
    <x v="5"/>
    <s v="Congo"/>
    <m/>
    <m/>
    <m/>
  </r>
  <r>
    <x v="250"/>
    <s v="Taxi: Petit marché de nuit-BT"/>
    <s v="Transport"/>
    <s v="Legal"/>
    <n v="1000"/>
    <n v="1.8401363172983856"/>
    <n v="543.43799999999999"/>
    <s v="Crépin"/>
    <s v="CR-O-D1"/>
    <s v="PALF"/>
    <x v="5"/>
    <s v="Congo"/>
    <m/>
    <m/>
    <m/>
  </r>
  <r>
    <x v="250"/>
    <s v="Taxi: BT-Hôtel Pharaon 2"/>
    <s v="Transport"/>
    <s v="Legal"/>
    <n v="1000"/>
    <n v="1.8401363172983856"/>
    <n v="543.43799999999999"/>
    <s v="Crépin"/>
    <s v="CR-O-D1"/>
    <s v="PALF"/>
    <x v="5"/>
    <s v="Congo"/>
    <m/>
    <m/>
    <m/>
  </r>
  <r>
    <x v="250"/>
    <s v="Taxi Hôtel Yasmine-Charden farell/ Retirer les fonds"/>
    <s v="Transport "/>
    <s v="Legal"/>
    <n v="1000"/>
    <n v="1.8401363172983856"/>
    <n v="543.43799999999999"/>
    <s v="Donald-Roméo"/>
    <s v="DR-O-D1"/>
    <s v="PALF"/>
    <x v="5"/>
    <s v="Congo"/>
    <m/>
    <m/>
    <m/>
  </r>
  <r>
    <x v="250"/>
    <s v="Taxi Charden farell-Hôtel le Pharaon/ Remettre les budget de Crépin et Me Alain"/>
    <s v="Transport "/>
    <s v="Legal"/>
    <n v="1000"/>
    <n v="1.8401363172983856"/>
    <n v="543.43799999999999"/>
    <s v="Donald-Roméo"/>
    <s v="DR-O-D1"/>
    <s v="PALF"/>
    <x v="5"/>
    <s v="Congo"/>
    <m/>
    <m/>
    <m/>
  </r>
  <r>
    <x v="250"/>
    <s v="Taxi Hôtel le Pharaon-Hôtel Yasmine"/>
    <s v="Transport "/>
    <s v="Legal"/>
    <n v="1000"/>
    <n v="1.8401363172983856"/>
    <n v="543.43799999999999"/>
    <s v="Donald-Roméo"/>
    <s v="DR-O-D1"/>
    <s v="PALF"/>
    <x v="5"/>
    <s v="Congo"/>
    <m/>
    <m/>
    <m/>
  </r>
  <r>
    <x v="250"/>
    <s v="Taxi, Bureau PALF-Radio Citoyenne des Jeunes"/>
    <s v="Transport"/>
    <s v="Media"/>
    <n v="1000"/>
    <n v="1.8401363172983856"/>
    <n v="543.43799999999999"/>
    <s v="Evariste"/>
    <s v="EV-O-D1"/>
    <s v="PALF"/>
    <x v="5"/>
    <s v="Congo"/>
    <m/>
    <m/>
    <m/>
  </r>
  <r>
    <x v="250"/>
    <s v="Taxi, Radio Citoyenne des Jeunes (RCJ)-Le journal Opinion Publique"/>
    <s v="Transport"/>
    <s v="Media"/>
    <n v="1000"/>
    <n v="1.8401363172983856"/>
    <n v="543.43799999999999"/>
    <s v="Evariste"/>
    <s v="EV-O-D1"/>
    <s v="PALF"/>
    <x v="5"/>
    <s v="Congo"/>
    <m/>
    <m/>
    <m/>
  </r>
  <r>
    <x v="250"/>
    <s v="Taxi, Le journal Opinion Publique-lhorizonafricain.com"/>
    <s v="Transport"/>
    <s v="Media"/>
    <n v="1000"/>
    <n v="1.8401363172983856"/>
    <n v="543.43799999999999"/>
    <s v="Evariste"/>
    <s v="EV-O-D1"/>
    <s v="PALF"/>
    <x v="5"/>
    <s v="Congo"/>
    <m/>
    <m/>
    <m/>
  </r>
  <r>
    <x v="250"/>
    <s v="Taxi, lhorizonafricain.com-Les Dépêches de Brazzaville"/>
    <s v="Transport"/>
    <s v="Media"/>
    <n v="1000"/>
    <n v="1.8401363172983856"/>
    <n v="543.43799999999999"/>
    <s v="Evariste"/>
    <s v="EV-O-D1"/>
    <s v="PALF"/>
    <x v="5"/>
    <s v="Congo"/>
    <m/>
    <m/>
    <m/>
  </r>
  <r>
    <x v="250"/>
    <s v="Taxi, Les Dépêches de Brazzaville-l'Agence Congolaise d'information (ACI)"/>
    <s v="Transport"/>
    <s v="Media"/>
    <n v="1000"/>
    <n v="1.8401363172983856"/>
    <n v="543.43799999999999"/>
    <s v="Evariste"/>
    <s v="EV-O-D1"/>
    <s v="PALF"/>
    <x v="5"/>
    <s v="Congo"/>
    <m/>
    <m/>
    <m/>
  </r>
  <r>
    <x v="250"/>
    <s v="Taxi, Agence Congolaise d'Information (ACI)-panoramik-actu.com"/>
    <s v="Transport"/>
    <s v="Media"/>
    <n v="1000"/>
    <n v="1.8401363172983856"/>
    <n v="543.43799999999999"/>
    <s v="Evariste"/>
    <s v="EV-O-D1"/>
    <s v="PALF"/>
    <x v="5"/>
    <s v="Congo"/>
    <m/>
    <m/>
    <m/>
  </r>
  <r>
    <x v="250"/>
    <s v="Taxi, panoramik-actu.com-groupecongomedias.com"/>
    <s v="Transport"/>
    <s v="Media"/>
    <n v="1000"/>
    <n v="1.8401363172983856"/>
    <n v="543.43799999999999"/>
    <s v="Evariste"/>
    <s v="EV-O-D1"/>
    <s v="PALF"/>
    <x v="5"/>
    <s v="Congo"/>
    <m/>
    <m/>
    <m/>
  </r>
  <r>
    <x v="250"/>
    <s v="Taxi, groupecongomedias.com-Bureau PALF"/>
    <s v="Transport"/>
    <s v="Media"/>
    <n v="1000"/>
    <n v="1.8401363172983856"/>
    <n v="543.43799999999999"/>
    <s v="Evariste"/>
    <s v="EV-O-D1"/>
    <s v="PALF"/>
    <x v="5"/>
    <s v="Congo"/>
    <m/>
    <m/>
    <m/>
  </r>
  <r>
    <x v="250"/>
    <s v="Taxi: Bureau-Charden Farell(Pour le transfert d'argent)"/>
    <s v="Transport"/>
    <s v="Legal"/>
    <n v="500"/>
    <n v="0.92006815864919278"/>
    <n v="543.43799999999999"/>
    <s v="Romain"/>
    <s v="RM-O-D1"/>
    <s v="PALF"/>
    <x v="5"/>
    <s v="Congo"/>
    <m/>
    <m/>
    <m/>
  </r>
  <r>
    <x v="250"/>
    <s v="Taxi: Charden Farell-Bureau"/>
    <s v="Transport"/>
    <s v="Legal"/>
    <n v="500"/>
    <n v="0.92006815864919278"/>
    <n v="543.43799999999999"/>
    <s v="Romain"/>
    <s v="RM-O-D1"/>
    <s v="PALF"/>
    <x v="5"/>
    <s v="Congo"/>
    <m/>
    <m/>
    <m/>
  </r>
  <r>
    <x v="250"/>
    <s v="Frais de tansfert d'argent  a Crepin et  Donald-Roméo"/>
    <s v="Transfert fees"/>
    <s v="Office"/>
    <n v="10440"/>
    <n v="19.211023152595146"/>
    <n v="543.43799999999999"/>
    <s v="Romain"/>
    <s v="CA-O-R10"/>
    <s v="PALF"/>
    <x v="5"/>
    <s v="Congo"/>
    <m/>
    <m/>
    <m/>
  </r>
  <r>
    <x v="251"/>
    <s v="Ration de 02 Prevenus (Darel et Lionel)  à la BT de Dolisie/Soir"/>
    <s v="Jail visits"/>
    <s v="Legal"/>
    <n v="3000"/>
    <n v="5.5204089518951562"/>
    <n v="543.43799999999999"/>
    <s v="Crépin"/>
    <s v="CR-O-D3"/>
    <s v="PALF"/>
    <x v="5"/>
    <s v="Congo"/>
    <m/>
    <m/>
    <m/>
  </r>
  <r>
    <x v="251"/>
    <s v="Taxi: Boutique-BT"/>
    <s v="Transport"/>
    <s v="Legal"/>
    <n v="1000"/>
    <n v="1.8401363172983856"/>
    <n v="543.43799999999999"/>
    <s v="Crépin"/>
    <s v="CR-O-D1"/>
    <s v="PALF"/>
    <x v="5"/>
    <s v="Congo"/>
    <m/>
    <m/>
    <m/>
  </r>
  <r>
    <x v="251"/>
    <s v="Taxi: BT-Hôtel Pharaon 2"/>
    <s v="Transport"/>
    <s v="Legal"/>
    <n v="1000"/>
    <n v="1.8401363172983856"/>
    <n v="543.43799999999999"/>
    <s v="Crépin"/>
    <s v="CR-O-D1"/>
    <s v="PALF"/>
    <x v="5"/>
    <s v="Congo"/>
    <m/>
    <m/>
    <m/>
  </r>
  <r>
    <x v="251"/>
    <s v="Ration de 02 Prevenus (Darel et Lionel)  à la BT de Dolisie/matin"/>
    <s v="Jail visits"/>
    <s v="Legal"/>
    <n v="3000"/>
    <n v="5.5204089518951562"/>
    <n v="543.43799999999999"/>
    <s v="Crépin"/>
    <s v="CR-O-D3"/>
    <s v="PALF"/>
    <x v="5"/>
    <s v="Congo"/>
    <m/>
    <m/>
    <m/>
  </r>
  <r>
    <x v="251"/>
    <s v="Taxi: Petit marché de nuit-BT"/>
    <s v="Transport"/>
    <s v="Legal"/>
    <n v="1000"/>
    <n v="1.8401363172983856"/>
    <n v="543.43799999999999"/>
    <s v="Crépin"/>
    <s v="CR-O-D1"/>
    <s v="PALF"/>
    <x v="5"/>
    <s v="Congo"/>
    <m/>
    <m/>
    <m/>
  </r>
  <r>
    <x v="251"/>
    <s v="Taxi: BT-Hôtel Pharaon 2"/>
    <s v="Transport"/>
    <s v="Legal"/>
    <n v="1000"/>
    <n v="1.8401363172983856"/>
    <n v="543.43799999999999"/>
    <s v="Crépin"/>
    <s v="CR-O-D1"/>
    <s v="PALF"/>
    <x v="5"/>
    <s v="Congo"/>
    <m/>
    <m/>
    <m/>
  </r>
  <r>
    <x v="251"/>
    <s v="Taxi:  Bureau-Domicile/ finalisation rapport financier de septembre 2025/ ferie"/>
    <s v="Transport"/>
    <s v="Office"/>
    <n v="1500"/>
    <n v="2.7602044759475781"/>
    <n v="543.43799999999999"/>
    <s v="Parfaite"/>
    <s v="P-O-D1"/>
    <s v="PALF"/>
    <x v="5"/>
    <s v="Congo"/>
    <m/>
    <m/>
    <m/>
  </r>
  <r>
    <x v="251"/>
    <s v="Taxi:  Bureau- Domicile"/>
    <s v="Transport"/>
    <s v="Office"/>
    <n v="1500"/>
    <n v="2.7602044759475781"/>
    <n v="543.43799999999999"/>
    <s v="Parfaite"/>
    <s v="P-O-D1"/>
    <s v="PALF"/>
    <x v="5"/>
    <s v="Congo"/>
    <m/>
    <m/>
    <m/>
  </r>
  <r>
    <x v="251"/>
    <s v="Taxi: Domicile-Bureau"/>
    <s v="Transport"/>
    <s v="Legal"/>
    <n v="1000"/>
    <n v="1.8401363172983856"/>
    <n v="543.43799999999999"/>
    <s v="Abraham"/>
    <s v="AB-O-D1"/>
    <s v="PALF"/>
    <x v="5"/>
    <s v="Congo"/>
    <m/>
    <m/>
    <m/>
  </r>
  <r>
    <x v="251"/>
    <s v="Taxi: Bureau-Domicile"/>
    <s v="Transport"/>
    <s v="Legal"/>
    <n v="1000"/>
    <n v="1.8401363172983856"/>
    <n v="543.43799999999999"/>
    <s v="Abraham"/>
    <s v="AB-O-D1"/>
    <s v="PALF"/>
    <x v="5"/>
    <s v="Congo"/>
    <m/>
    <m/>
    <m/>
  </r>
  <r>
    <x v="252"/>
    <s v="Ration de 02 Prevenus (Darel et Lionel)  à la BT de Dolisie/Soir"/>
    <s v="Jail visits"/>
    <s v="Legal"/>
    <n v="3000"/>
    <n v="5.5204089518951562"/>
    <n v="543.43799999999999"/>
    <s v="Crépin"/>
    <s v="CR-O-D3"/>
    <s v="PALF"/>
    <x v="5"/>
    <s v="Congo"/>
    <m/>
    <m/>
    <m/>
  </r>
  <r>
    <x v="252"/>
    <s v="Taxi: Boutique-BT"/>
    <s v="Transport"/>
    <s v="Legal"/>
    <n v="1000"/>
    <n v="1.8401363172983856"/>
    <n v="543.43799999999999"/>
    <s v="Crépin"/>
    <s v="CR-O-D1"/>
    <s v="PALF"/>
    <x v="5"/>
    <s v="Congo"/>
    <m/>
    <m/>
    <m/>
  </r>
  <r>
    <x v="252"/>
    <s v="Taxi: BT-Hôtel Pharaon 2"/>
    <s v="Transport"/>
    <s v="Legal"/>
    <n v="1000"/>
    <n v="1.8401363172983856"/>
    <n v="543.43799999999999"/>
    <s v="Crépin"/>
    <s v="CR-O-D1"/>
    <s v="PALF"/>
    <x v="5"/>
    <s v="Congo"/>
    <m/>
    <m/>
    <m/>
  </r>
  <r>
    <x v="252"/>
    <s v="Taxi: Hôtel-Secrétariat pour l'impression de la procédure."/>
    <s v="Transport"/>
    <s v="Legal"/>
    <n v="1000"/>
    <n v="1.8401363172983856"/>
    <n v="543.43799999999999"/>
    <s v="Crépin"/>
    <s v="CR-O-D1"/>
    <s v="PALF"/>
    <x v="5"/>
    <s v="Congo"/>
    <m/>
    <m/>
    <m/>
  </r>
  <r>
    <x v="252"/>
    <s v="Frais d'mpression de la procédure"/>
    <s v="Office material"/>
    <s v="Legal"/>
    <n v="24750"/>
    <n v="45.543373853135044"/>
    <n v="543.43799999999999"/>
    <s v="Crépin"/>
    <s v="CR-O-R6"/>
    <s v="PALF"/>
    <x v="5"/>
    <s v="Congo"/>
    <m/>
    <m/>
    <m/>
  </r>
  <r>
    <x v="252"/>
    <s v="Taxi: Secretariat-Hôtel Pharaon 2"/>
    <s v="Transport"/>
    <s v="Legal"/>
    <n v="1000"/>
    <n v="1.8401363172983856"/>
    <n v="543.43799999999999"/>
    <s v="Crépin"/>
    <s v="CR-O-D1"/>
    <s v="PALF"/>
    <x v="5"/>
    <s v="Congo"/>
    <m/>
    <m/>
    <m/>
  </r>
  <r>
    <x v="252"/>
    <s v="Ration de 02 Prevenus (Darel et Lionel)  à la BT de Dolisie/matin"/>
    <s v="Jail visits"/>
    <s v="Legal"/>
    <n v="3000"/>
    <n v="5.5204089518951562"/>
    <n v="543.43799999999999"/>
    <s v="Crépin"/>
    <s v="CR-O-D3"/>
    <s v="PALF"/>
    <x v="5"/>
    <s v="Congo"/>
    <m/>
    <m/>
    <m/>
  </r>
  <r>
    <x v="252"/>
    <s v="Taxi: Petit marché de nuit-BT"/>
    <s v="Transport"/>
    <s v="Legal"/>
    <n v="1000"/>
    <n v="1.8401363172983856"/>
    <n v="543.43799999999999"/>
    <s v="Crépin"/>
    <s v="CR-O-D1"/>
    <s v="PALF"/>
    <x v="5"/>
    <s v="Congo"/>
    <m/>
    <m/>
    <m/>
  </r>
  <r>
    <x v="252"/>
    <s v="Taxi: BT-Hôtel Pharaon 2"/>
    <s v="Transport"/>
    <s v="Legal"/>
    <n v="1000"/>
    <n v="1.8401363172983856"/>
    <n v="543.43799999999999"/>
    <s v="Crépin"/>
    <s v="CR-O-D1"/>
    <s v="PALF"/>
    <x v="5"/>
    <s v="Congo"/>
    <m/>
    <m/>
    <m/>
  </r>
  <r>
    <x v="253"/>
    <s v="Maison-Bureau"/>
    <s v="Transport"/>
    <s v="Management"/>
    <n v="1000"/>
    <n v="1.8401363172983856"/>
    <n v="543.43799999999999"/>
    <s v="DOVI"/>
    <s v="DH-O-D1"/>
    <s v="PALF"/>
    <x v="5"/>
    <s v="Congo"/>
    <m/>
    <m/>
    <m/>
  </r>
  <r>
    <x v="253"/>
    <s v="Bureau -Maison"/>
    <s v="Transport"/>
    <s v="Management"/>
    <n v="1000"/>
    <n v="1.8401363172983856"/>
    <n v="543.43799999999999"/>
    <s v="DOVI"/>
    <s v="DH-O-D1"/>
    <s v="PALF"/>
    <x v="5"/>
    <s v="Congo"/>
    <m/>
    <m/>
    <m/>
  </r>
  <r>
    <x v="253"/>
    <s v="Credit telephonique MTN/PALF/ du 13 au 19 octobre 2025/ DOVI"/>
    <s v="Telephone"/>
    <s v="Management"/>
    <n v="12500"/>
    <n v="23.001703966229819"/>
    <n v="543.43799999999999"/>
    <s v="DOVI"/>
    <s v="DH-O-R6"/>
    <s v="PALF"/>
    <x v="5"/>
    <s v="Congo"/>
    <m/>
    <m/>
    <m/>
  </r>
  <r>
    <x v="253"/>
    <s v="Ration de 02 Prevenus (Darel et Lionel)  à la BT de Dolisie/Soir"/>
    <s v="Jail visits"/>
    <s v="Legal"/>
    <n v="3000"/>
    <n v="5.5204089518951562"/>
    <n v="543.43799999999999"/>
    <s v="Crépin"/>
    <s v="CR-O-D3"/>
    <s v="PALF"/>
    <x v="5"/>
    <s v="Congo"/>
    <m/>
    <m/>
    <m/>
  </r>
  <r>
    <x v="253"/>
    <s v="Taxi: Boutique-BT"/>
    <s v="Transport"/>
    <s v="Legal"/>
    <n v="1000"/>
    <n v="1.8401363172983856"/>
    <n v="543.43799999999999"/>
    <s v="Crépin"/>
    <s v="CR-O-D1"/>
    <s v="PALF"/>
    <x v="5"/>
    <s v="Congo"/>
    <m/>
    <m/>
    <m/>
  </r>
  <r>
    <x v="253"/>
    <s v="Taxi: BT-Hôtel Pharaon 2"/>
    <s v="Transport"/>
    <s v="Legal"/>
    <n v="1000"/>
    <n v="1.8401363172983856"/>
    <n v="543.43799999999999"/>
    <s v="Crépin"/>
    <s v="CR-O-D1"/>
    <s v="PALF"/>
    <x v="5"/>
    <s v="Congo"/>
    <m/>
    <m/>
    <m/>
  </r>
  <r>
    <x v="253"/>
    <s v="Taxi: Hôtel-Parquet"/>
    <s v="Transport"/>
    <s v="Legal"/>
    <n v="1000"/>
    <n v="1.8401363172983856"/>
    <n v="543.43799999999999"/>
    <s v="Crépin"/>
    <s v="CR-O-D1"/>
    <s v="PALF"/>
    <x v="5"/>
    <s v="Congo"/>
    <m/>
    <m/>
    <m/>
  </r>
  <r>
    <x v="253"/>
    <s v="Credit telephonique MTN PALF/du 13 au 19 octobre 2025/ crepin"/>
    <s v="Telephone"/>
    <s v="Legal"/>
    <n v="10000"/>
    <n v="18.401363172983856"/>
    <n v="543.43799999999999"/>
    <s v="Crépin"/>
    <s v="CR-O-R7"/>
    <s v="PALF"/>
    <x v="5"/>
    <s v="Congo"/>
    <m/>
    <m/>
    <m/>
  </r>
  <r>
    <x v="253"/>
    <s v="Taxi: Parquet-Hôtel"/>
    <s v="Transport"/>
    <s v="Legal"/>
    <n v="1000"/>
    <n v="1.8401363172983856"/>
    <n v="543.43799999999999"/>
    <s v="Crépin"/>
    <s v="CR-O-D1"/>
    <s v="PALF"/>
    <x v="5"/>
    <s v="Congo"/>
    <m/>
    <m/>
    <m/>
  </r>
  <r>
    <x v="253"/>
    <s v="Taxi:  Bureau-Banque BCI/ Retrait espece 2025"/>
    <s v="Transport"/>
    <s v="Office"/>
    <n v="1000"/>
    <n v="1.8401363172983856"/>
    <n v="543.43799999999999"/>
    <s v="Parfaite"/>
    <s v="P-O-D1"/>
    <s v="PALF"/>
    <x v="5"/>
    <s v="Congo"/>
    <m/>
    <m/>
    <m/>
  </r>
  <r>
    <x v="253"/>
    <s v="Taxi:  Banque BCI - Bureau"/>
    <s v="Transport"/>
    <s v="Office"/>
    <n v="1000"/>
    <n v="1.8401363172983856"/>
    <n v="543.43799999999999"/>
    <s v="Parfaite"/>
    <s v="P-O-D1"/>
    <s v="PALF"/>
    <x v="5"/>
    <s v="Congo"/>
    <m/>
    <m/>
    <m/>
  </r>
  <r>
    <x v="253"/>
    <s v="Taxi:Banque BCI - Direction MTN / Achat crédit bureau PALF"/>
    <s v="Transport"/>
    <s v="Office"/>
    <n v="1000"/>
    <n v="1.8401363172983856"/>
    <n v="543.43799999999999"/>
    <s v="Parfaite"/>
    <s v="P-O-D1"/>
    <s v="PALF"/>
    <x v="5"/>
    <s v="Congo"/>
    <m/>
    <m/>
    <m/>
  </r>
  <r>
    <x v="253"/>
    <s v="Taxi: Direction MTN-Bureau/"/>
    <s v="Transport"/>
    <s v="Office"/>
    <n v="1000"/>
    <n v="1.8401363172983856"/>
    <n v="543.43799999999999"/>
    <s v="Parfaite"/>
    <s v="P-O-D1"/>
    <s v="PALF"/>
    <x v="5"/>
    <s v="Congo"/>
    <m/>
    <m/>
    <m/>
  </r>
  <r>
    <x v="253"/>
    <s v="Credit teléphonique MTN PALF/ du 13 au 19 octobre 2025/ Parfaite"/>
    <s v="Telephone"/>
    <s v="Management"/>
    <n v="7500"/>
    <n v="13.801022379737891"/>
    <n v="543.43799999999999"/>
    <s v="Parfaite"/>
    <s v="P-O-R2"/>
    <s v="PALF"/>
    <x v="5"/>
    <s v="Congo"/>
    <m/>
    <m/>
    <m/>
  </r>
  <r>
    <x v="253"/>
    <s v="Taxi bureau-centre ville,prospection"/>
    <s v="Transport"/>
    <s v="Investigation"/>
    <n v="1000"/>
    <n v="1.8401363172983856"/>
    <n v="543.43799999999999"/>
    <s v="P29"/>
    <s v="P29-O-D1"/>
    <s v="PALF"/>
    <x v="5"/>
    <s v="Congo"/>
    <m/>
    <m/>
    <m/>
  </r>
  <r>
    <x v="253"/>
    <s v="Taxi centreville-bacongo,prospection"/>
    <s v="Transport"/>
    <s v="Investigation"/>
    <n v="1000"/>
    <n v="1.8401363172983856"/>
    <n v="543.43799999999999"/>
    <s v="P29"/>
    <s v="P29-O-D1"/>
    <s v="PALF"/>
    <x v="5"/>
    <s v="Congo"/>
    <m/>
    <m/>
    <m/>
  </r>
  <r>
    <x v="253"/>
    <s v="Taxi bacongo-poto poto,prospection"/>
    <s v="Transport"/>
    <s v="Investigation"/>
    <n v="1000"/>
    <n v="1.8401363172983856"/>
    <n v="543.43799999999999"/>
    <s v="P29"/>
    <s v="P29-O-D1"/>
    <s v="PALF"/>
    <x v="5"/>
    <s v="Congo"/>
    <m/>
    <m/>
    <m/>
  </r>
  <r>
    <x v="253"/>
    <s v="Taxi poto poto-domicile"/>
    <s v="Transport"/>
    <s v="Investigation"/>
    <n v="1500"/>
    <n v="2.7602044759475781"/>
    <n v="543.43799999999999"/>
    <s v="P29"/>
    <s v="P29-O-D1"/>
    <s v="PALF"/>
    <x v="5"/>
    <s v="Congo"/>
    <m/>
    <m/>
    <m/>
  </r>
  <r>
    <x v="253"/>
    <s v="Achat boisson"/>
    <s v="Trust building"/>
    <s v="Investigation"/>
    <n v="1000"/>
    <n v="1.8401363172983856"/>
    <n v="543.43799999999999"/>
    <s v="P29"/>
    <s v="P29-O-D3"/>
    <s v="PALF"/>
    <x v="5"/>
    <s v="Congo"/>
    <m/>
    <m/>
    <m/>
  </r>
  <r>
    <x v="253"/>
    <s v="Credit telephonique MTN PALF/ du 13 au 19 octobre 2025/ Investigation/P29"/>
    <s v="Telephone"/>
    <s v="Investigation"/>
    <n v="10000"/>
    <n v="18.401363172983856"/>
    <n v="543.43799999999999"/>
    <s v="P29"/>
    <s v="P29-O-R8"/>
    <s v="PALF"/>
    <x v="5"/>
    <s v="Congo"/>
    <m/>
    <m/>
    <m/>
  </r>
  <r>
    <x v="253"/>
    <s v="Credit telephonique MTN PALF/ du 13 au 19 octobre  2025/ Investigation/T73"/>
    <s v="Telephone"/>
    <s v="Investigation"/>
    <n v="10000"/>
    <n v="18.401363172983856"/>
    <n v="543.43799999999999"/>
    <s v="T73"/>
    <s v="T73-O-R5"/>
    <s v="PALF"/>
    <x v="5"/>
    <s v="Congo"/>
    <m/>
    <m/>
    <m/>
  </r>
  <r>
    <x v="253"/>
    <s v="Taxi : Bureau - Moukondo/ Prospecction"/>
    <s v="Transport"/>
    <s v="Investigation"/>
    <n v="1000"/>
    <n v="1.8401363172983856"/>
    <n v="543.43799999999999"/>
    <s v="IT87"/>
    <s v="IT87-O-D1"/>
    <s v="PALF"/>
    <x v="5"/>
    <s v="Congo"/>
    <m/>
    <m/>
    <m/>
  </r>
  <r>
    <x v="253"/>
    <s v="Taxi : Moukondo - Sukissa/ Prospection"/>
    <s v="Transport"/>
    <s v="Investigation"/>
    <n v="1500"/>
    <n v="2.7602044759475781"/>
    <n v="543.43799999999999"/>
    <s v="IT87"/>
    <s v="IT87-O-D1"/>
    <s v="PALF"/>
    <x v="5"/>
    <s v="Congo"/>
    <m/>
    <m/>
    <m/>
  </r>
  <r>
    <x v="253"/>
    <s v="Taxi : Sukissa - Domicile/ Retour de prospection"/>
    <s v="Transport"/>
    <s v="Investigation"/>
    <n v="2500"/>
    <n v="4.6003407932459641"/>
    <n v="543.43799999999999"/>
    <s v="IT87"/>
    <s v="IT87-O-D1"/>
    <s v="PALF"/>
    <x v="5"/>
    <s v="Congo"/>
    <m/>
    <m/>
    <m/>
  </r>
  <r>
    <x v="253"/>
    <s v="Credit telephonique MTN PALF/du 13 au 19 octobre 2025/IT87"/>
    <s v="Telephone"/>
    <s v="Investigation"/>
    <n v="10000"/>
    <n v="18.401363172983856"/>
    <n v="543.43799999999999"/>
    <s v="IT87"/>
    <s v="IT87-O-R2"/>
    <s v="PALF"/>
    <x v="5"/>
    <s v="Congo"/>
    <m/>
    <m/>
    <m/>
  </r>
  <r>
    <x v="253"/>
    <s v="Credit telephonique MTN PALF/du 13 au 19 octobre 2025/G12"/>
    <s v="Telephone"/>
    <s v="Investigation"/>
    <n v="10000"/>
    <n v="18.401363172983856"/>
    <n v="543.43799999999999"/>
    <s v="G12"/>
    <s v="G12-O-R2"/>
    <s v="PALF"/>
    <x v="5"/>
    <s v="Congo"/>
    <m/>
    <m/>
    <m/>
  </r>
  <r>
    <x v="253"/>
    <s v="Taxi : Bureau - marché mikalou , prospection"/>
    <s v="Transport"/>
    <s v="Investigation"/>
    <n v="1000"/>
    <n v="1.8401363172983856"/>
    <n v="543.43799999999999"/>
    <s v="G12"/>
    <s v="G12-O-D1"/>
    <s v="PALF"/>
    <x v="5"/>
    <s v="Congo"/>
    <m/>
    <m/>
    <m/>
  </r>
  <r>
    <x v="253"/>
    <s v="Taxi : Marché mikalou - lycée , prospection"/>
    <s v="Transport"/>
    <s v="Investigation"/>
    <n v="1000"/>
    <n v="1.8401363172983856"/>
    <n v="543.43799999999999"/>
    <s v="G12"/>
    <s v="G12-O-D1"/>
    <s v="PALF"/>
    <x v="5"/>
    <s v="Congo"/>
    <m/>
    <m/>
    <m/>
  </r>
  <r>
    <x v="253"/>
    <s v="Taxi : Lycée - domicile"/>
    <s v="Transport"/>
    <s v="Investigation"/>
    <n v="1500"/>
    <n v="2.7602044759475781"/>
    <n v="543.43799999999999"/>
    <s v="G12"/>
    <s v="G12-O-D1"/>
    <s v="PALF"/>
    <x v="5"/>
    <s v="Congo"/>
    <m/>
    <m/>
    <m/>
  </r>
  <r>
    <x v="253"/>
    <s v="Credit telephonique MTN PALF/ du 13 au 19 octobre 2025/Abraham"/>
    <s v="Telephone"/>
    <s v="Legal"/>
    <n v="7500"/>
    <n v="13.801022379737891"/>
    <n v="543.43799999999999"/>
    <s v="Abraham"/>
    <s v="AB-O-R2"/>
    <s v="PALF"/>
    <x v="5"/>
    <s v="Congo"/>
    <m/>
    <m/>
    <m/>
  </r>
  <r>
    <x v="246"/>
    <s v="Frais de transport mission Maitre Alain à dolisie du 07 au 13/10/2025"/>
    <s v="Transport"/>
    <s v="Legal"/>
    <n v="42000"/>
    <n v="77.285725326532187"/>
    <n v="543.43799999999999"/>
    <s v="Roderlin"/>
    <s v="CA-O-R11"/>
    <s v="PALF"/>
    <x v="5"/>
    <s v="Congo"/>
    <m/>
    <m/>
    <m/>
  </r>
  <r>
    <x v="246"/>
    <s v="Ration et frais d'hotel mission maitre Alain à dolisie du 07 au 13/10/2025"/>
    <s v="Travel Subsistence"/>
    <s v="Legal"/>
    <n v="275000"/>
    <n v="506.037487257056"/>
    <n v="543.43799999999999"/>
    <s v="Roderlin"/>
    <s v="CA-O-R12"/>
    <s v="PALF"/>
    <x v="5"/>
    <s v="Congo"/>
    <m/>
    <m/>
    <m/>
  </r>
  <r>
    <x v="253"/>
    <s v="Taxi:Bureau-Charden Farrel pour un transfert de fonds "/>
    <s v="Transport"/>
    <s v="Legal"/>
    <n v="500"/>
    <n v="0.92006815864919278"/>
    <n v="543.43799999999999"/>
    <s v="Roderlin"/>
    <s v="RO-O-D1"/>
    <s v="PALF"/>
    <x v="5"/>
    <s v="Congo"/>
    <m/>
    <m/>
    <m/>
  </r>
  <r>
    <x v="253"/>
    <s v="Taxi:Charden Farrel-Bureau"/>
    <s v="Transport"/>
    <s v="Legal"/>
    <n v="500"/>
    <n v="0.92006815864919278"/>
    <n v="543.43799999999999"/>
    <s v="Roderlin"/>
    <s v="RO-O-D1"/>
    <s v="PALF"/>
    <x v="5"/>
    <s v="Congo"/>
    <m/>
    <m/>
    <m/>
  </r>
  <r>
    <x v="253"/>
    <s v="Credit telephonique MTN PALF/du 13 au 19 octobre 2025/Roderlin"/>
    <s v="Telephone"/>
    <s v="Legal"/>
    <n v="7500"/>
    <n v="13.801022379737891"/>
    <n v="543.43799999999999"/>
    <s v="Roderlin"/>
    <s v="RO-O-R2"/>
    <s v="PALF"/>
    <x v="5"/>
    <s v="Congo"/>
    <m/>
    <m/>
    <m/>
  </r>
  <r>
    <x v="253"/>
    <s v="Frais de tansfert d'argent  a Crepin et  Donald-Roméo"/>
    <s v="Transfert fees"/>
    <s v="Office"/>
    <n v="12150"/>
    <n v="22.357656255175385"/>
    <n v="543.43799999999999"/>
    <s v="Roderlin"/>
    <s v="CA-O-R15"/>
    <s v="PALF"/>
    <x v="5"/>
    <s v="Congo"/>
    <m/>
    <m/>
    <m/>
  </r>
  <r>
    <x v="253"/>
    <s v="Taxi  Hôtel Yasmine-Region de gendarmerie"/>
    <s v="Transport "/>
    <s v="Legal"/>
    <n v="1000"/>
    <n v="1.8401363172983856"/>
    <n v="543.43799999999999"/>
    <s v="Donald-Roméo"/>
    <s v="DR-O-D1"/>
    <s v="PALF"/>
    <x v="5"/>
    <s v="Congo"/>
    <m/>
    <m/>
    <m/>
  </r>
  <r>
    <x v="253"/>
    <s v="Taxi Region de gendarmerie-TGI/ Deferement/ 03 gendarmes et 02 prévenus"/>
    <s v="Transport "/>
    <s v="Legal"/>
    <n v="1000"/>
    <n v="1.8401363172983856"/>
    <n v="543.43799999999999"/>
    <s v="Donald-Roméo"/>
    <s v="DR-O-D1"/>
    <s v="PALF"/>
    <x v="5"/>
    <s v="Congo"/>
    <m/>
    <m/>
    <m/>
  </r>
  <r>
    <x v="253"/>
    <s v="Taxi Region de gendarmerie-TGI/ Assister au deferement"/>
    <s v="Transport "/>
    <s v="Legal"/>
    <n v="1000"/>
    <n v="1.8401363172983856"/>
    <n v="543.43799999999999"/>
    <s v="Donald-Roméo"/>
    <s v="DR-O-D1"/>
    <s v="PALF"/>
    <x v="5"/>
    <s v="Congo"/>
    <m/>
    <m/>
    <m/>
  </r>
  <r>
    <x v="253"/>
    <s v="Taxi TGI-Region de gendarmerie / Retour de 03 gendarmes "/>
    <s v="Transport "/>
    <s v="Legal"/>
    <n v="1000"/>
    <n v="1.8401363172983856"/>
    <n v="543.43799999999999"/>
    <s v="Donald-Roméo"/>
    <s v="DR-O-D1"/>
    <s v="PALF"/>
    <x v="5"/>
    <s v="Congo"/>
    <m/>
    <m/>
    <m/>
  </r>
  <r>
    <x v="253"/>
    <s v="Taxi TGI-Maison d'arrêt/ pour assister au placement des prevenus"/>
    <s v="Transport "/>
    <s v="Legal"/>
    <n v="1000"/>
    <n v="1.8401363172983856"/>
    <n v="543.43799999999999"/>
    <s v="Donald-Roméo"/>
    <s v="DR-O-D1"/>
    <s v="PALF"/>
    <x v="5"/>
    <s v="Congo"/>
    <m/>
    <m/>
    <m/>
  </r>
  <r>
    <x v="253"/>
    <s v="Taxi Maison d'arrêt-Charden farell/ Retirer les fonds"/>
    <s v="Transport "/>
    <s v="Legal"/>
    <n v="1000"/>
    <n v="1.8401363172983856"/>
    <n v="543.43799999999999"/>
    <s v="Donald-Roméo"/>
    <s v="DR-O-D1"/>
    <s v="PALF"/>
    <x v="5"/>
    <s v="Congo"/>
    <m/>
    <m/>
    <m/>
  </r>
  <r>
    <x v="253"/>
    <s v="Taxi Charden farell-Hôtel le Pharaon/ Remettre les budget de Crépin et Me Alain"/>
    <s v="Transport "/>
    <s v="Legal"/>
    <n v="1000"/>
    <n v="1.8401363172983856"/>
    <n v="543.43799999999999"/>
    <s v="Donald-Roméo"/>
    <s v="DR-O-D1"/>
    <s v="PALF"/>
    <x v="5"/>
    <s v="Congo"/>
    <m/>
    <m/>
    <m/>
  </r>
  <r>
    <x v="253"/>
    <s v="Credit telephonique MTN PALF/ du 13 au 19 octobre 2025"/>
    <s v="Telephone"/>
    <s v="Legal"/>
    <n v="10000"/>
    <n v="18.401363172983856"/>
    <n v="543.43799999999999"/>
    <s v="Donald-Roméo"/>
    <s v="DR-O-R5"/>
    <s v="PALF"/>
    <x v="5"/>
    <s v="Congo"/>
    <m/>
    <m/>
    <m/>
  </r>
  <r>
    <x v="253"/>
    <s v="Taxi Hôtel le Pharaon-Hôtel Yasmine"/>
    <s v="Transport "/>
    <s v="Legal"/>
    <n v="1000"/>
    <n v="1.8401363172983856"/>
    <n v="543.43799999999999"/>
    <s v="Donald-Roméo"/>
    <s v="DR-O-D1"/>
    <s v="PALF"/>
    <x v="5"/>
    <s v="Congo"/>
    <m/>
    <m/>
    <m/>
  </r>
  <r>
    <x v="253"/>
    <s v="Taxi, Bureau PALF-Les Echos de Brazza"/>
    <s v="Transport"/>
    <s v="Media"/>
    <n v="1000"/>
    <n v="1.8401363172983856"/>
    <n v="543.43799999999999"/>
    <s v="Evariste"/>
    <s v="EV-O-D1"/>
    <s v="PALF"/>
    <x v="5"/>
    <s v="Congo"/>
    <m/>
    <m/>
    <m/>
  </r>
  <r>
    <x v="253"/>
    <s v="Taxi, Les Echos de Brazza-tribune-eco.com"/>
    <s v="Transport"/>
    <s v="Media"/>
    <n v="1000"/>
    <n v="1.8401363172983856"/>
    <n v="543.43799999999999"/>
    <s v="Evariste"/>
    <s v="EV-O-D1"/>
    <s v="PALF"/>
    <x v="5"/>
    <s v="Congo"/>
    <m/>
    <m/>
    <m/>
  </r>
  <r>
    <x v="253"/>
    <s v="Taxi, tribune-eco.com-Moukondo"/>
    <s v="Transport"/>
    <s v="Media"/>
    <n v="1000"/>
    <n v="1.8401363172983856"/>
    <n v="543.43799999999999"/>
    <s v="Evariste"/>
    <s v="EV-O-D1"/>
    <s v="PALF"/>
    <x v="5"/>
    <s v="Congo"/>
    <m/>
    <m/>
    <m/>
  </r>
  <r>
    <x v="253"/>
    <s v="Taxi, Moukondo-Télé Congo"/>
    <s v="Transport"/>
    <s v="Media"/>
    <n v="1000"/>
    <n v="1.8401363172983856"/>
    <n v="543.43799999999999"/>
    <s v="Evariste"/>
    <s v="EV-O-D1"/>
    <s v="PALF"/>
    <x v="5"/>
    <s v="Congo"/>
    <m/>
    <m/>
    <m/>
  </r>
  <r>
    <x v="253"/>
    <s v="Taxi, Télé Congo-Moukondo"/>
    <s v="Transport"/>
    <s v="Media"/>
    <n v="1000"/>
    <n v="1.8401363172983856"/>
    <n v="543.43799999999999"/>
    <s v="Evariste"/>
    <s v="EV-O-D1"/>
    <s v="PALF"/>
    <x v="5"/>
    <s v="Congo"/>
    <m/>
    <m/>
    <m/>
  </r>
  <r>
    <x v="253"/>
    <s v="Taxi, Moukondo-Domicile"/>
    <s v="Transport"/>
    <s v="Media"/>
    <n v="1000"/>
    <n v="1.8401363172983856"/>
    <n v="543.43799999999999"/>
    <s v="Evariste"/>
    <s v="EV-O-D1"/>
    <s v="PALF"/>
    <x v="5"/>
    <s v="Congo"/>
    <m/>
    <m/>
    <m/>
  </r>
  <r>
    <x v="253"/>
    <s v="Credit telephonique MTN PALF/du 13  au 19 octobre 2025/ Evariste"/>
    <s v="Telephone"/>
    <s v="Media"/>
    <n v="10000"/>
    <n v="18.401363172983856"/>
    <n v="543.43799999999999"/>
    <s v="Evariste"/>
    <s v="EV-O-R5"/>
    <s v="PALF"/>
    <x v="5"/>
    <s v="Congo"/>
    <m/>
    <m/>
    <m/>
  </r>
  <r>
    <x v="253"/>
    <s v="Bonus medias(TV Congo) portant sur l'interpetation de 02 trafiquants des pointes d'ivoire le 04 octobre 2025 à Dolisie pieces télé Congo français,"/>
    <s v="Bonus to media officer"/>
    <s v="Media"/>
    <n v="50000"/>
    <n v="92.006815864919275"/>
    <n v="543.43799999999999"/>
    <s v="Evariste"/>
    <s v="CA-O-D4"/>
    <s v="PALF"/>
    <x v="5"/>
    <s v="Congo"/>
    <m/>
    <m/>
    <m/>
  </r>
  <r>
    <x v="253"/>
    <s v="Bonus medias(TV Congo) portant sur l'interpetation de 02 trafiquants des pointes d'ivoire le 04 octobre 2025 à Dolisie pieces télé Congo kituba"/>
    <s v="Bonus to media officer"/>
    <s v="Media"/>
    <n v="50000"/>
    <n v="92.006815864919275"/>
    <n v="543.43799999999999"/>
    <s v="Evariste"/>
    <s v="CA-O-D4"/>
    <s v="PALF"/>
    <x v="5"/>
    <s v="Congo"/>
    <m/>
    <m/>
    <m/>
  </r>
  <r>
    <x v="253"/>
    <s v="Bonus medias(TV Congo) portant sur l'interpetation de 02 trafiquants des pointes d'ivoire le 04 octobre 2025 à Dolisie pieces télé Congo  lingala "/>
    <s v="Bonus to media officer"/>
    <s v="Media"/>
    <n v="50000"/>
    <n v="92.006815864919275"/>
    <n v="543.43799999999999"/>
    <s v="Evariste"/>
    <s v="CA-O-D4"/>
    <s v="PALF"/>
    <x v="5"/>
    <s v="Congo"/>
    <m/>
    <m/>
    <m/>
  </r>
  <r>
    <x v="253"/>
    <s v="Bonus medias(TV Congo) portant sur l'interpetation de 02 trafiquants des pointes d'ivoire le 04 octobre 2025 à Dolisie pieces télé Congo montages"/>
    <s v="Bonus to media officer"/>
    <s v="Media"/>
    <n v="50000"/>
    <n v="92.006815864919275"/>
    <n v="543.43799999999999"/>
    <s v="Evariste"/>
    <s v="CA-O-D4"/>
    <s v="PALF"/>
    <x v="5"/>
    <s v="Congo"/>
    <m/>
    <m/>
    <m/>
  </r>
  <r>
    <x v="253"/>
    <s v="Credit telephonique MTN PALF/du 13 au 19 octobre 2025/Romain"/>
    <s v="Telephone"/>
    <s v="Legal"/>
    <n v="7500"/>
    <n v="13.801022379737891"/>
    <n v="543.43799999999999"/>
    <s v="Romain"/>
    <s v="RM-O-R2"/>
    <s v="PALF"/>
    <x v="5"/>
    <s v="Congo"/>
    <m/>
    <m/>
    <m/>
  </r>
  <r>
    <x v="253"/>
    <s v="Taxi: Bureau-Agence Trans Bony de la Frontière"/>
    <s v="Transport"/>
    <s v="Legal"/>
    <n v="1000"/>
    <n v="1.8401363172983856"/>
    <n v="543.43799999999999"/>
    <s v="Romain"/>
    <s v="RM-O-D1"/>
    <s v="PALF"/>
    <x v="5"/>
    <s v="Congo"/>
    <m/>
    <m/>
    <m/>
  </r>
  <r>
    <x v="253"/>
    <s v="Taxi: Agence Trans Bony de la Frontière -Agence Trans Bony de Diata"/>
    <s v="Transport"/>
    <s v="Legal"/>
    <n v="1000"/>
    <n v="1.8401363172983856"/>
    <n v="543.43799999999999"/>
    <s v="Romain"/>
    <s v="RM-O-D1"/>
    <s v="PALF"/>
    <x v="5"/>
    <s v="Congo"/>
    <m/>
    <m/>
    <m/>
  </r>
  <r>
    <x v="253"/>
    <s v="Achat Billet Brazzaville-Owando/ Romain"/>
    <s v="Transport"/>
    <s v="Legal"/>
    <n v="7000"/>
    <n v="12.880954221088698"/>
    <n v="543.43799999999999"/>
    <s v="Romain"/>
    <s v="RM-O-R3"/>
    <s v="PALF"/>
    <x v="5"/>
    <s v="Congo"/>
    <m/>
    <m/>
    <m/>
  </r>
  <r>
    <x v="253"/>
    <s v="Taxi: Agence Trans bony de Diata-Total(pour remise du budget à Me, Hélène)"/>
    <s v="Transport"/>
    <s v="Legal"/>
    <n v="1000"/>
    <n v="1.8401363172983856"/>
    <n v="543.43799999999999"/>
    <s v="Romain"/>
    <s v="RM-O-D1"/>
    <s v="PALF"/>
    <x v="5"/>
    <s v="Congo"/>
    <m/>
    <m/>
    <m/>
  </r>
  <r>
    <x v="253"/>
    <s v="Taxi: Total-Bureau"/>
    <s v="Transport"/>
    <s v="Legal"/>
    <n v="1000"/>
    <n v="1.8401363172983856"/>
    <n v="543.43799999999999"/>
    <s v="Romain"/>
    <s v="RM-O-D1"/>
    <s v="PALF"/>
    <x v="5"/>
    <s v="Congo"/>
    <m/>
    <m/>
    <m/>
  </r>
  <r>
    <x v="253"/>
    <s v="Frais de transport mission Maitre Helene à Owando du 14 au 16/10/2025"/>
    <s v="Transport"/>
    <s v="Legal"/>
    <n v="22000"/>
    <n v="40.482998980564481"/>
    <n v="543.43799999999999"/>
    <s v="Romain"/>
    <s v="CA-O-R13"/>
    <s v="PALF"/>
    <x v="5"/>
    <s v="Congo"/>
    <m/>
    <m/>
    <m/>
  </r>
  <r>
    <x v="253"/>
    <s v="Ration et frais d'hotel mission maitre Helène à Owando du 14 au 16/10/2025"/>
    <s v="Travel Subsistence"/>
    <s v="Legal"/>
    <n v="50000"/>
    <n v="92.006815864919275"/>
    <n v="543.43799999999999"/>
    <s v="Romain"/>
    <s v="CA-O-R14"/>
    <s v="PALF"/>
    <x v="5"/>
    <s v="Congo"/>
    <m/>
    <m/>
    <m/>
  </r>
  <r>
    <x v="253"/>
    <s v="RAPATRIEME01100 RAO00010920/Fondation Wildcat"/>
    <s v="Grant"/>
    <m/>
    <m/>
    <m/>
    <n v="543.43834883720933"/>
    <s v="BCI"/>
    <s v="BQ-O-G1"/>
    <s v="PALF"/>
    <x v="5"/>
    <s v="Congo"/>
    <n v="23367849"/>
    <n v="43000"/>
    <m/>
  </r>
  <r>
    <x v="253"/>
    <s v="RAPATRIEME01100 RAO00010920/Marchig Trust"/>
    <s v="Grant"/>
    <m/>
    <m/>
    <m/>
    <n v="543.4384"/>
    <s v="BCI"/>
    <s v="BQ-O-G2"/>
    <s v="PALF"/>
    <x v="8"/>
    <s v="Congo"/>
    <n v="2717192"/>
    <n v="5000"/>
    <m/>
  </r>
  <r>
    <x v="253"/>
    <s v="Reglement honoraire du mois de de de septembre 2025/P29/3654449"/>
    <s v="Personnel"/>
    <s v="Investigation"/>
    <n v="400000"/>
    <n v="736.0545269193542"/>
    <n v="543.43799999999999"/>
    <s v="BCI"/>
    <s v="BQ-O-R9"/>
    <s v="PALF"/>
    <x v="5"/>
    <s v="Congo"/>
    <m/>
    <m/>
    <m/>
  </r>
  <r>
    <x v="253"/>
    <s v="Paiement salaire du mois de septembre 2025/Crepin IBOUILI-IBOUILI"/>
    <s v="Personnel"/>
    <s v="Legal"/>
    <n v="580282"/>
    <n v="1067.7979824745416"/>
    <n v="543.43799999999999"/>
    <s v="BCI"/>
    <s v="BQ-O-R10"/>
    <s v="PALF"/>
    <x v="5"/>
    <s v="Congo"/>
    <m/>
    <m/>
    <m/>
  </r>
  <r>
    <x v="253"/>
    <s v="Paiement salaire du mois de septembre 2025/PINDI BINGA Donald- Roméo"/>
    <s v="Personnel"/>
    <s v="Legal"/>
    <n v="328800"/>
    <n v="605.03682112770912"/>
    <n v="543.43799999999999"/>
    <s v="BCI"/>
    <s v="BQ-O-R11"/>
    <s v="PALF"/>
    <x v="5"/>
    <s v="Congo"/>
    <m/>
    <m/>
    <m/>
  </r>
  <r>
    <x v="253"/>
    <s v="Paiement salaire du mois de septembre 2025/Evariste LELOUSSI"/>
    <s v="Personnel"/>
    <s v="Media"/>
    <n v="266940"/>
    <n v="491.20598853963105"/>
    <n v="543.43799999999999"/>
    <s v="BCI"/>
    <s v="BQ-O-R12"/>
    <s v="PALF"/>
    <x v="5"/>
    <s v="Congo"/>
    <m/>
    <m/>
    <m/>
  </r>
  <r>
    <x v="253"/>
    <s v="Frais de virement salaire du mois de septembre 2025"/>
    <s v="Bank fees"/>
    <s v="Office"/>
    <n v="10665"/>
    <n v="19.625053823987283"/>
    <n v="543.43799999999999"/>
    <s v="BCI"/>
    <s v="BQ-O-R13"/>
    <s v="PALF"/>
    <x v="5"/>
    <s v="Congo"/>
    <m/>
    <m/>
    <m/>
  </r>
  <r>
    <x v="254"/>
    <s v="Maison-Bureau"/>
    <s v="Transport"/>
    <s v="Management"/>
    <n v="1000"/>
    <n v="1.8401363172983856"/>
    <n v="543.43799999999999"/>
    <s v="DOVI"/>
    <s v="DH-O-D1"/>
    <s v="PALF"/>
    <x v="5"/>
    <s v="Congo"/>
    <m/>
    <m/>
    <m/>
  </r>
  <r>
    <x v="254"/>
    <s v="Bureau-Maison"/>
    <s v="Transport"/>
    <s v="Management"/>
    <n v="1000"/>
    <n v="1.8401363172983856"/>
    <n v="543.43799999999999"/>
    <s v="DOVI"/>
    <s v="DH-O-D1"/>
    <s v="PALF"/>
    <x v="5"/>
    <s v="Congo"/>
    <m/>
    <m/>
    <m/>
  </r>
  <r>
    <x v="254"/>
    <s v="Taxi:  Domicile -Banque BCI/ Retrait espèces pour le Paiement CNSS"/>
    <s v="Transport"/>
    <s v="Office"/>
    <n v="1000"/>
    <n v="1.8401363172983856"/>
    <n v="543.43799999999999"/>
    <s v="Parfaite"/>
    <s v="P-O-D1"/>
    <s v="PALF"/>
    <x v="5"/>
    <s v="Congo"/>
    <m/>
    <m/>
    <m/>
  </r>
  <r>
    <x v="254"/>
    <s v="Taxi:  Banque BCI - CNSS/Paiement CNSS troixième  trimestre de l'année 2025"/>
    <s v="Transport"/>
    <s v="Office"/>
    <n v="1000"/>
    <n v="1.8401363172983856"/>
    <n v="543.43799999999999"/>
    <s v="Parfaite"/>
    <s v="P-O-D1"/>
    <s v="PALF"/>
    <x v="5"/>
    <s v="Congo"/>
    <m/>
    <m/>
    <m/>
  </r>
  <r>
    <x v="254"/>
    <s v="Taxi: CNSS-Bureau"/>
    <s v="Transport"/>
    <s v="Office"/>
    <n v="1000"/>
    <n v="1.8401363172983856"/>
    <n v="543.43799999999999"/>
    <s v="Parfaite"/>
    <s v="P-O-D1"/>
    <s v="PALF"/>
    <x v="5"/>
    <s v="Congo"/>
    <m/>
    <m/>
    <m/>
  </r>
  <r>
    <x v="254"/>
    <s v="Taxi domicile-mapassi"/>
    <s v="Transport"/>
    <s v="Investigation"/>
    <n v="1500"/>
    <n v="2.7602044759475781"/>
    <n v="543.43799999999999"/>
    <s v="P29"/>
    <s v="P29-O-D1"/>
    <s v="PALF"/>
    <x v="5"/>
    <s v="Congo"/>
    <m/>
    <m/>
    <m/>
  </r>
  <r>
    <x v="254"/>
    <s v="Taxi mapassi-kintele,prospection"/>
    <s v="Transport"/>
    <s v="Investigation"/>
    <n v="3000"/>
    <n v="5.5204089518951562"/>
    <n v="543.43799999999999"/>
    <s v="P29"/>
    <s v="P29-O-D1"/>
    <s v="PALF"/>
    <x v="5"/>
    <s v="Congo"/>
    <m/>
    <m/>
    <m/>
  </r>
  <r>
    <x v="254"/>
    <s v="Taxi kintele-dragage,prospection"/>
    <s v="Transport"/>
    <s v="Investigation"/>
    <n v="3000"/>
    <n v="5.5204089518951562"/>
    <n v="543.43799999999999"/>
    <s v="P29"/>
    <s v="P29-O-D1"/>
    <s v="PALF"/>
    <x v="5"/>
    <s v="Congo"/>
    <m/>
    <m/>
    <m/>
  </r>
  <r>
    <x v="254"/>
    <s v="Taxi dragage-domicile"/>
    <s v="Transport"/>
    <s v="Investigation"/>
    <n v="1500"/>
    <n v="2.7602044759475781"/>
    <n v="543.43799999999999"/>
    <s v="P29"/>
    <s v="P29-O-D1"/>
    <s v="PALF"/>
    <x v="5"/>
    <s v="Congo"/>
    <m/>
    <m/>
    <m/>
  </r>
  <r>
    <x v="254"/>
    <s v="Achat boisson"/>
    <s v="Trust building"/>
    <s v="Investigation"/>
    <n v="1000"/>
    <n v="1.8401363172983856"/>
    <n v="543.43799999999999"/>
    <s v="P29"/>
    <s v="P29-O-D3"/>
    <s v="PALF"/>
    <x v="5"/>
    <s v="Congo"/>
    <m/>
    <m/>
    <m/>
  </r>
  <r>
    <x v="254"/>
    <s v="Taxi : Domicile - Port ATC de Brzazzaville/ Prospection"/>
    <s v="Transport"/>
    <s v="Investigation"/>
    <n v="3000"/>
    <n v="5.5204089518951562"/>
    <n v="543.43799999999999"/>
    <s v="IT87"/>
    <s v="IT87-O-D1"/>
    <s v="PALF"/>
    <x v="5"/>
    <s v="Congo"/>
    <m/>
    <m/>
    <m/>
  </r>
  <r>
    <x v="254"/>
    <s v="Taxi : Port ATC de Brazzaville - Aeroport Maya Maya/ Prospection"/>
    <s v="Transport"/>
    <s v="Investigation"/>
    <n v="2000"/>
    <n v="3.6802726345967711"/>
    <n v="543.43799999999999"/>
    <s v="IT87"/>
    <s v="IT87-O-D1"/>
    <s v="PALF"/>
    <x v="5"/>
    <s v="Congo"/>
    <m/>
    <m/>
    <m/>
  </r>
  <r>
    <x v="254"/>
    <s v="Taxi : Aeroport Maya Maya - Domicile/ Retour de prospection"/>
    <s v="Transport"/>
    <s v="Investigation"/>
    <n v="2000"/>
    <n v="3.6802726345967711"/>
    <n v="543.43799999999999"/>
    <s v="IT87"/>
    <s v="IT87-O-D1"/>
    <s v="PALF"/>
    <x v="5"/>
    <s v="Congo"/>
    <m/>
    <m/>
    <m/>
  </r>
  <r>
    <x v="254"/>
    <s v="Taxi : Domicile - nganga lingolo, prospection "/>
    <s v="Transport"/>
    <s v="Investigation"/>
    <n v="1500"/>
    <n v="2.7602044759475781"/>
    <n v="543.43799999999999"/>
    <s v="G12"/>
    <s v="G12-O-D1"/>
    <s v="PALF"/>
    <x v="5"/>
    <s v="Congo"/>
    <m/>
    <m/>
    <m/>
  </r>
  <r>
    <x v="254"/>
    <s v="Taxi : Nganga lingolo - madibou , prospection"/>
    <s v="Transport"/>
    <s v="Investigation"/>
    <n v="1000"/>
    <n v="1.8401363172983856"/>
    <n v="543.43799999999999"/>
    <s v="G12"/>
    <s v="G12-O-D1"/>
    <s v="PALF"/>
    <x v="5"/>
    <s v="Congo"/>
    <m/>
    <m/>
    <m/>
  </r>
  <r>
    <x v="254"/>
    <s v="Taxi : Madibou - domicile"/>
    <s v="Transport"/>
    <s v="Investigation"/>
    <n v="1000"/>
    <n v="1.8401363172983856"/>
    <n v="543.43799999999999"/>
    <s v="G12"/>
    <s v="G12-O-D1"/>
    <s v="PALF"/>
    <x v="5"/>
    <s v="Congo"/>
    <m/>
    <m/>
    <m/>
  </r>
  <r>
    <x v="254"/>
    <s v="Donald-Roméo  CONGO Frais d'hôtel du 29/09 au 14/10/2025 à Dolisie (15 Nuitées)"/>
    <s v="Travel Subsistence"/>
    <s v="Legal"/>
    <n v="225000"/>
    <n v="414.03067139213675"/>
    <n v="543.43799999999999"/>
    <s v="Donald-Roméo"/>
    <s v="DR-O-R6"/>
    <s v="PALF"/>
    <x v="5"/>
    <s v="Congo"/>
    <m/>
    <m/>
    <m/>
  </r>
  <r>
    <x v="254"/>
    <s v="Taxi Hôtel Yasmine-Hôtel le Pharaon"/>
    <s v="Transport "/>
    <s v="Legal"/>
    <n v="1000"/>
    <n v="1.8401363172983856"/>
    <n v="543.43799999999999"/>
    <s v="Donald-Roméo"/>
    <s v="DR-O-D1"/>
    <s v="PALF"/>
    <x v="5"/>
    <s v="Congo"/>
    <m/>
    <m/>
    <m/>
  </r>
  <r>
    <x v="254"/>
    <s v="Taxi, Domicile-Moukondo"/>
    <s v="Transport"/>
    <s v="Media"/>
    <n v="1000"/>
    <n v="1.8401363172983856"/>
    <n v="543.43799999999999"/>
    <s v="Evariste"/>
    <s v="EV-O-D1"/>
    <s v="PALF"/>
    <x v="5"/>
    <s v="Congo"/>
    <m/>
    <m/>
    <m/>
  </r>
  <r>
    <x v="254"/>
    <s v="Taxi, Moukondo-Télé Congo"/>
    <s v="Transport"/>
    <s v="Media"/>
    <n v="1000"/>
    <n v="1.8401363172983856"/>
    <n v="543.43799999999999"/>
    <s v="Evariste"/>
    <s v="EV-O-D1"/>
    <s v="PALF"/>
    <x v="5"/>
    <s v="Congo"/>
    <m/>
    <m/>
    <m/>
  </r>
  <r>
    <x v="254"/>
    <s v="Taxi, Télé Congo-Moukondo"/>
    <s v="Transport"/>
    <s v="Media"/>
    <n v="1000"/>
    <n v="1.8401363172983856"/>
    <n v="543.43799999999999"/>
    <s v="Evariste"/>
    <s v="EV-O-D1"/>
    <s v="PALF"/>
    <x v="5"/>
    <s v="Congo"/>
    <m/>
    <m/>
    <m/>
  </r>
  <r>
    <x v="254"/>
    <s v="Taxi, Moukondo-Domicile"/>
    <s v="Transport"/>
    <s v="Media"/>
    <n v="1000"/>
    <n v="1.8401363172983856"/>
    <n v="543.43799999999999"/>
    <s v="Evariste"/>
    <s v="EV-O-D1"/>
    <s v="PALF"/>
    <x v="5"/>
    <s v="Congo"/>
    <m/>
    <m/>
    <m/>
  </r>
  <r>
    <x v="254"/>
    <s v="Taxi: Domicile-Agence Trans Bony de la Frontière"/>
    <s v="Transport"/>
    <s v="Legal"/>
    <n v="3500"/>
    <n v="6.4404771105443492"/>
    <n v="543.43799999999999"/>
    <s v="Romain"/>
    <s v="RM-O-D1"/>
    <s v="PALF"/>
    <x v="5"/>
    <s v="Congo"/>
    <m/>
    <m/>
    <m/>
  </r>
  <r>
    <x v="254"/>
    <s v="Taxi-moto: Agence Trans Bony d'Owando- hôtel case Mbali"/>
    <s v="Transport"/>
    <s v="Legal"/>
    <n v="300"/>
    <n v="0.5520408951895156"/>
    <n v="543.43799999999999"/>
    <s v="Romain"/>
    <s v="RM-O-D1"/>
    <s v="PALF"/>
    <x v="5"/>
    <s v="Congo"/>
    <m/>
    <m/>
    <m/>
  </r>
  <r>
    <x v="254"/>
    <s v="Taxi moto: Hotel Case Mbali -Maison d'arret d'Owando"/>
    <s v="Transport"/>
    <s v="Legal"/>
    <n v="300"/>
    <n v="0.5520408951895156"/>
    <n v="543.43799999999999"/>
    <s v="Romain"/>
    <s v="RM-O-D1"/>
    <s v="PALF"/>
    <x v="5"/>
    <s v="Congo"/>
    <m/>
    <m/>
    <m/>
  </r>
  <r>
    <x v="254"/>
    <s v="Achat ration des détenus(NGASSAKI Dany et ELOMBO Lévy), maison d'arret d'Owando"/>
    <s v="Jail visit"/>
    <s v="Legal"/>
    <n v="3000"/>
    <n v="5.5204089518951562"/>
    <n v="543.43799999999999"/>
    <s v="Romain"/>
    <s v="RM-O-D3"/>
    <s v="PALF"/>
    <x v="5"/>
    <s v="Congo"/>
    <m/>
    <m/>
    <m/>
  </r>
  <r>
    <x v="254"/>
    <s v="Taxi: Maison d'arret d'Owando-Hotel Case Mbali"/>
    <s v="Transport"/>
    <s v="Legal"/>
    <n v="300"/>
    <n v="0.5520408951895156"/>
    <n v="543.43799999999999"/>
    <s v="Romain"/>
    <s v="RM-O-D1"/>
    <s v="PALF"/>
    <x v="5"/>
    <s v="Congo"/>
    <m/>
    <m/>
    <m/>
  </r>
  <r>
    <x v="254"/>
    <s v="ROMAIN-CONGO: Ration du 14 au 16/10/2025 à Owando"/>
    <s v="Travel Subsistence"/>
    <s v="Legal"/>
    <n v="20000"/>
    <n v="36.802726345967713"/>
    <n v="543.43799999999999"/>
    <s v="Romain"/>
    <s v="RM-O-D2"/>
    <s v="PALF"/>
    <x v="5"/>
    <s v="Congo"/>
    <m/>
    <m/>
    <m/>
  </r>
  <r>
    <x v="254"/>
    <s v="Paiement CNSS troixième trimestre/Juillet, Août et Septembre 2025/Crepin /3654448"/>
    <s v="Personnel"/>
    <s v="Legal"/>
    <n v="412967"/>
    <n v="759.91557454576241"/>
    <n v="543.43799999999999"/>
    <s v="BCI"/>
    <s v="BQ-O-R14"/>
    <s v="PALF"/>
    <x v="5"/>
    <s v="Congo"/>
    <m/>
    <m/>
    <m/>
  </r>
  <r>
    <x v="254"/>
    <s v="Paiement CNSS troixième trimestre/Juillet, Août et Septembre 2025/Donald-Roméo/3654448"/>
    <s v="Personnel"/>
    <s v="Legal"/>
    <n v="192357"/>
    <n v="353.96310158656553"/>
    <n v="543.43799999999999"/>
    <s v="BCI"/>
    <s v="BQ-O-R15"/>
    <s v="PALF"/>
    <x v="5"/>
    <s v="Congo"/>
    <m/>
    <m/>
    <m/>
  </r>
  <r>
    <x v="254"/>
    <s v="Paiement CNSS troixième trimestre/Juillet, Août et Septembre 2025/Romain/3654448"/>
    <s v="Personnel"/>
    <s v="Legal"/>
    <n v="95805"/>
    <n v="176.29425987877181"/>
    <n v="543.43799999999999"/>
    <s v="BCI"/>
    <s v="BQ-O-R16"/>
    <s v="PALF"/>
    <x v="5"/>
    <s v="Congo"/>
    <m/>
    <m/>
    <m/>
  </r>
  <r>
    <x v="254"/>
    <s v="Paiement CNSS troixième trimestre/Juillet, Août et Septembre 2025/Roderlin/3654448"/>
    <s v="Personnel"/>
    <s v="Legal"/>
    <n v="118062"/>
    <n v="217.250173892882"/>
    <n v="543.43799999999999"/>
    <s v="BCI"/>
    <s v="BQ-O-R17"/>
    <s v="PALF"/>
    <x v="5"/>
    <s v="Congo"/>
    <m/>
    <m/>
    <m/>
  </r>
  <r>
    <x v="254"/>
    <s v="Paiement CNSS troixième trimestre/Juillet, Août et Septembre 2025/Abraham/3654448"/>
    <s v="Personnel"/>
    <s v="Legal"/>
    <n v="118062"/>
    <n v="217.250173892882"/>
    <n v="543.43799999999999"/>
    <s v="BCI"/>
    <s v="BQ-O-R18"/>
    <s v="PALF"/>
    <x v="5"/>
    <s v="Congo"/>
    <m/>
    <m/>
    <m/>
  </r>
  <r>
    <x v="254"/>
    <s v="Paiement CNSS troixième trimestre/Juillet, Août et Septembre 2025/Parfaite/3654448"/>
    <s v="Personnel"/>
    <s v="Office"/>
    <n v="139002"/>
    <n v="255.78262837711017"/>
    <n v="543.43799999999999"/>
    <s v="BCI"/>
    <s v="BQ-O-R19"/>
    <s v="PALF"/>
    <x v="5"/>
    <s v="Congo"/>
    <m/>
    <m/>
    <m/>
  </r>
  <r>
    <x v="254"/>
    <s v="Paiement CNSS troixième trimestre/Juillet, Août et Septembre 2025/Evariste/3654448"/>
    <s v="Personnel"/>
    <s v="Media"/>
    <n v="142128"/>
    <n v="261.53489450498495"/>
    <n v="543.43799999999999"/>
    <s v="BCI"/>
    <s v="BQ-O-R20"/>
    <s v="PALF"/>
    <x v="5"/>
    <s v="Congo"/>
    <m/>
    <m/>
    <m/>
  </r>
  <r>
    <x v="255"/>
    <s v="Maison-Bureau"/>
    <s v="Transport"/>
    <s v="Management"/>
    <n v="1000"/>
    <n v="1.8401363172983856"/>
    <n v="543.43799999999999"/>
    <s v="DOVI"/>
    <s v="DH-O-D1"/>
    <s v="PALF"/>
    <x v="5"/>
    <s v="Congo"/>
    <m/>
    <m/>
    <m/>
  </r>
  <r>
    <x v="255"/>
    <s v="Bureau-Maison"/>
    <s v="Transport"/>
    <s v="Management"/>
    <n v="1000"/>
    <n v="1.8401363172983856"/>
    <n v="543.43799999999999"/>
    <s v="DOVI"/>
    <s v="DH-O-D1"/>
    <s v="PALF"/>
    <x v="5"/>
    <s v="Congo"/>
    <m/>
    <m/>
    <m/>
  </r>
  <r>
    <x v="255"/>
    <s v="Taxi:  Bureau-Direction LCDE/ Paiement facture d'eau du mois de Mai, Juin, Juillet, Aout, Septembre et Octobre"/>
    <s v="Transport"/>
    <s v="Office"/>
    <n v="1000"/>
    <n v="1.8401363172983856"/>
    <n v="543.43799999999999"/>
    <s v="Parfaite"/>
    <s v="P-O-D1"/>
    <s v="PALF"/>
    <x v="5"/>
    <s v="Congo"/>
    <m/>
    <m/>
    <m/>
  </r>
  <r>
    <x v="255"/>
    <s v="Taxi: Direction LCDE - Bureau"/>
    <s v="Transport"/>
    <s v="Office"/>
    <n v="1000"/>
    <n v="1.8401363172983856"/>
    <n v="543.43799999999999"/>
    <s v="Parfaite"/>
    <s v="P-O-D1"/>
    <s v="PALF"/>
    <x v="5"/>
    <s v="Congo"/>
    <m/>
    <m/>
    <m/>
  </r>
  <r>
    <x v="255"/>
    <s v="Règlement facture d'eau du mois de Mai, Juin, Juillet, Août, Septembre et Octobre  2025 bureau PALF"/>
    <s v="Rent &amp; Utilities"/>
    <s v="Office"/>
    <n v="38250"/>
    <n v="70.385214136663251"/>
    <n v="543.43799999999999"/>
    <s v="Parfaite"/>
    <s v="CA-O-R16"/>
    <s v="PALF"/>
    <x v="5"/>
    <s v="Congo"/>
    <m/>
    <m/>
    <m/>
  </r>
  <r>
    <x v="255"/>
    <s v="Taxi bureau-agence,achat  billet"/>
    <s v="Transport"/>
    <s v="Investigation"/>
    <n v="1000"/>
    <n v="1.8401363172983856"/>
    <n v="543.43799999999999"/>
    <s v="P29"/>
    <s v="P29-O-D1"/>
    <s v="PALF"/>
    <x v="5"/>
    <s v="Congo"/>
    <m/>
    <m/>
    <m/>
  </r>
  <r>
    <x v="255"/>
    <s v="Taxi agence-la tsieme,prospection"/>
    <s v="Transport"/>
    <s v="Investigation"/>
    <n v="1000"/>
    <n v="1.8401363172983856"/>
    <n v="543.43799999999999"/>
    <s v="P29"/>
    <s v="P29-O-D1"/>
    <s v="PALF"/>
    <x v="5"/>
    <s v="Congo"/>
    <m/>
    <m/>
    <m/>
  </r>
  <r>
    <x v="255"/>
    <s v="Taxi la tsieme-moungali,prospection"/>
    <s v="Transport"/>
    <s v="Investigation"/>
    <n v="1000"/>
    <n v="1.8401363172983856"/>
    <n v="543.43799999999999"/>
    <s v="P29"/>
    <s v="P29-O-D1"/>
    <s v="PALF"/>
    <x v="5"/>
    <s v="Congo"/>
    <m/>
    <m/>
    <m/>
  </r>
  <r>
    <x v="255"/>
    <s v="Taxi moungali-domicile"/>
    <s v="Transport"/>
    <s v="Investigation"/>
    <n v="1500"/>
    <n v="2.7602044759475781"/>
    <n v="543.43799999999999"/>
    <s v="P29"/>
    <s v="P29-O-D1"/>
    <s v="PALF"/>
    <x v="5"/>
    <s v="Congo"/>
    <m/>
    <m/>
    <m/>
  </r>
  <r>
    <x v="255"/>
    <s v="Achat boisson"/>
    <s v="Trust building"/>
    <s v="Investigation"/>
    <n v="1000"/>
    <n v="1.8401363172983856"/>
    <n v="543.43799999999999"/>
    <s v="P29"/>
    <s v="P29-O-D3"/>
    <s v="PALF"/>
    <x v="5"/>
    <s v="Congo"/>
    <m/>
    <m/>
    <m/>
  </r>
  <r>
    <x v="255"/>
    <s v="Achat billet Brazzaville-Lefini/ P29"/>
    <s v="Transport"/>
    <s v="Investigation"/>
    <n v="7000"/>
    <n v="12.880954221088698"/>
    <n v="543.43799999999999"/>
    <s v="P29"/>
    <s v="P29-O-R9"/>
    <s v="PALF"/>
    <x v="5"/>
    <s v="Congo"/>
    <m/>
    <m/>
    <m/>
  </r>
  <r>
    <x v="255"/>
    <s v="Achat billet  Brazzaville- Pointe noire/ T73"/>
    <s v="Transport"/>
    <s v="Investigation"/>
    <n v="12000"/>
    <n v="22.081635807580625"/>
    <n v="543.43799999999999"/>
    <s v="T73"/>
    <s v="T73-O-R6"/>
    <s v="PALF"/>
    <x v="5"/>
    <s v="Congo"/>
    <m/>
    <m/>
    <m/>
  </r>
  <r>
    <x v="255"/>
    <s v="Taxi : bureau - moungali ( prospection à brazzaville)"/>
    <s v="Transport"/>
    <s v="Investigation"/>
    <n v="1000"/>
    <n v="1.8401363172983856"/>
    <n v="543.43799999999999"/>
    <s v="T73"/>
    <s v="T73-O-D1"/>
    <s v="PALF"/>
    <x v="5"/>
    <s v="Congo"/>
    <m/>
    <m/>
    <m/>
  </r>
  <r>
    <x v="255"/>
    <s v="Taxi : moungali - mpila ( prospection à brazzaville)"/>
    <s v="Transport"/>
    <s v="Investigation"/>
    <n v="1000"/>
    <n v="1.8401363172983856"/>
    <n v="543.43799999999999"/>
    <s v="T73"/>
    <s v="T73-O-D1"/>
    <s v="PALF"/>
    <x v="5"/>
    <s v="Congo"/>
    <m/>
    <m/>
    <m/>
  </r>
  <r>
    <x v="255"/>
    <s v="Taxi : mpila - agence trans bony ( achat billet)"/>
    <s v="Transport"/>
    <s v="Investigation"/>
    <n v="1000"/>
    <n v="1.8401363172983856"/>
    <n v="543.43799999999999"/>
    <s v="T73"/>
    <s v="T73-O-D1"/>
    <s v="PALF"/>
    <x v="5"/>
    <s v="Congo"/>
    <m/>
    <m/>
    <m/>
  </r>
  <r>
    <x v="255"/>
    <s v="Taxi : agence trans bony - domicile ( achat billet)"/>
    <s v="Transport"/>
    <s v="Investigation"/>
    <n v="1000"/>
    <n v="1.8401363172983856"/>
    <n v="543.43799999999999"/>
    <s v="T73"/>
    <s v="T73-O-D1"/>
    <s v="PALF"/>
    <x v="5"/>
    <s v="Congo"/>
    <m/>
    <m/>
    <m/>
  </r>
  <r>
    <x v="255"/>
    <s v="achat boissons ( une cible)"/>
    <s v="Trust building"/>
    <s v="Investigation"/>
    <n v="2000"/>
    <n v="3.6802726345967711"/>
    <n v="543.43799999999999"/>
    <s v="T73"/>
    <s v="T73-O-D2"/>
    <s v="PALF"/>
    <x v="5"/>
    <s v="Congo"/>
    <m/>
    <m/>
    <m/>
  </r>
  <r>
    <x v="255"/>
    <s v="Taxi : Bureau - Agence trans bony/ Achat billet"/>
    <s v="Transport"/>
    <s v="Investigation"/>
    <n v="1000"/>
    <n v="1.8401363172983856"/>
    <n v="543.43799999999999"/>
    <s v="IT87"/>
    <s v="IT87-O-D1"/>
    <s v="PALF"/>
    <x v="5"/>
    <s v="Congo"/>
    <m/>
    <m/>
    <m/>
  </r>
  <r>
    <x v="255"/>
    <s v="Achat billet Brazzaville - Mouyondzi/ IT87"/>
    <s v="Transport"/>
    <s v="Investigation"/>
    <n v="7000"/>
    <n v="12.880954221088698"/>
    <n v="543.43799999999999"/>
    <s v="IT87"/>
    <s v="IT87-O-R3"/>
    <s v="PALF"/>
    <x v="5"/>
    <s v="Congo"/>
    <m/>
    <m/>
    <m/>
  </r>
  <r>
    <x v="255"/>
    <s v="Taxi : Agence trans bony - PK/ Prospection"/>
    <s v="Transport"/>
    <s v="Investigation"/>
    <n v="1500"/>
    <n v="2.7602044759475781"/>
    <n v="543.43799999999999"/>
    <s v="IT87"/>
    <s v="IT87-O-D1"/>
    <s v="PALF"/>
    <x v="5"/>
    <s v="Congo"/>
    <m/>
    <m/>
    <m/>
  </r>
  <r>
    <x v="255"/>
    <s v="Taxi : PK - Rails/ Prospection"/>
    <s v="Transport"/>
    <s v="Investigation"/>
    <n v="1000"/>
    <n v="1.8401363172983856"/>
    <n v="543.43799999999999"/>
    <s v="IT87"/>
    <s v="IT87-O-D1"/>
    <s v="PALF"/>
    <x v="5"/>
    <s v="Congo"/>
    <m/>
    <m/>
    <m/>
  </r>
  <r>
    <x v="255"/>
    <s v="Taxi : Rails - Domicile/ Retour de prospection"/>
    <s v="Transport"/>
    <s v="Investigation"/>
    <n v="2000"/>
    <n v="3.6802726345967711"/>
    <n v="543.43799999999999"/>
    <s v="IT87"/>
    <s v="IT87-O-D1"/>
    <s v="PALF"/>
    <x v="5"/>
    <s v="Congo"/>
    <m/>
    <m/>
    <m/>
  </r>
  <r>
    <x v="255"/>
    <s v="Taxi: Bureau - moutabala / prospection"/>
    <s v="Transport"/>
    <s v="Investigation"/>
    <n v="1000"/>
    <n v="1.8401363172983856"/>
    <n v="543.43799999999999"/>
    <s v="G12"/>
    <s v="G12-O-D1"/>
    <s v="PALF"/>
    <x v="5"/>
    <s v="Congo"/>
    <m/>
    <m/>
    <m/>
  </r>
  <r>
    <x v="255"/>
    <s v="Taxi: Moutabala - agence océan du nord / achat billet brazzaville - ouesso"/>
    <s v="Transport"/>
    <s v="Investigation"/>
    <n v="1000"/>
    <n v="1.8401363172983856"/>
    <n v="543.43799999999999"/>
    <s v="G12"/>
    <s v="G12-O-D1"/>
    <s v="PALF"/>
    <x v="5"/>
    <s v="Congo"/>
    <m/>
    <m/>
    <m/>
  </r>
  <r>
    <x v="255"/>
    <s v="Taxi: Agence - domicile     "/>
    <s v="Transport"/>
    <s v="Investigation"/>
    <n v="1000"/>
    <n v="1.8401363172983856"/>
    <n v="543.43799999999999"/>
    <s v="G12"/>
    <s v="G12-O-D1"/>
    <s v="PALF"/>
    <x v="5"/>
    <s v="Congo"/>
    <m/>
    <m/>
    <m/>
  </r>
  <r>
    <x v="255"/>
    <s v="Taxi : Agence océan du nord / achat billet brazzaville - ouesso"/>
    <s v="Transport"/>
    <s v="Investigation"/>
    <n v="1000"/>
    <n v="1.8401363172983856"/>
    <n v="543.43799999999999"/>
    <s v="G12"/>
    <s v="G12-O-D1"/>
    <s v="PALF"/>
    <x v="5"/>
    <s v="Congo"/>
    <m/>
    <m/>
    <m/>
  </r>
  <r>
    <x v="255"/>
    <s v="Achat billet brazzaville - ouesso /G12"/>
    <s v="Transport"/>
    <s v="Investigation"/>
    <n v="12000"/>
    <n v="22.081635807580625"/>
    <n v="543.43799999999999"/>
    <s v="G12"/>
    <s v="G12-O-R3"/>
    <s v="PALF"/>
    <x v="5"/>
    <s v="Congo"/>
    <m/>
    <m/>
    <m/>
  </r>
  <r>
    <x v="255"/>
    <s v="Taxi Hôtel le Pharaon-TGI/ Audition de la partie civile"/>
    <s v="Transport "/>
    <s v="Legal"/>
    <n v="1000"/>
    <n v="1.8401363172983856"/>
    <n v="543.43799999999999"/>
    <s v="Donald-Roméo"/>
    <s v="DR-O-D1"/>
    <s v="PALF"/>
    <x v="5"/>
    <s v="Congo"/>
    <m/>
    <m/>
    <m/>
  </r>
  <r>
    <x v="255"/>
    <s v="Taxi TGI-Hôtel le Pharaon"/>
    <s v="Transport "/>
    <s v="Legal"/>
    <n v="1000"/>
    <n v="1.8401363172983856"/>
    <n v="543.43799999999999"/>
    <s v="Donald-Roméo"/>
    <s v="DR-O-D1"/>
    <s v="PALF"/>
    <x v="5"/>
    <s v="Congo"/>
    <m/>
    <m/>
    <m/>
  </r>
  <r>
    <x v="255"/>
    <s v="Taxi, Bureau PALF-Radio Liberté"/>
    <s v="Transport"/>
    <s v="Media"/>
    <n v="1000"/>
    <n v="1.8401363172983856"/>
    <n v="543.43799999999999"/>
    <s v="Evariste"/>
    <s v="EV-O-D1"/>
    <s v="PALF"/>
    <x v="5"/>
    <s v="Congo"/>
    <m/>
    <m/>
    <m/>
  </r>
  <r>
    <x v="255"/>
    <s v="Taxi, Radio Liberté-Les echos de Brazzaville"/>
    <s v="Transport"/>
    <s v="Media"/>
    <n v="1000"/>
    <n v="1.8401363172983856"/>
    <n v="543.43799999999999"/>
    <s v="Evariste"/>
    <s v="EV-O-D1"/>
    <s v="PALF"/>
    <x v="5"/>
    <s v="Congo"/>
    <m/>
    <m/>
    <m/>
  </r>
  <r>
    <x v="255"/>
    <s v="Taxi, Les échos de Brazza-Domicile"/>
    <s v="Transport"/>
    <s v="Media"/>
    <n v="1000"/>
    <n v="1.8401363172983856"/>
    <n v="543.43799999999999"/>
    <s v="Evariste"/>
    <s v="EV-O-D1"/>
    <s v="PALF"/>
    <x v="5"/>
    <s v="Congo"/>
    <m/>
    <m/>
    <m/>
  </r>
  <r>
    <x v="255"/>
    <s v="Bonus media portant sur les audiences du 15 et 16 octobre 2025 au TGI d'Owando et Impfondo  pièces presse Internet (https://www.panoramik-actu.com)"/>
    <s v="Bonus to media officer"/>
    <s v="Media"/>
    <n v="6000"/>
    <n v="11.040817903790312"/>
    <n v="543.43799999999999"/>
    <s v="Evariste"/>
    <s v="CA-O-D5"/>
    <s v="PALF"/>
    <x v="5"/>
    <s v="Congo"/>
    <m/>
    <m/>
    <m/>
  </r>
  <r>
    <x v="255"/>
    <s v="Bonus media portant sur les audiences du 15 et 16 octobre 2025 au TGI d'Owando et Impfondo pièces presse Internet (https://www.tribune-eco.cg)"/>
    <s v="Bonus to media officer"/>
    <s v="Media"/>
    <n v="6000"/>
    <n v="11.040817903790312"/>
    <n v="543.43799999999999"/>
    <s v="Evariste"/>
    <s v="CA-O-D5"/>
    <s v="PALF"/>
    <x v="5"/>
    <s v="Congo"/>
    <m/>
    <m/>
    <m/>
  </r>
  <r>
    <x v="255"/>
    <s v="Bonus media portant sur les audiences du 15 et 16 octobre 2025 au TGI d'Owando et Impfondo pièces presse Internet (https://www.groupecongomedias.com)"/>
    <s v="Bonus to media officer"/>
    <s v="Media"/>
    <n v="6000"/>
    <n v="11.040817903790312"/>
    <n v="543.43799999999999"/>
    <s v="Evariste"/>
    <s v="CA-O-D5"/>
    <s v="PALF"/>
    <x v="5"/>
    <s v="Congo"/>
    <m/>
    <m/>
    <m/>
  </r>
  <r>
    <x v="255"/>
    <s v="Bonus media portant sur les audiences du 15 et 16 octobre 2025 au TGI d'Owando et Impfondo pièces presse Internet (https://www.labreveonline.com)"/>
    <s v="Bonus to media officer"/>
    <s v="Media"/>
    <n v="6000"/>
    <n v="11.040817903790312"/>
    <n v="543.43799999999999"/>
    <s v="Evariste"/>
    <s v="CA-O-D5"/>
    <s v="PALF"/>
    <x v="5"/>
    <s v="Congo"/>
    <m/>
    <m/>
    <m/>
  </r>
  <r>
    <x v="255"/>
    <s v="Bonus media portant sur les audiences du 15 et 16 octobre 2025 au TGI d'Owando et Impfondo pièces presse Internet (https://www.adiac-congo.com)"/>
    <s v="Bonus to media officer"/>
    <s v="Media"/>
    <n v="6000"/>
    <n v="11.040817903790312"/>
    <n v="543.43799999999999"/>
    <s v="Evariste"/>
    <s v="CA-O-D5"/>
    <s v="PALF"/>
    <x v="5"/>
    <s v="Congo"/>
    <m/>
    <m/>
    <m/>
  </r>
  <r>
    <x v="255"/>
    <s v="Bonus media portant sur les audiences du 15 et 16 octobre 2025 au TGI d'Owando et Impfondo pièces presse Internet (https://www.lasemaineafricaine.info)"/>
    <s v="Bonus to media officer"/>
    <s v="Media"/>
    <n v="6000"/>
    <n v="11.040817903790312"/>
    <n v="543.43799999999999"/>
    <s v="Evariste"/>
    <s v="CA-O-D5"/>
    <s v="PALF"/>
    <x v="5"/>
    <s v="Congo"/>
    <m/>
    <m/>
    <m/>
  </r>
  <r>
    <x v="255"/>
    <s v="Bonus media portant sur les audiences du 15 et 16 octobre 2025 au TGI d'Owando et Impfondo pièces presse Internet (https://www.matinlibre.cg)"/>
    <s v="Bonus to media officer"/>
    <s v="Media"/>
    <n v="6000"/>
    <n v="11.040817903790312"/>
    <n v="543.43799999999999"/>
    <s v="Evariste"/>
    <s v="CA-O-D5"/>
    <s v="PALF"/>
    <x v="5"/>
    <s v="Congo"/>
    <m/>
    <m/>
    <m/>
  </r>
  <r>
    <x v="255"/>
    <s v="Bonus media portant sur les audiences du 15 et 16 octobre 2025 au TGI d'Owando et Impfondo pièces presse Internet (https://www.firstmediac.com)"/>
    <s v="Bonus to media officer"/>
    <s v="Media"/>
    <n v="6000"/>
    <n v="11.040817903790312"/>
    <n v="543.43799999999999"/>
    <s v="Evariste"/>
    <s v="CA-O-D5"/>
    <s v="PALF"/>
    <x v="5"/>
    <s v="Congo"/>
    <m/>
    <m/>
    <m/>
  </r>
  <r>
    <x v="255"/>
    <s v="Bonus media portant sur les audiences du 15 et 16 octobre 2025 au TGI d'Owando et Impfondo pièces presse Internet (https://www.journaldebrazza.com)"/>
    <s v="Bonus to media officer"/>
    <s v="Media"/>
    <n v="6000"/>
    <n v="11.040817903790312"/>
    <n v="543.43799999999999"/>
    <s v="Evariste"/>
    <s v="CA-O-D5"/>
    <s v="PALF"/>
    <x v="5"/>
    <s v="Congo"/>
    <m/>
    <m/>
    <m/>
  </r>
  <r>
    <x v="255"/>
    <s v="Bonus media portant sur les audiences du 15 et 16 octobre 2025 au TGI d'Owando et Impfondo pièces presse Internet (https://vmmedias.info)"/>
    <s v="Bonus to media officer"/>
    <s v="Media"/>
    <n v="6000"/>
    <n v="11.040817903790312"/>
    <n v="543.43799999999999"/>
    <s v="Evariste"/>
    <s v="CA-O-D5"/>
    <s v="PALF"/>
    <x v="5"/>
    <s v="Congo"/>
    <m/>
    <m/>
    <m/>
  </r>
  <r>
    <x v="255"/>
    <s v="Bonus media portant sur les audiences du 15 et 16 octobre 2025 au TGI d'Owando et Impfondo pièces presse Internet (https://aci.cg)"/>
    <s v="Bonus to media officer"/>
    <s v="Media"/>
    <n v="6000"/>
    <n v="11.040817903790312"/>
    <n v="543.43799999999999"/>
    <s v="Evariste"/>
    <s v="CA-O-D5"/>
    <s v="PALF"/>
    <x v="5"/>
    <s v="Congo"/>
    <m/>
    <m/>
    <m/>
  </r>
  <r>
    <x v="255"/>
    <s v="Bonus media portantsur les audiences du 15 et 16 octobre 2025 au TGI d'Owando et Impfondo pièces presse Internet (https://lesechos-congobrazza.com/)"/>
    <s v="Bonus to media officer"/>
    <s v="Media"/>
    <n v="6000"/>
    <n v="11.040817903790312"/>
    <n v="543.43799999999999"/>
    <s v="Evariste"/>
    <s v="CA-O-D5"/>
    <s v="PALF"/>
    <x v="5"/>
    <s v="Congo"/>
    <m/>
    <m/>
    <m/>
  </r>
  <r>
    <x v="255"/>
    <s v="Bonus media portant sur les audiences du 15 et 16 octobre 2025 au TGI d'Owando et Impfondo pièces presse Internet (https://opinionpublique.cg)"/>
    <s v="Bonus to media officer"/>
    <s v="Media"/>
    <n v="6000"/>
    <n v="11.040817903790312"/>
    <n v="543.43799999999999"/>
    <s v="Evariste"/>
    <s v="CA-O-D5"/>
    <s v="PALF"/>
    <x v="5"/>
    <s v="Congo"/>
    <m/>
    <m/>
    <m/>
  </r>
  <r>
    <x v="255"/>
    <s v="Bonus media portant sur les audiences du 15 et 16 octobre 2025 au TGI d'Owando et Impfondo pièces presse Internet (https://www.lhorizonafricain.com)"/>
    <s v="Bonus to media officer"/>
    <s v="Media"/>
    <n v="6000"/>
    <n v="11.040817903790312"/>
    <n v="543.43799999999999"/>
    <s v="Evariste"/>
    <s v="CA-O-D5"/>
    <s v="PALF"/>
    <x v="5"/>
    <s v="Congo"/>
    <m/>
    <m/>
    <m/>
  </r>
  <r>
    <x v="255"/>
    <s v="Bonus media portant sur les audiences du 15 et 16 octobre 2025 au TGI d'Owando et Impfondo pieces presse papier(les depêches de brazzaville)"/>
    <s v="Bonus to media officer"/>
    <s v="Media"/>
    <n v="10000"/>
    <n v="18.401363172983856"/>
    <n v="543.43799999999999"/>
    <s v="Evariste"/>
    <s v="CA-O-D6"/>
    <s v="PALF"/>
    <x v="5"/>
    <s v="Congo"/>
    <m/>
    <m/>
    <m/>
  </r>
  <r>
    <x v="255"/>
    <s v="Bonus media portant sur les audiences du 15 et 16 octobre 2025 au TGI d'Owando et Impfondo pieces presse papier( l'horizion africain)"/>
    <s v="Bonus to media officer"/>
    <s v="Media"/>
    <n v="10000"/>
    <n v="18.401363172983856"/>
    <n v="543.43799999999999"/>
    <s v="Evariste"/>
    <s v="CA-O-D6"/>
    <s v="PALF"/>
    <x v="5"/>
    <s v="Congo"/>
    <m/>
    <m/>
    <m/>
  </r>
  <r>
    <x v="255"/>
    <s v="Bonus media portant sur les audiences du 15 et 16 octobre 2025 au TGI d'Owando et Impfondo pieces presse papier(l'agence congolaise de l'information)"/>
    <s v="Bonus to media officer"/>
    <s v="Media"/>
    <n v="10000"/>
    <n v="18.401363172983856"/>
    <n v="543.43799999999999"/>
    <s v="Evariste"/>
    <s v="CA-O-D6"/>
    <s v="PALF"/>
    <x v="5"/>
    <s v="Congo"/>
    <m/>
    <m/>
    <m/>
  </r>
  <r>
    <x v="255"/>
    <s v="Bonus media portant sur les audiences du 15 et 16 octobre 2025 au TGI d'Owando et Impfondo presse Radio citoyenne des jeunes"/>
    <s v="Bonus to media officer"/>
    <s v="Media"/>
    <n v="6000"/>
    <n v="11.040817903790312"/>
    <n v="543.43799999999999"/>
    <s v="Evariste"/>
    <s v="CA-O-D7"/>
    <s v="PALF"/>
    <x v="5"/>
    <s v="Congo"/>
    <m/>
    <m/>
    <m/>
  </r>
  <r>
    <x v="255"/>
    <s v="Bonus media portant sur les audiences du 15 et 16 octobre 2025 au TGI d'Owando et Impfondo presse Radio Liberté Kituba"/>
    <s v="Bonus to media officer"/>
    <s v="Media"/>
    <n v="6000"/>
    <n v="11.040817903790312"/>
    <n v="543.43799999999999"/>
    <s v="Evariste"/>
    <s v="CA-O-D7"/>
    <s v="PALF"/>
    <x v="5"/>
    <s v="Congo"/>
    <m/>
    <m/>
    <m/>
  </r>
  <r>
    <x v="255"/>
    <s v="Bonus media portant sur les audiences du 15 et 16 octobre 2025 au TGI d'Owando et Impfondo presse Radio Liberté Français"/>
    <s v="Bonus to media officer"/>
    <s v="Media"/>
    <n v="6000"/>
    <n v="11.040817903790312"/>
    <n v="543.43799999999999"/>
    <s v="Evariste"/>
    <s v="CA-O-D7"/>
    <s v="PALF"/>
    <x v="5"/>
    <s v="Congo"/>
    <m/>
    <m/>
    <m/>
  </r>
  <r>
    <x v="255"/>
    <s v="Bonus media portant sur les audiences du 15 et 16 octobre 2025 au TGI d'Owando et Impfondo presse Radio Liberté Lingala"/>
    <s v="Bonus to media officer"/>
    <s v="Media"/>
    <n v="6000"/>
    <n v="11.040817903790312"/>
    <n v="543.43799999999999"/>
    <s v="Evariste"/>
    <s v="CA-O-D7"/>
    <s v="PALF"/>
    <x v="5"/>
    <s v="Congo"/>
    <m/>
    <m/>
    <m/>
  </r>
  <r>
    <x v="255"/>
    <s v="Taxi moto: Hotel Case Mbali-Maison d'arrêt d'Owando"/>
    <s v="Transport"/>
    <s v="Legal"/>
    <n v="300"/>
    <n v="0.5520408951895156"/>
    <n v="543.43799999999999"/>
    <s v="Romain"/>
    <s v="RM-O-D1"/>
    <s v="PALF"/>
    <x v="5"/>
    <s v="Congo"/>
    <m/>
    <m/>
    <m/>
  </r>
  <r>
    <x v="255"/>
    <s v="Achat ration des détenus(NGASSAKI Dany et ELOMBO Lévy), maison d'arret d'Owando"/>
    <s v="Jail visit"/>
    <s v="Legal"/>
    <n v="3000"/>
    <n v="5.5204089518951562"/>
    <n v="543.43799999999999"/>
    <s v="Romain"/>
    <s v="RM-O-D3"/>
    <s v="PALF"/>
    <x v="5"/>
    <s v="Congo"/>
    <m/>
    <m/>
    <m/>
  </r>
  <r>
    <x v="255"/>
    <s v="Taxi moto: Maison d'arret-Cour d'Appel d'Owando"/>
    <s v="Transport"/>
    <s v="Legal"/>
    <n v="300"/>
    <n v="0.5520408951895156"/>
    <n v="543.43799999999999"/>
    <s v="Romain"/>
    <s v="RM-O-D1"/>
    <s v="PALF"/>
    <x v="5"/>
    <s v="Congo"/>
    <m/>
    <m/>
    <m/>
  </r>
  <r>
    <x v="255"/>
    <s v="Achat Billet Owando- Brazzaville/ Romain"/>
    <s v="Transport"/>
    <s v="Legal"/>
    <n v="7000"/>
    <n v="12.880954221088698"/>
    <n v="543.43799999999999"/>
    <s v="Romain"/>
    <s v="RM-O-R4"/>
    <s v="PALF"/>
    <x v="5"/>
    <s v="Congo"/>
    <m/>
    <m/>
    <m/>
  </r>
  <r>
    <x v="255"/>
    <s v="Taxi moto: Agence Trans Bony-Hôtel Case Mbali"/>
    <s v="Transport"/>
    <s v="Legal"/>
    <n v="300"/>
    <n v="0.5520408951895156"/>
    <n v="543.43799999999999"/>
    <s v="Romain"/>
    <s v="RM-O-D1"/>
    <s v="PALF"/>
    <x v="5"/>
    <s v="Congo"/>
    <m/>
    <m/>
    <m/>
  </r>
  <r>
    <x v="255"/>
    <s v="Taxi moto: Hotel Case Mbali-Maison d'arrêt d'Owando"/>
    <s v="Transport"/>
    <s v="Legal"/>
    <n v="300"/>
    <n v="0.5520408951895156"/>
    <n v="543.43799999999999"/>
    <s v="Romain"/>
    <s v="RM-O-D1"/>
    <s v="PALF"/>
    <x v="5"/>
    <s v="Congo"/>
    <m/>
    <m/>
    <m/>
  </r>
  <r>
    <x v="255"/>
    <s v="Achat de la Ration des prévenus(NGASSAKI Dany et ELOMBO Lévy) maison d'arret d'Owando"/>
    <s v="Jail visit"/>
    <s v="Legal"/>
    <n v="3000"/>
    <n v="5.5204089518951562"/>
    <n v="543.43799999999999"/>
    <s v="Romain"/>
    <s v="RM-O-D3"/>
    <s v="PALF"/>
    <x v="5"/>
    <s v="Congo"/>
    <m/>
    <m/>
    <m/>
  </r>
  <r>
    <x v="255"/>
    <s v="Taxi moto: Maison d'arret d'Owando-Hotel Case Mbali"/>
    <s v="Transport"/>
    <s v="Legal"/>
    <n v="300"/>
    <n v="0.5520408951895156"/>
    <n v="543.43799999999999"/>
    <s v="Romain"/>
    <s v="RM-O-D1"/>
    <s v="PALF"/>
    <x v="5"/>
    <s v="Congo"/>
    <m/>
    <m/>
    <m/>
  </r>
  <r>
    <x v="255"/>
    <s v="Paiement salaire du mois de septembre 2025/Homéfa DOVI/3654446"/>
    <s v="Personnel"/>
    <s v="Management"/>
    <n v="1311000"/>
    <n v="2412.4187119781832"/>
    <n v="543.43799999999999"/>
    <s v="BCI"/>
    <s v="BQ-O-R21"/>
    <s v="PALF"/>
    <x v="5"/>
    <s v="Congo"/>
    <m/>
    <m/>
    <m/>
  </r>
  <r>
    <x v="256"/>
    <s v="Maison-Bureau"/>
    <s v="Transport"/>
    <s v="Management"/>
    <n v="1000"/>
    <n v="1.8401363172983856"/>
    <n v="543.43799999999999"/>
    <s v="DOVI"/>
    <s v="DH-O-D1"/>
    <s v="PALF"/>
    <x v="5"/>
    <s v="Congo"/>
    <m/>
    <m/>
    <m/>
  </r>
  <r>
    <x v="256"/>
    <s v="Bureau-Maison"/>
    <s v="Transport"/>
    <s v="Management"/>
    <n v="1000"/>
    <n v="1.8401363172983856"/>
    <n v="543.43799999999999"/>
    <s v="DOVI"/>
    <s v="DH-O-D1"/>
    <s v="PALF"/>
    <x v="5"/>
    <s v="Congo"/>
    <m/>
    <m/>
    <m/>
  </r>
  <r>
    <x v="256"/>
    <s v="Taxi:  Bureau- Cabinet d'avocat/Depot  du chèque du mois de septembre 2025 Me LOCKO"/>
    <s v="Transport"/>
    <s v="Office"/>
    <n v="1000"/>
    <n v="1.8401363172983856"/>
    <n v="543.43799999999999"/>
    <s v="Parfaite"/>
    <s v="P-O-D1"/>
    <s v="PALF"/>
    <x v="5"/>
    <s v="Congo"/>
    <m/>
    <m/>
    <m/>
  </r>
  <r>
    <x v="256"/>
    <s v="Taxi:  Cabinet d'Avocat - Domicile"/>
    <s v="Transport"/>
    <s v="Office"/>
    <n v="1000"/>
    <n v="1.8401363172983856"/>
    <n v="543.43799999999999"/>
    <s v="Parfaite"/>
    <s v="P-O-D1"/>
    <s v="PALF"/>
    <x v="5"/>
    <s v="Congo"/>
    <m/>
    <m/>
    <m/>
  </r>
  <r>
    <x v="256"/>
    <s v="P29 - CONGO Ration  du 16 au 30/10/2025 à Lefini,ivoumba,dolisie(14 Nuitées)"/>
    <s v="Travel Subsistence"/>
    <s v="Investigation"/>
    <n v="140000"/>
    <n v="257.61908442177395"/>
    <n v="543.43799999999999"/>
    <s v="P29"/>
    <s v="P29-O-D4"/>
    <s v="PALF"/>
    <x v="5"/>
    <s v="Congo"/>
    <m/>
    <m/>
    <m/>
  </r>
  <r>
    <x v="256"/>
    <s v="Taxi domicile-agence,départ mission"/>
    <s v="Transport"/>
    <s v="Investigation"/>
    <n v="1500"/>
    <n v="2.7602044759475781"/>
    <n v="543.43799999999999"/>
    <s v="P29"/>
    <s v="P29-O-D1"/>
    <s v="PALF"/>
    <x v="5"/>
    <s v="Congo"/>
    <m/>
    <m/>
    <m/>
  </r>
  <r>
    <x v="256"/>
    <s v="Taxi tricycle agence-hotel,arrivé à lefini"/>
    <s v="Transport"/>
    <s v="Investigation"/>
    <n v="700"/>
    <n v="1.2880954221088698"/>
    <n v="543.43799999999999"/>
    <s v="P29"/>
    <s v="P29-O-D1"/>
    <s v="PALF"/>
    <x v="5"/>
    <s v="Congo"/>
    <m/>
    <m/>
    <m/>
  </r>
  <r>
    <x v="256"/>
    <s v="Taxi moto hotel-marché,pour prospection"/>
    <s v="Transport"/>
    <s v="Investigation"/>
    <n v="500"/>
    <n v="0.92006815864919278"/>
    <n v="543.43799999999999"/>
    <s v="P29"/>
    <s v="P29-O-D1"/>
    <s v="PALF"/>
    <x v="5"/>
    <s v="Congo"/>
    <m/>
    <m/>
    <m/>
  </r>
  <r>
    <x v="256"/>
    <s v="Taxi moto marché-tilou,prospection"/>
    <s v="Transport"/>
    <s v="Investigation"/>
    <n v="500"/>
    <n v="0.92006815864919278"/>
    <n v="543.43799999999999"/>
    <s v="P29"/>
    <s v="P29-O-D1"/>
    <s v="PALF"/>
    <x v="5"/>
    <s v="Congo"/>
    <m/>
    <m/>
    <m/>
  </r>
  <r>
    <x v="256"/>
    <s v="Taxi moto tilou-hotel"/>
    <s v="Transport"/>
    <s v="Investigation"/>
    <n v="500"/>
    <n v="0.92006815864919278"/>
    <n v="543.43799999999999"/>
    <s v="P29"/>
    <s v="P29-O-D1"/>
    <s v="PALF"/>
    <x v="5"/>
    <s v="Congo"/>
    <m/>
    <m/>
    <m/>
  </r>
  <r>
    <x v="256"/>
    <s v="T73 CONGO Ration du 16 au 26/10/2025 à Pointe noire , Nzassi et Madingo-Kayes (10 Nuitées)"/>
    <s v="Travel subsistence"/>
    <s v="Investigation"/>
    <n v="100000"/>
    <n v="184.01363172983855"/>
    <n v="543.43799999999999"/>
    <s v="T73"/>
    <s v="T73-O-D4"/>
    <s v="PALF"/>
    <x v="5"/>
    <s v="Congo"/>
    <m/>
    <m/>
    <m/>
  </r>
  <r>
    <x v="256"/>
    <s v="Taxi : domicile - agence trans bony ( départ pour pointe noire)"/>
    <s v="Transport"/>
    <s v="Investigation"/>
    <n v="1000"/>
    <n v="1.8401363172983856"/>
    <n v="543.43799999999999"/>
    <s v="T73"/>
    <s v="T73-O-D1"/>
    <s v="PALF"/>
    <x v="5"/>
    <s v="Congo"/>
    <m/>
    <m/>
    <m/>
  </r>
  <r>
    <x v="256"/>
    <s v="Taxi : agence trans bony - hotel la provence"/>
    <s v="Transport"/>
    <s v="Investigation"/>
    <n v="1000"/>
    <n v="1.8401363172983856"/>
    <n v="543.43799999999999"/>
    <s v="T73"/>
    <s v="T73-O-D1"/>
    <s v="PALF"/>
    <x v="5"/>
    <s v="Congo"/>
    <m/>
    <m/>
    <m/>
  </r>
  <r>
    <x v="256"/>
    <s v="IT87-CONGO Ration du 16 au 30/10/2025 à Mouyondzi, Madingou, Bouansa et Nkayi"/>
    <s v="Travel Subsistence"/>
    <s v="Investigation"/>
    <n v="140000"/>
    <n v="257.61908442177395"/>
    <n v="543.43799999999999"/>
    <s v="IT87"/>
    <s v="IT87-O-D3"/>
    <s v="PALF"/>
    <x v="5"/>
    <s v="Congo"/>
    <m/>
    <m/>
    <m/>
  </r>
  <r>
    <x v="256"/>
    <s v="Taxi : Domicile - Agence Trans Bony/ Départ de Brazzaville pour Mouyondzi"/>
    <s v="Transport"/>
    <s v="Investigation"/>
    <n v="2000"/>
    <n v="3.6802726345967711"/>
    <n v="543.43799999999999"/>
    <s v="IT87"/>
    <s v="IT87-O-D1"/>
    <s v="PALF"/>
    <x v="5"/>
    <s v="Congo"/>
    <m/>
    <m/>
    <m/>
  </r>
  <r>
    <x v="256"/>
    <s v="Taxi tricycle : Agence trans bony - Hôtel DZA MATSAKA/ Arrivé à Mouyondzi"/>
    <s v="Transport"/>
    <s v="Investigation"/>
    <n v="700"/>
    <n v="1.2880954221088698"/>
    <n v="543.43799999999999"/>
    <s v="IT87"/>
    <s v="IT87-O-D1"/>
    <s v="PALF"/>
    <x v="5"/>
    <s v="Congo"/>
    <m/>
    <m/>
    <m/>
  </r>
  <r>
    <x v="256"/>
    <s v="G12- CONGO Ration du 16 au 23/10/2025 à ouesso, pokola, mboua"/>
    <s v="Travel subsistence"/>
    <s v="Investigation"/>
    <n v="70000"/>
    <n v="128.80954221088697"/>
    <n v="543.43799999999999"/>
    <s v="G12"/>
    <s v="G12-O-D2"/>
    <s v="PALF"/>
    <x v="5"/>
    <s v="Congo"/>
    <m/>
    <m/>
    <m/>
  </r>
  <r>
    <x v="256"/>
    <s v="Taxi: Domicile - agence océan du nord moungali /depart pour ouesso"/>
    <s v="Transport"/>
    <s v="Investigation"/>
    <n v="1000"/>
    <n v="1.8401363172983856"/>
    <n v="543.43799999999999"/>
    <s v="G12"/>
    <s v="G12-O-D1"/>
    <s v="PALF"/>
    <x v="5"/>
    <s v="Congo"/>
    <m/>
    <m/>
    <m/>
  </r>
  <r>
    <x v="256"/>
    <s v="Taxi: Agence océan du nord - hotel"/>
    <s v="Transport"/>
    <s v="Investigation"/>
    <n v="500"/>
    <n v="0.92006815864919278"/>
    <n v="543.43799999999999"/>
    <s v="G12"/>
    <s v="G12-O-D1"/>
    <s v="PALF"/>
    <x v="5"/>
    <s v="Congo"/>
    <m/>
    <m/>
    <m/>
  </r>
  <r>
    <x v="256"/>
    <s v="Taxi Hôtel le Pharaon-Agence Trans Bony/ Reservation des billets"/>
    <s v="Transport "/>
    <s v="Legal"/>
    <n v="1000"/>
    <n v="1.8401363172983856"/>
    <n v="543.43799999999999"/>
    <s v="Donald-Roméo"/>
    <s v="DR-O-D1"/>
    <s v="PALF"/>
    <x v="5"/>
    <s v="Congo"/>
    <m/>
    <m/>
    <m/>
  </r>
  <r>
    <x v="256"/>
    <s v="Taxi Agence Trans Bony-Hôtel le Pharaon"/>
    <s v="Transport "/>
    <s v="Legal"/>
    <n v="1000"/>
    <n v="1.8401363172983856"/>
    <n v="543.43799999999999"/>
    <s v="Donald-Roméo"/>
    <s v="DR-O-D1"/>
    <s v="PALF"/>
    <x v="5"/>
    <s v="Congo"/>
    <m/>
    <m/>
    <m/>
  </r>
  <r>
    <x v="256"/>
    <s v="Achat billet Dolisie-Brazzaville/Donald-Roméo"/>
    <s v="Transport "/>
    <s v="Legal"/>
    <n v="9000"/>
    <n v="16.561226855685469"/>
    <n v="543.43799999999999"/>
    <s v="Donald-Roméo"/>
    <s v="DR-O-R7"/>
    <s v="PALF"/>
    <x v="5"/>
    <s v="Congo"/>
    <m/>
    <m/>
    <m/>
  </r>
  <r>
    <x v="256"/>
    <s v="Frais d'Hotel du 14 au 16/10/2025, deux (02) nuitées à Owando"/>
    <s v="Travel Subsistence"/>
    <s v="Legal"/>
    <n v="30000"/>
    <n v="55.204089518951562"/>
    <n v="543.43799999999999"/>
    <s v="Romain"/>
    <s v="RM-O-R5"/>
    <s v="PALF"/>
    <x v="5"/>
    <s v="Congo"/>
    <m/>
    <m/>
    <m/>
  </r>
  <r>
    <x v="256"/>
    <s v="Taxi moto: Hotel Case Mbali-Agence Trans Bony d'Owando"/>
    <s v="Transport"/>
    <s v="Legal"/>
    <n v="300"/>
    <n v="0.5520408951895156"/>
    <n v="543.43799999999999"/>
    <s v="Romain"/>
    <s v="RM-O-D1"/>
    <s v="PALF"/>
    <x v="5"/>
    <s v="Congo"/>
    <m/>
    <m/>
    <m/>
  </r>
  <r>
    <x v="256"/>
    <s v="Taxi: Agence Trans Bony du Plateau des 15ans-Domicile"/>
    <s v="Transport"/>
    <s v="Legal"/>
    <n v="3500"/>
    <n v="6.4404771105443492"/>
    <n v="543.43799999999999"/>
    <s v="Romain"/>
    <s v="RM-O-D1"/>
    <s v="PALF"/>
    <x v="5"/>
    <s v="Congo"/>
    <m/>
    <m/>
    <m/>
  </r>
  <r>
    <x v="257"/>
    <s v="Maison-Bureau"/>
    <s v="Transport"/>
    <s v="Management"/>
    <n v="1000"/>
    <n v="1.8401363172983856"/>
    <n v="543.43799999999999"/>
    <s v="DOVI"/>
    <s v="DH-O-D1"/>
    <s v="PALF"/>
    <x v="5"/>
    <s v="Congo"/>
    <m/>
    <m/>
    <m/>
  </r>
  <r>
    <x v="257"/>
    <s v="Bureau - Maison"/>
    <s v="Transport"/>
    <s v="Management"/>
    <n v="1000"/>
    <n v="1.8401363172983856"/>
    <n v="543.43799999999999"/>
    <s v="DOVI"/>
    <s v="DH-O-D1"/>
    <s v="PALF"/>
    <x v="5"/>
    <s v="Congo"/>
    <m/>
    <m/>
    <m/>
  </r>
  <r>
    <x v="257"/>
    <s v="Achat boisson"/>
    <s v="Trust building"/>
    <s v="Investigation"/>
    <n v="2000"/>
    <n v="3.6802726345967711"/>
    <n v="543.43799999999999"/>
    <s v="P29"/>
    <s v="P29-O-D3"/>
    <s v="PALF"/>
    <x v="5"/>
    <s v="Congo"/>
    <m/>
    <m/>
    <m/>
  </r>
  <r>
    <x v="257"/>
    <s v="Taxi moto hotel-bidiga,prospection"/>
    <s v="Transport"/>
    <s v="Investigation"/>
    <n v="500"/>
    <n v="0.92006815864919278"/>
    <n v="543.43799999999999"/>
    <s v="P29"/>
    <s v="P29-O-D1"/>
    <s v="PALF"/>
    <x v="5"/>
    <s v="Congo"/>
    <m/>
    <m/>
    <m/>
  </r>
  <r>
    <x v="257"/>
    <s v="Taxi moto bidiga-port secondaire,prospection"/>
    <s v="Transport"/>
    <s v="Investigation"/>
    <n v="500"/>
    <n v="0.92006815864919278"/>
    <n v="543.43799999999999"/>
    <s v="P29"/>
    <s v="P29-O-D1"/>
    <s v="PALF"/>
    <x v="5"/>
    <s v="Congo"/>
    <m/>
    <m/>
    <m/>
  </r>
  <r>
    <x v="257"/>
    <s v="Taxi tricycle port secondaire-tokologa,prospectio,"/>
    <s v="Transport"/>
    <s v="Investigation"/>
    <n v="700"/>
    <n v="1.2880954221088698"/>
    <n v="543.43799999999999"/>
    <s v="P29"/>
    <s v="P29-O-D1"/>
    <s v="PALF"/>
    <x v="5"/>
    <s v="Congo"/>
    <m/>
    <m/>
    <m/>
  </r>
  <r>
    <x v="257"/>
    <s v="Taxi moto togologa-hotel"/>
    <s v="Transport"/>
    <s v="Investigation"/>
    <n v="500"/>
    <n v="0.92006815864919278"/>
    <n v="543.43799999999999"/>
    <s v="P29"/>
    <s v="P29-O-D1"/>
    <s v="PALF"/>
    <x v="5"/>
    <s v="Congo"/>
    <m/>
    <m/>
    <m/>
  </r>
  <r>
    <x v="257"/>
    <s v="Taxi : hotel la provence - grand marché ( prospection à Pointe noire)"/>
    <s v="Transport"/>
    <s v="Investigation"/>
    <n v="1000"/>
    <n v="1.8401363172983856"/>
    <n v="543.43799999999999"/>
    <s v="T73"/>
    <s v="T73-O-D1"/>
    <s v="PALF"/>
    <x v="5"/>
    <s v="Congo"/>
    <m/>
    <m/>
    <m/>
  </r>
  <r>
    <x v="257"/>
    <s v="Taxi : grand marché - mpaka ( prospection à Pointe noire)"/>
    <s v="Transport"/>
    <s v="Investigation"/>
    <n v="1500"/>
    <n v="2.7602044759475781"/>
    <n v="543.43799999999999"/>
    <s v="T73"/>
    <s v="T73-O-D1"/>
    <s v="PALF"/>
    <x v="5"/>
    <s v="Congo"/>
    <m/>
    <m/>
    <m/>
  </r>
  <r>
    <x v="257"/>
    <s v="Taxi : mpaka - marché la foire ( prospection à Pointe noire)"/>
    <s v="Transport"/>
    <s v="Investigation"/>
    <n v="1500"/>
    <n v="2.7602044759475781"/>
    <n v="543.43799999999999"/>
    <s v="T73"/>
    <s v="T73-O-D1"/>
    <s v="PALF"/>
    <x v="5"/>
    <s v="Congo"/>
    <m/>
    <m/>
    <m/>
  </r>
  <r>
    <x v="257"/>
    <s v="Taxi : marché la foire - centre ville ( prospection à Pointe noire)"/>
    <s v="Transport"/>
    <s v="Investigation"/>
    <n v="1000"/>
    <n v="1.8401363172983856"/>
    <n v="543.43799999999999"/>
    <s v="T73"/>
    <s v="T73-O-D1"/>
    <s v="PALF"/>
    <x v="5"/>
    <s v="Congo"/>
    <m/>
    <m/>
    <m/>
  </r>
  <r>
    <x v="257"/>
    <s v="Taxi : centre ville - hotel la provence (fin de journée)"/>
    <s v="Transport"/>
    <s v="Investigation"/>
    <n v="1000"/>
    <n v="1.8401363172983856"/>
    <n v="543.43799999999999"/>
    <s v="T73"/>
    <s v="T73-O-D1"/>
    <s v="PALF"/>
    <x v="5"/>
    <s v="Congo"/>
    <m/>
    <m/>
    <m/>
  </r>
  <r>
    <x v="257"/>
    <s v="Achat boissons (une cible)"/>
    <s v="Trust building"/>
    <s v="Investigation"/>
    <n v="1500"/>
    <n v="2.7602044759475781"/>
    <n v="543.43799999999999"/>
    <s v="T73"/>
    <s v="T73-O-D2"/>
    <s v="PALF"/>
    <x v="5"/>
    <s v="Congo"/>
    <m/>
    <m/>
    <m/>
  </r>
  <r>
    <x v="257"/>
    <s v="Taxi tricycle : Hôtel - Nkila/ Prospection"/>
    <s v="Transport"/>
    <s v="Investigation"/>
    <n v="700"/>
    <n v="1.2880954221088698"/>
    <n v="543.43799999999999"/>
    <s v="IT87"/>
    <s v="IT87-O-D1"/>
    <s v="PALF"/>
    <x v="5"/>
    <s v="Congo"/>
    <m/>
    <m/>
    <m/>
  </r>
  <r>
    <x v="257"/>
    <s v="Achat boisson avec une cible"/>
    <s v="Trust Building"/>
    <s v="Investigation"/>
    <n v="2000"/>
    <n v="3.6802726345967711"/>
    <n v="543.43799999999999"/>
    <s v="IT87"/>
    <s v="IT87-O-D2"/>
    <s v="PALF"/>
    <x v="5"/>
    <s v="Congo"/>
    <m/>
    <m/>
    <m/>
  </r>
  <r>
    <x v="257"/>
    <s v="Taxi tricycle : Nkila - Centre ville/ Prospection"/>
    <s v="Transport"/>
    <s v="Investigation"/>
    <n v="700"/>
    <n v="1.2880954221088698"/>
    <n v="543.43799999999999"/>
    <s v="IT87"/>
    <s v="IT87-O-D1"/>
    <s v="PALF"/>
    <x v="5"/>
    <s v="Congo"/>
    <m/>
    <m/>
    <m/>
  </r>
  <r>
    <x v="257"/>
    <s v="Taxi tricycle : Centre ville - Midzingou/ Prospection"/>
    <s v="Transport"/>
    <s v="Investigation"/>
    <n v="700"/>
    <n v="1.2880954221088698"/>
    <n v="543.43799999999999"/>
    <s v="IT87"/>
    <s v="IT87-O-D1"/>
    <s v="PALF"/>
    <x v="5"/>
    <s v="Congo"/>
    <m/>
    <m/>
    <m/>
  </r>
  <r>
    <x v="257"/>
    <s v="Taxi tricycle : Midzingou - Hôtel/ Retour de prospection"/>
    <s v="Transport"/>
    <s v="Investigation"/>
    <n v="700"/>
    <n v="1.2880954221088698"/>
    <n v="543.43799999999999"/>
    <s v="IT87"/>
    <s v="IT87-O-D1"/>
    <s v="PALF"/>
    <x v="5"/>
    <s v="Congo"/>
    <m/>
    <m/>
    <m/>
  </r>
  <r>
    <x v="257"/>
    <s v="Taxi  : Hotel - quartier ancienne piste/ prospection"/>
    <s v="Transport"/>
    <s v="Investigation"/>
    <n v="500"/>
    <n v="0.92006815864919278"/>
    <n v="543.43799999999999"/>
    <s v="G12"/>
    <s v="G12-O-D1"/>
    <s v="PALF"/>
    <x v="5"/>
    <s v="Congo"/>
    <m/>
    <m/>
    <m/>
  </r>
  <r>
    <x v="257"/>
    <s v="Taxi: Ancienne piste - marché /prospection"/>
    <s v="Transport"/>
    <s v="Investigation"/>
    <n v="500"/>
    <n v="0.92006815864919278"/>
    <n v="543.43799999999999"/>
    <s v="G12"/>
    <s v="G12-O-D1"/>
    <s v="PALF"/>
    <x v="5"/>
    <s v="Congo"/>
    <m/>
    <m/>
    <m/>
  </r>
  <r>
    <x v="257"/>
    <s v="Taxi: Marché - préfecture/prospection"/>
    <s v="Transport"/>
    <s v="Investigation"/>
    <n v="500"/>
    <n v="0.92006815864919278"/>
    <n v="543.43799999999999"/>
    <s v="G12"/>
    <s v="G12-O-D1"/>
    <s v="PALF"/>
    <x v="5"/>
    <s v="Congo"/>
    <m/>
    <m/>
    <m/>
  </r>
  <r>
    <x v="257"/>
    <s v="Achat boisson 1 cible"/>
    <s v="Trust building"/>
    <s v="Investigation"/>
    <n v="2000"/>
    <n v="3.6802726345967711"/>
    <n v="543.43799999999999"/>
    <s v="G12"/>
    <s v="G12-O-D3"/>
    <s v="PALF"/>
    <x v="5"/>
    <s v="Congo"/>
    <m/>
    <m/>
    <m/>
  </r>
  <r>
    <x v="257"/>
    <s v="Taxi : Préfecture - hotel"/>
    <s v="Transport"/>
    <s v="Investigation"/>
    <n v="500"/>
    <n v="0.92006815864919278"/>
    <n v="543.43799999999999"/>
    <s v="G12"/>
    <s v="G12-O-D1"/>
    <s v="PALF"/>
    <x v="5"/>
    <s v="Congo"/>
    <m/>
    <m/>
    <m/>
  </r>
  <r>
    <x v="257"/>
    <s v="Taxi:Domicile de Juls-Bureau pour la prise des clés du bureau"/>
    <s v="Transport"/>
    <s v="Legal"/>
    <n v="1500"/>
    <n v="2.7602044759475781"/>
    <n v="543.43799999999999"/>
    <s v="Roderlin"/>
    <s v="RO-O-D1"/>
    <s v="PALF"/>
    <x v="5"/>
    <s v="Congo"/>
    <m/>
    <m/>
    <m/>
  </r>
  <r>
    <x v="257"/>
    <s v="Taxi:Bureau-Domicile de Juls pour la remise des clés du bureau"/>
    <s v="Transport"/>
    <s v="Legal"/>
    <n v="1500"/>
    <n v="2.7602044759475781"/>
    <n v="543.43799999999999"/>
    <s v="Roderlin"/>
    <s v="RO-O-D1"/>
    <s v="PALF"/>
    <x v="5"/>
    <s v="Congo"/>
    <m/>
    <m/>
    <m/>
  </r>
  <r>
    <x v="257"/>
    <s v="Taxi Hôtel le Pharaon-TGI/ Suivi d'audience"/>
    <s v="Transport "/>
    <s v="Legal"/>
    <n v="1000"/>
    <n v="1.8401363172983856"/>
    <n v="543.43799999999999"/>
    <s v="Donald-Roméo"/>
    <s v="DR-O-D1"/>
    <s v="PALF"/>
    <x v="5"/>
    <s v="Congo"/>
    <m/>
    <m/>
    <m/>
  </r>
  <r>
    <x v="257"/>
    <s v="Taxi TGI-Hôtel le Pharaon"/>
    <s v="Transport "/>
    <s v="Legal"/>
    <n v="1000"/>
    <n v="1.8401363172983856"/>
    <n v="543.43799999999999"/>
    <s v="Donald-Roméo"/>
    <s v="DR-O-D1"/>
    <s v="PALF"/>
    <x v="5"/>
    <s v="Congo"/>
    <m/>
    <m/>
    <m/>
  </r>
  <r>
    <x v="258"/>
    <s v="Achat Billet Dolisie-Brazzaville/crépin"/>
    <s v="Transport"/>
    <s v="Legal"/>
    <n v="9000"/>
    <n v="16.561226855685469"/>
    <n v="543.43799999999999"/>
    <s v="Crépin"/>
    <s v="CR-O-R8"/>
    <s v="PALF"/>
    <x v="5"/>
    <s v="Congo"/>
    <m/>
    <m/>
    <m/>
  </r>
  <r>
    <x v="258"/>
    <s v="CREPIN- CONGO- Frais d'hôtel  du 04 au 18/10/2025 à Dolisie (14 Nuitées)"/>
    <s v="Travel subsistence"/>
    <s v="Legal"/>
    <n v="210000"/>
    <n v="386.42862663266095"/>
    <n v="543.43799999999999"/>
    <s v="Crépin"/>
    <s v="CR-O-R9"/>
    <s v="PALF"/>
    <x v="5"/>
    <s v="Congo"/>
    <m/>
    <m/>
    <m/>
  </r>
  <r>
    <x v="258"/>
    <s v="Taxi: Hôtel-Agence Trans Bony Dolisie"/>
    <s v="Transport"/>
    <s v="Legal"/>
    <n v="1000"/>
    <n v="1.8401363172983856"/>
    <n v="543.43799999999999"/>
    <s v="Crépin"/>
    <s v="CR-O-D1"/>
    <s v="PALF"/>
    <x v="5"/>
    <s v="Congo"/>
    <m/>
    <m/>
    <m/>
  </r>
  <r>
    <x v="258"/>
    <s v="Taxi: Agence Trans Bony de Bifouiti-Domicile Mayanga OMS."/>
    <s v="Transport"/>
    <s v="Legal"/>
    <n v="2000"/>
    <n v="3.6802726345967711"/>
    <n v="543.43799999999999"/>
    <s v="Crépin"/>
    <s v="CR-O-D1"/>
    <s v="PALF"/>
    <x v="5"/>
    <s v="Congo"/>
    <m/>
    <m/>
    <m/>
  </r>
  <r>
    <x v="258"/>
    <s v="Achat boisson"/>
    <s v="Trust building"/>
    <s v="Investigation"/>
    <n v="2000"/>
    <n v="3.6802726345967711"/>
    <n v="543.43799999999999"/>
    <s v="P29"/>
    <s v="P29-O-D3"/>
    <s v="PALF"/>
    <x v="5"/>
    <s v="Congo"/>
    <m/>
    <m/>
    <m/>
  </r>
  <r>
    <x v="258"/>
    <s v="Achat billet Lefini-Ivoumba"/>
    <s v="Transport"/>
    <s v="Investigation"/>
    <n v="5000"/>
    <n v="9.2006815864919282"/>
    <n v="543.43799999999999"/>
    <s v="P29"/>
    <s v="P29-O-R10"/>
    <s v="PALF"/>
    <x v="5"/>
    <s v="Congo"/>
    <m/>
    <m/>
    <m/>
  </r>
  <r>
    <x v="258"/>
    <s v="Taxi tricycle hotel -parking,départ pour voumba"/>
    <s v="Transport"/>
    <s v="Investigation"/>
    <n v="700"/>
    <n v="1.2880954221088698"/>
    <n v="543.43799999999999"/>
    <s v="P29"/>
    <s v="P29-O-D1"/>
    <s v="PALF"/>
    <x v="5"/>
    <s v="Congo"/>
    <m/>
    <m/>
    <m/>
  </r>
  <r>
    <x v="258"/>
    <s v="Taxi tricycle parking-hotel,arrivé à ivoumba"/>
    <s v="Transport"/>
    <s v="Investigation"/>
    <n v="700"/>
    <n v="1.2880954221088698"/>
    <n v="543.43799999999999"/>
    <s v="P29"/>
    <s v="P29-O-D1"/>
    <s v="PALF"/>
    <x v="5"/>
    <s v="Congo"/>
    <m/>
    <m/>
    <m/>
  </r>
  <r>
    <x v="258"/>
    <s v="P29 -CONGO Frais d'hotel du 16 au 18/10/2025 à Lefini (02 Nuitées)"/>
    <s v="Travel Subsistence"/>
    <s v="Investigation"/>
    <n v="30000"/>
    <n v="55.204089518951562"/>
    <n v="543.43799999999999"/>
    <s v="P29"/>
    <s v="P29-O-R11"/>
    <s v="PALF"/>
    <x v="5"/>
    <s v="Congo"/>
    <m/>
    <m/>
    <m/>
  </r>
  <r>
    <x v="258"/>
    <s v="Taxi : hotel la provence - marché siafoumou ( prospection à Pointe noire)"/>
    <s v="Transport"/>
    <s v="Investigation"/>
    <n v="1000"/>
    <n v="1.8401363172983856"/>
    <n v="543.43799999999999"/>
    <s v="T73"/>
    <s v="T73-O-D1"/>
    <s v="PALF"/>
    <x v="5"/>
    <s v="Congo"/>
    <m/>
    <m/>
    <m/>
  </r>
  <r>
    <x v="258"/>
    <s v="Taxi : marché siafoumou - terre jaune ( prospection à Pointe noire)"/>
    <s v="Transport"/>
    <s v="Investigation"/>
    <n v="1000"/>
    <n v="1.8401363172983856"/>
    <n v="543.43799999999999"/>
    <s v="T73"/>
    <s v="T73-O-D1"/>
    <s v="PALF"/>
    <x v="5"/>
    <s v="Congo"/>
    <m/>
    <m/>
    <m/>
  </r>
  <r>
    <x v="258"/>
    <s v="Taxi : terre jaune - louandjili ( prospection à Pointe noire)"/>
    <s v="Transport"/>
    <s v="Investigation"/>
    <n v="1000"/>
    <n v="1.8401363172983856"/>
    <n v="543.43799999999999"/>
    <s v="T73"/>
    <s v="T73-O-D1"/>
    <s v="PALF"/>
    <x v="5"/>
    <s v="Congo"/>
    <m/>
    <m/>
    <m/>
  </r>
  <r>
    <x v="258"/>
    <s v="Taxi : louandjili - hotel (fin de journée)"/>
    <s v="Transport"/>
    <s v="Investigation"/>
    <n v="1000"/>
    <n v="1.8401363172983856"/>
    <n v="543.43799999999999"/>
    <s v="T73"/>
    <s v="T73-O-D1"/>
    <s v="PALF"/>
    <x v="5"/>
    <s v="Congo"/>
    <m/>
    <m/>
    <m/>
  </r>
  <r>
    <x v="258"/>
    <s v="achat boisson /une cible"/>
    <s v="Trust building"/>
    <s v="Investigation"/>
    <n v="2000"/>
    <n v="3.6802726345967711"/>
    <n v="543.43799999999999"/>
    <s v="T73"/>
    <s v="T73-O-D2"/>
    <s v="PALF"/>
    <x v="5"/>
    <s v="Congo"/>
    <m/>
    <m/>
    <m/>
  </r>
  <r>
    <x v="258"/>
    <s v="T73 - CONGO Frais d'hotel du 16/10/2025 au 18/10/2025 à Pointe noire(02 Nuitées)"/>
    <s v="Travel subsistence"/>
    <s v="Investigation"/>
    <n v="30000"/>
    <n v="55.204089518951562"/>
    <n v="543.43799999999999"/>
    <s v="T73"/>
    <s v="T73-O-R7"/>
    <s v="PALF"/>
    <x v="5"/>
    <s v="Congo"/>
    <m/>
    <m/>
    <m/>
  </r>
  <r>
    <x v="258"/>
    <s v="IT87-CONGO Frais d'hôtel  du 16 au 18/10/2025 à Mouyondzi (02 nuitées)"/>
    <s v="Travel Subsistence"/>
    <s v="Investigation"/>
    <n v="30000"/>
    <n v="55.204089518951562"/>
    <n v="543.43799999999999"/>
    <s v="IT87"/>
    <s v="IT87-O-R4"/>
    <s v="PALF"/>
    <x v="5"/>
    <s v="Congo"/>
    <m/>
    <m/>
    <m/>
  </r>
  <r>
    <x v="258"/>
    <s v="Taxi tricycle : Hôtel - Gare routière/ Départ de Mouyondzi pour Madingou"/>
    <s v="Transport"/>
    <s v="Investigation"/>
    <n v="700"/>
    <n v="1.2880954221088698"/>
    <n v="543.43799999999999"/>
    <s v="IT87"/>
    <s v="IT87-O-D1"/>
    <s v="PALF"/>
    <x v="5"/>
    <s v="Congo"/>
    <m/>
    <m/>
    <m/>
  </r>
  <r>
    <x v="258"/>
    <s v="Achat billet Mouyondzi - Madingou/ IT87"/>
    <s v="Transport"/>
    <s v="Investigation"/>
    <n v="5000"/>
    <n v="9.2006815864919282"/>
    <n v="543.43799999999999"/>
    <s v="IT87"/>
    <s v="IT87-O-R5"/>
    <s v="PALF"/>
    <x v="5"/>
    <s v="Congo"/>
    <m/>
    <m/>
    <m/>
  </r>
  <r>
    <x v="258"/>
    <s v="Taxi tricycle : Parking - Hôtel Dzongo Bénoit/ Arrivé à Madingou"/>
    <s v="Transport"/>
    <s v="Investigation"/>
    <n v="700"/>
    <n v="1.2880954221088698"/>
    <n v="543.43799999999999"/>
    <s v="IT87"/>
    <s v="IT87-O-D1"/>
    <s v="PALF"/>
    <x v="5"/>
    <s v="Congo"/>
    <m/>
    <m/>
    <m/>
  </r>
  <r>
    <x v="258"/>
    <s v="Taxi tricycle : Hôtel - Quartier lobota/ Prospection"/>
    <s v="Transport"/>
    <s v="Investigation"/>
    <n v="700"/>
    <n v="1.2880954221088698"/>
    <n v="543.43799999999999"/>
    <s v="IT87"/>
    <s v="IT87-O-D1"/>
    <s v="PALF"/>
    <x v="5"/>
    <s v="Congo"/>
    <m/>
    <m/>
    <m/>
  </r>
  <r>
    <x v="258"/>
    <s v="Achat boisson avec une cible"/>
    <s v="Trust Building"/>
    <s v="Investigation"/>
    <n v="1500"/>
    <n v="2.7602044759475781"/>
    <n v="543.43799999999999"/>
    <s v="IT87"/>
    <s v="IT87-O-D2"/>
    <s v="PALF"/>
    <x v="5"/>
    <s v="Congo"/>
    <m/>
    <m/>
    <m/>
  </r>
  <r>
    <x v="258"/>
    <s v="Taxi tricycle : Quartier Lobota - Hôtel/ Retour de prospection"/>
    <s v="Transport"/>
    <s v="Investigation"/>
    <n v="700"/>
    <n v="1.2880954221088698"/>
    <n v="543.43799999999999"/>
    <s v="IT87"/>
    <s v="IT87-O-D1"/>
    <s v="PALF"/>
    <x v="5"/>
    <s v="Congo"/>
    <m/>
    <m/>
    <m/>
  </r>
  <r>
    <x v="258"/>
    <s v="CONGO frais d'hotel du 16 au 18 /10/2025 à Ouesso"/>
    <s v="Travel subsistence"/>
    <s v="Investigation"/>
    <n v="30000"/>
    <n v="55.204089518951562"/>
    <n v="543.43799999999999"/>
    <s v="G12"/>
    <s v="G12-O-R4"/>
    <s v="PALF"/>
    <x v="5"/>
    <s v="Congo"/>
    <m/>
    <m/>
    <m/>
  </r>
  <r>
    <x v="258"/>
    <s v="Taxi : Hotel - gare routière , depart pour pokola"/>
    <s v="Transport"/>
    <s v="Investigation"/>
    <n v="500"/>
    <n v="0.92006815864919278"/>
    <n v="543.43799999999999"/>
    <s v="G12"/>
    <s v="G12-O-D1"/>
    <s v="PALF"/>
    <x v="5"/>
    <s v="Congo"/>
    <m/>
    <m/>
    <m/>
  </r>
  <r>
    <x v="258"/>
    <s v="Achat billet :ouesso - pokola/G12"/>
    <s v="Transport"/>
    <s v="Investigation"/>
    <n v="5000"/>
    <n v="9.2006815864919282"/>
    <n v="543.43799999999999"/>
    <s v="G12"/>
    <s v="G12-O-R5"/>
    <s v="PALF"/>
    <x v="5"/>
    <s v="Congo"/>
    <m/>
    <m/>
    <m/>
  </r>
  <r>
    <x v="258"/>
    <s v="Achat billet : pokola - mboua/G12"/>
    <s v="Transport"/>
    <s v="Investigation"/>
    <n v="10000"/>
    <n v="18.401363172983856"/>
    <n v="543.43799999999999"/>
    <s v="G12"/>
    <s v="G12-O-R6"/>
    <s v="PALF"/>
    <x v="5"/>
    <s v="Congo"/>
    <m/>
    <m/>
    <m/>
  </r>
  <r>
    <x v="258"/>
    <s v="Taxi moto: Gare routière - hotel"/>
    <s v="Transport"/>
    <s v="Investigation"/>
    <n v="500"/>
    <n v="0.92006815864919278"/>
    <n v="543.43799999999999"/>
    <s v="G12"/>
    <s v="G12-O-D1"/>
    <s v="PALF"/>
    <x v="5"/>
    <s v="Congo"/>
    <m/>
    <m/>
    <m/>
  </r>
  <r>
    <x v="258"/>
    <s v="Donald-Roméo CONGO- Frais d'hôtel du 14 au 18/10/2025 à Dolisie (04 Nuitées)"/>
    <s v="Travel Subsistence"/>
    <s v="Legal"/>
    <n v="60000"/>
    <n v="110.40817903790312"/>
    <n v="543.43799999999999"/>
    <s v="Donald-Roméo"/>
    <s v="DR-O-R8"/>
    <s v="PALF"/>
    <x v="5"/>
    <s v="Congo"/>
    <m/>
    <m/>
    <m/>
  </r>
  <r>
    <x v="258"/>
    <s v="Taxi Hôtel le Pharaon-Agence Trans Bony/ Pour Brazzaville"/>
    <s v="Transport "/>
    <s v="Legal"/>
    <n v="1000"/>
    <n v="1.8401363172983856"/>
    <n v="543.43799999999999"/>
    <s v="Donald-Roméo"/>
    <s v="DR-O-D1"/>
    <s v="PALF"/>
    <x v="5"/>
    <s v="Congo"/>
    <m/>
    <m/>
    <m/>
  </r>
  <r>
    <x v="258"/>
    <s v="Taxi Agence Trans Bony-Domicile"/>
    <s v="Transport "/>
    <s v="Legal"/>
    <n v="1000"/>
    <n v="1.8401363172983856"/>
    <n v="543.43799999999999"/>
    <s v="Donald-Roméo"/>
    <s v="DR-O-D1"/>
    <s v="PALF"/>
    <x v="5"/>
    <s v="Congo"/>
    <m/>
    <m/>
    <m/>
  </r>
  <r>
    <x v="259"/>
    <s v="Taxi : hotel la provence - parking terre jaune ( départ pour madingo kaye)"/>
    <s v="Transport"/>
    <s v="Investigation"/>
    <n v="1500"/>
    <n v="2.7602044759475781"/>
    <n v="543.43799999999999"/>
    <s v="T73"/>
    <s v="T73-O-D1"/>
    <s v="PALF"/>
    <x v="5"/>
    <s v="Congo"/>
    <m/>
    <m/>
    <m/>
  </r>
  <r>
    <x v="259"/>
    <s v="Achat billet  pointe noire - Madingo kaye/T73"/>
    <s v="Transport"/>
    <s v="Investigation"/>
    <n v="5000"/>
    <n v="9.2006815864919282"/>
    <n v="543.43799999999999"/>
    <s v="T73"/>
    <s v="T73-O-R8"/>
    <s v="PALF"/>
    <x v="5"/>
    <s v="Congo"/>
    <m/>
    <m/>
    <m/>
  </r>
  <r>
    <x v="259"/>
    <s v="Taxi moto : parking - hotel lewezo"/>
    <s v="Transport"/>
    <s v="Investigation"/>
    <n v="500"/>
    <n v="0.92006815864919278"/>
    <n v="543.43799999999999"/>
    <s v="T73"/>
    <s v="T73-O-D1"/>
    <s v="PALF"/>
    <x v="5"/>
    <s v="Congo"/>
    <m/>
    <m/>
    <m/>
  </r>
  <r>
    <x v="259"/>
    <s v="Taxi moto : hotel lewezo - centre ville (prospection à Madingo kayes)"/>
    <s v="Transport"/>
    <s v="Investigation"/>
    <n v="500"/>
    <n v="0.92006815864919278"/>
    <n v="543.43799999999999"/>
    <s v="T73"/>
    <s v="T73-O-D1"/>
    <s v="PALF"/>
    <x v="5"/>
    <s v="Congo"/>
    <m/>
    <m/>
    <m/>
  </r>
  <r>
    <x v="259"/>
    <s v="Taxi moto : centre ville - marché (prospection)"/>
    <s v="Transport"/>
    <s v="Investigation"/>
    <n v="500"/>
    <n v="0.92006815864919278"/>
    <n v="543.43799999999999"/>
    <s v="T73"/>
    <s v="T73-O-D1"/>
    <s v="PALF"/>
    <x v="5"/>
    <s v="Congo"/>
    <m/>
    <m/>
    <m/>
  </r>
  <r>
    <x v="259"/>
    <s v="Taxi moto : marché - la zone de l'hopital (prospection)"/>
    <s v="Transport"/>
    <s v="Investigation"/>
    <n v="500"/>
    <n v="0.92006815864919278"/>
    <n v="543.43799999999999"/>
    <s v="T73"/>
    <s v="T73-O-D1"/>
    <s v="PALF"/>
    <x v="5"/>
    <s v="Congo"/>
    <m/>
    <m/>
    <m/>
  </r>
  <r>
    <x v="259"/>
    <s v="Taxi moto : la zone de l'hopital - hotel (fin de journée)"/>
    <s v="Transport"/>
    <s v="Investigation"/>
    <n v="500"/>
    <n v="0.92006815864919278"/>
    <n v="543.43799999999999"/>
    <s v="T73"/>
    <s v="T73-O-D1"/>
    <s v="PALF"/>
    <x v="5"/>
    <s v="Congo"/>
    <m/>
    <m/>
    <m/>
  </r>
  <r>
    <x v="259"/>
    <s v="Achat boissons (une cible)"/>
    <s v="Trust building"/>
    <s v="Investigation"/>
    <n v="2000"/>
    <n v="3.6802726345967711"/>
    <n v="543.43799999999999"/>
    <s v="T73"/>
    <s v="T73-O-D2"/>
    <s v="PALF"/>
    <x v="5"/>
    <s v="Congo"/>
    <m/>
    <m/>
    <m/>
  </r>
  <r>
    <x v="259"/>
    <s v="Taxi tricycle : Hôtel - Quartier Bacongo/ Rencontrer la cible"/>
    <s v="Transport"/>
    <s v="Investigation"/>
    <n v="700"/>
    <n v="1.2880954221088698"/>
    <n v="543.43799999999999"/>
    <s v="IT87"/>
    <s v="IT87-O-D1"/>
    <s v="PALF"/>
    <x v="5"/>
    <s v="Congo"/>
    <m/>
    <m/>
    <m/>
  </r>
  <r>
    <x v="259"/>
    <s v="Taxi tricycle : Quartier Bacongo - La poste/ Extraction"/>
    <s v="Transport"/>
    <s v="Investigation"/>
    <n v="700"/>
    <n v="1.2880954221088698"/>
    <n v="543.43799999999999"/>
    <s v="IT87"/>
    <s v="IT87-O-D1"/>
    <s v="PALF"/>
    <x v="5"/>
    <s v="Congo"/>
    <m/>
    <m/>
    <m/>
  </r>
  <r>
    <x v="259"/>
    <s v="Taxi tricycle : La poste - La gare/ Extraction"/>
    <s v="Transport"/>
    <s v="Investigation"/>
    <n v="700"/>
    <n v="1.2880954221088698"/>
    <n v="543.43799999999999"/>
    <s v="IT87"/>
    <s v="IT87-O-D1"/>
    <s v="PALF"/>
    <x v="5"/>
    <s v="Congo"/>
    <m/>
    <m/>
    <m/>
  </r>
  <r>
    <x v="259"/>
    <s v="Taxi tricycle : La gare - Hôtel/ Retour de la rencontre avec la cible"/>
    <s v="Transport"/>
    <s v="Investigation"/>
    <n v="700"/>
    <n v="1.2880954221088698"/>
    <n v="543.43799999999999"/>
    <s v="IT87"/>
    <s v="IT87-O-D1"/>
    <s v="PALF"/>
    <x v="5"/>
    <s v="Congo"/>
    <m/>
    <m/>
    <m/>
  </r>
  <r>
    <x v="259"/>
    <s v="Taxi moto : Hotel - l' école / prospection"/>
    <s v="Transport"/>
    <s v="Investigation"/>
    <n v="500"/>
    <n v="0.92006815864919278"/>
    <n v="543.43799999999999"/>
    <s v="G12"/>
    <s v="G12-O-D1"/>
    <s v="PALF"/>
    <x v="5"/>
    <s v="Congo"/>
    <m/>
    <m/>
    <m/>
  </r>
  <r>
    <x v="259"/>
    <s v="Taxi moto: Ecole - marché / prospection"/>
    <s v="Transport"/>
    <s v="Investigation"/>
    <n v="500"/>
    <n v="0.92006815864919278"/>
    <n v="543.43799999999999"/>
    <s v="G12"/>
    <s v="G12-O-D1"/>
    <s v="PALF"/>
    <x v="5"/>
    <s v="Congo"/>
    <m/>
    <m/>
    <m/>
  </r>
  <r>
    <x v="259"/>
    <s v="taxi moto: marché - quartier padoue  (prospection)"/>
    <s v="Transport"/>
    <s v="Investigation"/>
    <n v="500"/>
    <n v="0.92006815864919278"/>
    <n v="543.43799999999999"/>
    <s v="G12"/>
    <s v="G12-O-D1"/>
    <s v="PALF"/>
    <x v="5"/>
    <s v="Congo"/>
    <m/>
    <m/>
    <m/>
  </r>
  <r>
    <x v="259"/>
    <s v="Achat boisson 1 cible"/>
    <s v="Trust building"/>
    <s v="Investigation"/>
    <n v="1500"/>
    <n v="2.7602044759475781"/>
    <n v="543.43799999999999"/>
    <s v="G12"/>
    <s v="G12-O-D3"/>
    <s v="PALF"/>
    <x v="5"/>
    <s v="Congo"/>
    <m/>
    <m/>
    <m/>
  </r>
  <r>
    <x v="259"/>
    <s v="Taxi moto: Quartier padoue - hotel"/>
    <s v="Transport"/>
    <s v="Investigation"/>
    <n v="500"/>
    <n v="0.92006815864919278"/>
    <n v="543.43799999999999"/>
    <s v="G12"/>
    <s v="G12-O-D1"/>
    <s v="PALF"/>
    <x v="5"/>
    <s v="Congo"/>
    <m/>
    <m/>
    <m/>
  </r>
  <r>
    <x v="260"/>
    <s v="Maison-Bureau"/>
    <s v="Transport"/>
    <s v="Management"/>
    <n v="1000"/>
    <n v="1.8401363172983856"/>
    <n v="543.43799999999999"/>
    <s v="DOVI"/>
    <s v="DH-O-D1"/>
    <s v="PALF"/>
    <x v="5"/>
    <s v="Congo"/>
    <m/>
    <m/>
    <m/>
  </r>
  <r>
    <x v="260"/>
    <s v="Credit telephonique MTN/PALF/ du 20 au 26 octobre 2025/ DOVI"/>
    <s v="Telephone"/>
    <s v="Management"/>
    <n v="12500"/>
    <n v="23.001703966229819"/>
    <n v="543.43799999999999"/>
    <s v="DOVI"/>
    <s v="DH-O-R7"/>
    <s v="PALF"/>
    <x v="5"/>
    <s v="Congo"/>
    <m/>
    <m/>
    <m/>
  </r>
  <r>
    <x v="260"/>
    <s v="Bureau- Maison"/>
    <s v="Transport"/>
    <s v="Management"/>
    <n v="1000"/>
    <n v="1.8401363172983856"/>
    <n v="543.43799999999999"/>
    <s v="DOVI"/>
    <s v="DH-O-D1"/>
    <s v="PALF"/>
    <x v="5"/>
    <s v="Congo"/>
    <m/>
    <m/>
    <m/>
  </r>
  <r>
    <x v="260"/>
    <s v="Credit telephonique MTN PALF/du 20 au 26 octobre 2025/ crepin"/>
    <s v="Telephone"/>
    <s v="Legal"/>
    <n v="10000"/>
    <n v="18.401363172983856"/>
    <n v="543.43799999999999"/>
    <s v="Crépin"/>
    <s v="CR-O-R10"/>
    <s v="PALF"/>
    <x v="5"/>
    <s v="Congo"/>
    <m/>
    <m/>
    <m/>
  </r>
  <r>
    <x v="260"/>
    <s v="Bonus opération du 25/08/2025 à Dolisie/Crépin"/>
    <s v="Bonus"/>
    <s v="Operation"/>
    <n v="30000"/>
    <n v="55.204089518951562"/>
    <n v="543.43799999999999"/>
    <s v="Crépin"/>
    <s v="CA-O-D9"/>
    <s v="PALF"/>
    <x v="5"/>
    <s v="Congo"/>
    <m/>
    <m/>
    <m/>
  </r>
  <r>
    <x v="260"/>
    <s v="Taxi:  Bureau-Banque BCI/ Retrait espece 2025"/>
    <s v="Transport"/>
    <s v="Office"/>
    <n v="1000"/>
    <n v="1.8401363172983856"/>
    <n v="543.43799999999999"/>
    <s v="Parfaite"/>
    <s v="P-O-D1"/>
    <s v="PALF"/>
    <x v="5"/>
    <s v="Congo"/>
    <m/>
    <m/>
    <m/>
  </r>
  <r>
    <x v="260"/>
    <s v="Taxi:  Banque BCI - Direction MB2 Services / transfert d'argent à P29, T73 et G12"/>
    <s v="Transport"/>
    <s v="Office"/>
    <n v="1000"/>
    <n v="1.8401363172983856"/>
    <n v="543.43799999999999"/>
    <s v="Parfaite"/>
    <s v="P-O-D1"/>
    <s v="PALF"/>
    <x v="5"/>
    <s v="Congo"/>
    <m/>
    <m/>
    <m/>
  </r>
  <r>
    <x v="260"/>
    <s v="Taxi:Direction MB2 services - Direction MTN / Achat crédit bureau PALF"/>
    <s v="Transport"/>
    <s v="Office"/>
    <n v="1000"/>
    <n v="1.8401363172983856"/>
    <n v="543.43799999999999"/>
    <s v="Parfaite"/>
    <s v="P-O-D1"/>
    <s v="PALF"/>
    <x v="5"/>
    <s v="Congo"/>
    <m/>
    <m/>
    <m/>
  </r>
  <r>
    <x v="260"/>
    <s v="Taxi: Direction MTN-Bureau/"/>
    <s v="Transport"/>
    <s v="Office"/>
    <n v="1000"/>
    <n v="1.8401363172983856"/>
    <n v="543.43799999999999"/>
    <s v="Parfaite"/>
    <s v="P-O-D1"/>
    <s v="PALF"/>
    <x v="5"/>
    <s v="Congo"/>
    <m/>
    <m/>
    <m/>
  </r>
  <r>
    <x v="260"/>
    <s v="Credit teléphonique MTN PALF/ du 20 au 26 octobre 2025/ Parfaite"/>
    <s v="Telephone"/>
    <s v="Management"/>
    <n v="7500"/>
    <n v="13.801022379737891"/>
    <n v="543.43799999999999"/>
    <s v="Parfaite"/>
    <s v="P-O-R3"/>
    <s v="PALF"/>
    <x v="5"/>
    <s v="Congo"/>
    <m/>
    <m/>
    <m/>
  </r>
  <r>
    <x v="260"/>
    <s v="Frais de tansfert d'argent  a P29, T73 et G12 "/>
    <s v="Transfert fees"/>
    <s v="Office"/>
    <n v="9975"/>
    <n v="18.355359765051396"/>
    <n v="543.43799999999999"/>
    <s v="Parfaite"/>
    <s v="CA-O-R18"/>
    <s v="PALF"/>
    <x v="5"/>
    <s v="Congo"/>
    <m/>
    <m/>
    <m/>
  </r>
  <r>
    <x v="260"/>
    <s v="Achat encre HP Laser noir et couleur 216A"/>
    <s v="Office Materiels"/>
    <s v="Office"/>
    <n v="300000"/>
    <n v="552.0408951895156"/>
    <n v="543.43799999999999"/>
    <s v="Parfaite"/>
    <s v="CA-O-R19"/>
    <s v="PALF"/>
    <x v="5"/>
    <s v="Congo"/>
    <m/>
    <m/>
    <m/>
  </r>
  <r>
    <x v="260"/>
    <s v="Credit telephonique MTN PALF/ du 20 au 26 octobre 2025/ Investigation/P29"/>
    <s v="Telephone"/>
    <s v="Investigation"/>
    <n v="10000"/>
    <n v="18.401363172983856"/>
    <n v="543.43799999999999"/>
    <s v="P29"/>
    <s v="P29-O-R12"/>
    <s v="PALF"/>
    <x v="5"/>
    <s v="Congo"/>
    <m/>
    <m/>
    <m/>
  </r>
  <r>
    <x v="260"/>
    <s v="Taxi moto : hotel lewezo - marché (prospection)"/>
    <s v="Transport"/>
    <s v="Investigation"/>
    <n v="500"/>
    <n v="0.92006815864919278"/>
    <n v="543.43799999999999"/>
    <s v="T73"/>
    <s v="T73-O-D1"/>
    <s v="PALF"/>
    <x v="5"/>
    <s v="Congo"/>
    <m/>
    <m/>
    <m/>
  </r>
  <r>
    <x v="260"/>
    <s v="Taxi moto : marché - hotel (libére hotel)"/>
    <s v="Transport"/>
    <s v="Investigation"/>
    <n v="500"/>
    <n v="0.92006815864919278"/>
    <n v="543.43799999999999"/>
    <s v="T73"/>
    <s v="T73-O-D1"/>
    <s v="PALF"/>
    <x v="5"/>
    <s v="Congo"/>
    <m/>
    <m/>
    <m/>
  </r>
  <r>
    <x v="260"/>
    <s v="Taxi moto : hotel - parking (depart pour Nzasi)"/>
    <s v="Transport"/>
    <s v="Investigation"/>
    <n v="500"/>
    <n v="0.92006815864919278"/>
    <n v="543.43799999999999"/>
    <s v="T73"/>
    <s v="T73-O-D1"/>
    <s v="PALF"/>
    <x v="5"/>
    <s v="Congo"/>
    <m/>
    <m/>
    <m/>
  </r>
  <r>
    <x v="260"/>
    <s v="Achat billet  madingo kaye - Nzassi/T73"/>
    <s v="Transport"/>
    <s v="Investigation"/>
    <n v="12000"/>
    <n v="22.081635807580625"/>
    <n v="543.43799999999999"/>
    <s v="T73"/>
    <s v="T73-O-R9"/>
    <s v="PALF"/>
    <x v="5"/>
    <s v="Congo"/>
    <m/>
    <m/>
    <m/>
  </r>
  <r>
    <x v="260"/>
    <s v="Taxi moto : parking - hotel la concorde"/>
    <s v="Transport"/>
    <s v="Investigation"/>
    <n v="500"/>
    <n v="0.92006815864919278"/>
    <n v="543.43799999999999"/>
    <s v="T73"/>
    <s v="T73-O-D1"/>
    <s v="PALF"/>
    <x v="5"/>
    <s v="Congo"/>
    <m/>
    <m/>
    <m/>
  </r>
  <r>
    <x v="260"/>
    <s v="T73 - CONGO Frais d'hotel du 18/10/2025 au 20/10/2025 à Madingo kayes (02 Nuitées)"/>
    <s v="Travel subsistence"/>
    <s v="Investigation"/>
    <n v="30000"/>
    <n v="55.204089518951562"/>
    <n v="543.43799999999999"/>
    <s v="T73"/>
    <s v="T73-O-R10"/>
    <s v="PALF"/>
    <x v="5"/>
    <s v="Congo"/>
    <m/>
    <m/>
    <m/>
  </r>
  <r>
    <x v="260"/>
    <s v="Credit telephonique MTN PALF/ du 20 au 26 octobre  2025/ Investigation/T73"/>
    <s v="Telephone"/>
    <s v="Investigation"/>
    <n v="10000"/>
    <n v="18.401363172983856"/>
    <n v="543.43799999999999"/>
    <s v="T73"/>
    <s v="T73-O-R11"/>
    <s v="PALF"/>
    <x v="5"/>
    <s v="Congo"/>
    <m/>
    <m/>
    <m/>
  </r>
  <r>
    <x v="260"/>
    <s v="Taxi tricycle : Hôtel - La gare/ Rencontre avec une cible"/>
    <s v="Transport"/>
    <s v="Investigation"/>
    <n v="700"/>
    <n v="1.2880954221088698"/>
    <n v="543.43799999999999"/>
    <s v="IT87"/>
    <s v="IT87-O-D1"/>
    <s v="PALF"/>
    <x v="5"/>
    <s v="Congo"/>
    <m/>
    <m/>
    <m/>
  </r>
  <r>
    <x v="260"/>
    <s v="Achat repas et boissons avec une cible"/>
    <s v="Trust Building"/>
    <s v="Investigation"/>
    <n v="7000"/>
    <n v="12.880954221088698"/>
    <n v="543.43799999999999"/>
    <s v="IT87"/>
    <s v="IT87-O-D2"/>
    <s v="PALF"/>
    <x v="5"/>
    <s v="Congo"/>
    <m/>
    <m/>
    <m/>
  </r>
  <r>
    <x v="260"/>
    <s v="Taxi tricycle : La gare - La poste/ Extraction"/>
    <s v="Transport"/>
    <s v="Investigation"/>
    <n v="700"/>
    <n v="1.2880954221088698"/>
    <n v="543.43799999999999"/>
    <s v="IT87"/>
    <s v="IT87-O-D1"/>
    <s v="PALF"/>
    <x v="5"/>
    <s v="Congo"/>
    <m/>
    <m/>
    <m/>
  </r>
  <r>
    <x v="260"/>
    <s v="Taxi tricycle : La poste - Dakar/ Extraction"/>
    <s v="Transport"/>
    <s v="Investigation"/>
    <n v="700"/>
    <n v="1.2880954221088698"/>
    <n v="543.43799999999999"/>
    <s v="IT87"/>
    <s v="IT87-O-D1"/>
    <s v="PALF"/>
    <x v="5"/>
    <s v="Congo"/>
    <m/>
    <m/>
    <m/>
  </r>
  <r>
    <x v="260"/>
    <s v="Taxi tricycle : Dakar - Hôtel/ Retour de la rencontre"/>
    <s v="Transport"/>
    <s v="Investigation"/>
    <n v="700"/>
    <n v="1.2880954221088698"/>
    <n v="543.43799999999999"/>
    <s v="IT87"/>
    <s v="IT87-O-D1"/>
    <s v="PALF"/>
    <x v="5"/>
    <s v="Congo"/>
    <m/>
    <m/>
    <m/>
  </r>
  <r>
    <x v="260"/>
    <s v="Taxi tricycle : Hôtel - Charden Farell/ Retrait budget complémentaire"/>
    <s v="Transport"/>
    <s v="Investigation"/>
    <n v="700"/>
    <n v="1.2880954221088698"/>
    <n v="543.43799999999999"/>
    <s v="IT87"/>
    <s v="IT87-O-D1"/>
    <s v="PALF"/>
    <x v="5"/>
    <s v="Congo"/>
    <m/>
    <m/>
    <m/>
  </r>
  <r>
    <x v="260"/>
    <s v="Credit telephonique MTN PALF/du 06 au 12 octobre 2025/IT87"/>
    <s v="Telephone"/>
    <s v="Investigation"/>
    <n v="10000"/>
    <n v="18.401363172983856"/>
    <n v="543.43799999999999"/>
    <s v="IT87"/>
    <s v="IT87-O-R6"/>
    <s v="PALF"/>
    <x v="5"/>
    <s v="Congo"/>
    <m/>
    <m/>
    <m/>
  </r>
  <r>
    <x v="260"/>
    <s v="Taxi tricycle : Charden Farel - Hôtel/ Retour du retrait d'argent"/>
    <s v="Transport"/>
    <s v="Investigation"/>
    <n v="700"/>
    <n v="1.2880954221088698"/>
    <n v="543.43799999999999"/>
    <s v="IT87"/>
    <s v="IT87-O-D1"/>
    <s v="PALF"/>
    <x v="5"/>
    <s v="Congo"/>
    <m/>
    <m/>
    <m/>
  </r>
  <r>
    <x v="260"/>
    <s v="Taxi moto : Hotel - zone de la policie /prospection"/>
    <s v="Transport"/>
    <s v="Investigation"/>
    <n v="500"/>
    <n v="0.92006815864919278"/>
    <n v="543.43799999999999"/>
    <s v="G12"/>
    <s v="G12-O-D1"/>
    <s v="PALF"/>
    <x v="5"/>
    <s v="Congo"/>
    <m/>
    <m/>
    <m/>
  </r>
  <r>
    <x v="260"/>
    <s v="Taxi moto: Zone de police  - quartier obengué/prospection"/>
    <s v="Transport"/>
    <s v="Investigation"/>
    <n v="500"/>
    <n v="0.92006815864919278"/>
    <n v="543.43799999999999"/>
    <s v="G12"/>
    <s v="G12-O-D1"/>
    <s v="PALF"/>
    <x v="5"/>
    <s v="Congo"/>
    <m/>
    <m/>
    <m/>
  </r>
  <r>
    <x v="260"/>
    <s v="Achat boisson 1 cible"/>
    <s v="Trust building"/>
    <s v="Investigation"/>
    <n v="1500"/>
    <n v="2.7602044759475781"/>
    <n v="543.43799999999999"/>
    <s v="G12"/>
    <s v="G12-O-D3"/>
    <s v="PALF"/>
    <x v="5"/>
    <s v="Congo"/>
    <m/>
    <m/>
    <m/>
  </r>
  <r>
    <x v="260"/>
    <s v="Taxi moto: Quartier obengué - zone du collège  / prospection"/>
    <s v="Transport"/>
    <s v="Investigation"/>
    <n v="500"/>
    <n v="0.92006815864919278"/>
    <n v="543.43799999999999"/>
    <s v="G12"/>
    <s v="G12-O-D1"/>
    <s v="PALF"/>
    <x v="5"/>
    <s v="Congo"/>
    <m/>
    <m/>
    <m/>
  </r>
  <r>
    <x v="260"/>
    <s v="Taxi moto : Zone du collège - hotel"/>
    <s v="Transport"/>
    <s v="Investigation"/>
    <n v="500"/>
    <n v="0.92006815864919278"/>
    <n v="543.43799999999999"/>
    <s v="G12"/>
    <s v="G12-O-D1"/>
    <s v="PALF"/>
    <x v="5"/>
    <s v="Congo"/>
    <m/>
    <m/>
    <m/>
  </r>
  <r>
    <x v="260"/>
    <s v="Credit telephonique MTN PALF/du 20 au 26 octobre 2025/G12"/>
    <s v="Telephone"/>
    <s v="Investigation"/>
    <n v="10000"/>
    <n v="18.401363172983856"/>
    <n v="543.43799999999999"/>
    <s v="G12"/>
    <s v="G12-O-R7"/>
    <s v="PALF"/>
    <x v="5"/>
    <s v="Congo"/>
    <m/>
    <m/>
    <m/>
  </r>
  <r>
    <x v="260"/>
    <s v="Credit telephonique MTN PALF/ du 20  au 26 octobre 2025/Abraham"/>
    <s v="Telephone"/>
    <s v="Legal"/>
    <n v="7500"/>
    <n v="13.801022379737891"/>
    <n v="543.43799999999999"/>
    <s v="Abraham"/>
    <s v="AB-O-R3"/>
    <s v="PALF"/>
    <x v="5"/>
    <s v="Congo"/>
    <m/>
    <m/>
    <m/>
  </r>
  <r>
    <x v="260"/>
    <s v="Achat eau mineral 10 LITRES/Bureau"/>
    <s v="Office Materiels"/>
    <s v="Office"/>
    <n v="25000"/>
    <n v="46.003407932459638"/>
    <n v="543.43799999999999"/>
    <s v="Abraham"/>
    <s v="CA-O-R20"/>
    <s v="PALF"/>
    <x v="5"/>
    <s v="Congo"/>
    <m/>
    <m/>
    <m/>
  </r>
  <r>
    <x v="260"/>
    <s v="Taxi:Bureau-Charden Farrel pour un transfert de fonds "/>
    <s v="Transport"/>
    <s v="Legal"/>
    <n v="500"/>
    <n v="0.92006815864919278"/>
    <n v="543.43799999999999"/>
    <s v="Roderlin"/>
    <s v="RO-O-D1"/>
    <s v="PALF"/>
    <x v="5"/>
    <s v="Congo"/>
    <m/>
    <m/>
    <m/>
  </r>
  <r>
    <x v="260"/>
    <s v="Taxi:Charden Farrel-Bureau"/>
    <s v="Transport"/>
    <s v="Legal"/>
    <n v="500"/>
    <n v="0.92006815864919278"/>
    <n v="543.43799999999999"/>
    <s v="Roderlin"/>
    <s v="RO-O-D1"/>
    <s v="PALF"/>
    <x v="5"/>
    <s v="Congo"/>
    <m/>
    <m/>
    <m/>
  </r>
  <r>
    <x v="260"/>
    <s v="Credit telephonique MTN PALF/du 20 au 26 octobre 2025/Roderlin"/>
    <s v="Telephone"/>
    <s v="Legal"/>
    <n v="7500"/>
    <n v="13.801022379737891"/>
    <n v="543.43799999999999"/>
    <s v="Roderlin"/>
    <s v="RO-O-R3"/>
    <s v="PALF"/>
    <x v="5"/>
    <s v="Congo"/>
    <m/>
    <m/>
    <m/>
  </r>
  <r>
    <x v="260"/>
    <s v="Frais de tansfert d'argent  a IT87 "/>
    <s v="Transfert fees"/>
    <s v="Office"/>
    <n v="1560"/>
    <n v="2.8706126549854813"/>
    <n v="543.43799999999999"/>
    <s v="Roderlin"/>
    <s v="CA-O-R17"/>
    <s v="PALF"/>
    <x v="5"/>
    <s v="Congo"/>
    <m/>
    <m/>
    <m/>
  </r>
  <r>
    <x v="260"/>
    <s v="Credit telephonique MTN PALF/ du 20 au 26 octobre 2025"/>
    <s v="Telephone"/>
    <s v="Legal"/>
    <n v="10000"/>
    <n v="18.401363172983856"/>
    <n v="543.43799999999999"/>
    <s v="Donald-Roméo"/>
    <s v="DR-O-R9"/>
    <s v="PALF"/>
    <x v="5"/>
    <s v="Congo"/>
    <m/>
    <m/>
    <m/>
  </r>
  <r>
    <x v="260"/>
    <s v="Bonus opération du 25/08/2025 à Dolisie/Donald-Roméo"/>
    <s v="Bonus"/>
    <s v="Operation"/>
    <n v="30000"/>
    <n v="55.204089518951562"/>
    <n v="543.43799999999999"/>
    <s v="Donald-Roméo"/>
    <s v="CA-O-D10"/>
    <s v="PALF"/>
    <x v="5"/>
    <s v="Congo"/>
    <m/>
    <m/>
    <m/>
  </r>
  <r>
    <x v="260"/>
    <s v="Credit telephonique MTN PALF/du 20  au 26 octobre 2025/ Evariste"/>
    <s v="Telephone"/>
    <s v="Media"/>
    <n v="10000"/>
    <n v="18.401363172983856"/>
    <n v="543.43799999999999"/>
    <s v="Evariste"/>
    <s v="EV-O-R6"/>
    <s v="PALF"/>
    <x v="5"/>
    <s v="Congo"/>
    <m/>
    <m/>
    <m/>
  </r>
  <r>
    <x v="260"/>
    <s v="Bonus opération du 04/10/2025 à Dolisie/Evariste"/>
    <s v="Bonus"/>
    <s v="Operation"/>
    <n v="30000"/>
    <n v="55.204089518951562"/>
    <n v="543.43799999999999"/>
    <s v="Evariste"/>
    <s v="CA-O-D8"/>
    <s v="PALF"/>
    <x v="5"/>
    <s v="Congo"/>
    <m/>
    <m/>
    <m/>
  </r>
  <r>
    <x v="260"/>
    <s v="Credit telephonique MTN PALF/du 20 au 26 octobre 2025/Romain"/>
    <s v="Telephone"/>
    <s v="Legal"/>
    <n v="7500"/>
    <n v="13.801022379737891"/>
    <n v="543.43799999999999"/>
    <s v="Romain"/>
    <s v="RM-O-R6"/>
    <s v="PALF"/>
    <x v="5"/>
    <s v="Congo"/>
    <m/>
    <m/>
    <m/>
  </r>
  <r>
    <x v="260"/>
    <s v="Paiement Honoraire Me LOCKO/Mois de septembre  2025/3654447"/>
    <s v="Lawyer Fees"/>
    <s v="Legal"/>
    <n v="150000"/>
    <n v="276.0204475947578"/>
    <n v="543.43799999999999"/>
    <s v="BCI"/>
    <s v="BQ-O-R22"/>
    <s v="PALF"/>
    <x v="5"/>
    <s v="Congo"/>
    <m/>
    <m/>
    <m/>
  </r>
  <r>
    <x v="260"/>
    <s v="Paiement salaire du mois de septembre 2025/BAVOUMINA NZOUSSI Dina Parfaite/4527703"/>
    <s v="Personnel"/>
    <s v="Office"/>
    <n v="258800"/>
    <n v="476.22727891682217"/>
    <n v="543.43799999999999"/>
    <s v="BCI"/>
    <s v="BQ-O-R23"/>
    <s v="PALF"/>
    <x v="5"/>
    <s v="Congo"/>
    <m/>
    <m/>
    <m/>
  </r>
  <r>
    <x v="261"/>
    <s v="Maison-Bureau"/>
    <s v="Transport"/>
    <s v="Management"/>
    <n v="1000"/>
    <n v="1.8401363172983856"/>
    <n v="543.43799999999999"/>
    <s v="DOVI"/>
    <s v="DH-O-D1"/>
    <s v="PALF"/>
    <x v="5"/>
    <s v="Congo"/>
    <m/>
    <m/>
    <m/>
  </r>
  <r>
    <x v="261"/>
    <s v="Bureau-Maison"/>
    <s v="Transport"/>
    <s v="Management"/>
    <n v="1000"/>
    <n v="1.8401363172983856"/>
    <n v="543.43799999999999"/>
    <s v="DOVI"/>
    <s v="DH-O-D1"/>
    <s v="PALF"/>
    <x v="5"/>
    <s v="Congo"/>
    <m/>
    <m/>
    <m/>
  </r>
  <r>
    <x v="261"/>
    <s v="Taxi: Domicile Mayanga (OMS)-Total pour signature des pièces comptables après l'appel de la comptable (Jour de recupération)."/>
    <s v="Transport"/>
    <s v="Legal"/>
    <n v="1500"/>
    <n v="2.7602044759475781"/>
    <n v="543.43799999999999"/>
    <s v="Crépin"/>
    <s v="CR-O-D1"/>
    <s v="PALF"/>
    <x v="5"/>
    <s v="Congo"/>
    <m/>
    <m/>
    <m/>
  </r>
  <r>
    <x v="261"/>
    <s v="Taxi: Total-Bureau"/>
    <s v="Transport"/>
    <s v="Legal"/>
    <n v="1000"/>
    <n v="1.8401363172983856"/>
    <n v="543.43799999999999"/>
    <s v="Crépin"/>
    <s v="CR-O-D1"/>
    <s v="PALF"/>
    <x v="5"/>
    <s v="Congo"/>
    <m/>
    <m/>
    <m/>
  </r>
  <r>
    <x v="261"/>
    <s v="Taxi: Bureau-Total pour mon domicile"/>
    <s v="Transport"/>
    <s v="Legal"/>
    <n v="1000"/>
    <n v="1.8401363172983856"/>
    <n v="543.43799999999999"/>
    <s v="Crépin"/>
    <s v="CR-O-D1"/>
    <s v="PALF"/>
    <x v="5"/>
    <s v="Congo"/>
    <m/>
    <m/>
    <m/>
  </r>
  <r>
    <x v="261"/>
    <s v="Taxi: Total-Domicile"/>
    <s v="Transport"/>
    <s v="Legal"/>
    <n v="1500"/>
    <n v="2.7602044759475781"/>
    <n v="543.43799999999999"/>
    <s v="Crépin"/>
    <s v="CR-O-D1"/>
    <s v="PALF"/>
    <x v="5"/>
    <s v="Congo"/>
    <m/>
    <m/>
    <m/>
  </r>
  <r>
    <x v="261"/>
    <s v="P29 -CONGO Frais d'hotel du 18 au 21/10/2025 à Ivoumba (03 Nuitées)"/>
    <s v="Travel Subsistence"/>
    <s v="Investigation"/>
    <n v="45000"/>
    <n v="82.806134278427351"/>
    <n v="543.43799999999999"/>
    <s v="P29"/>
    <s v="P29-O-R13"/>
    <s v="PALF"/>
    <x v="5"/>
    <s v="Congo"/>
    <m/>
    <m/>
    <m/>
  </r>
  <r>
    <x v="261"/>
    <s v="Achat billet Ivoumba-Nkayi"/>
    <s v="Transport"/>
    <s v="Investigation"/>
    <n v="12000"/>
    <n v="22.081635807580625"/>
    <n v="543.43799999999999"/>
    <s v="P29"/>
    <s v="P29-O-R14"/>
    <s v="PALF"/>
    <x v="5"/>
    <s v="Congo"/>
    <m/>
    <m/>
    <m/>
  </r>
  <r>
    <x v="261"/>
    <s v="Taxi tricycle hotel-parking,départ nkayi"/>
    <s v="Transport"/>
    <s v="Investigation"/>
    <n v="700"/>
    <n v="1.2880954221088698"/>
    <n v="543.43799999999999"/>
    <s v="P29"/>
    <s v="P29-O-D1"/>
    <s v="PALF"/>
    <x v="5"/>
    <s v="Congo"/>
    <m/>
    <m/>
    <m/>
  </r>
  <r>
    <x v="261"/>
    <s v="Taxi parking RN-hotel,arrivé à nkayi"/>
    <s v="Transport"/>
    <s v="Investigation"/>
    <n v="1500"/>
    <n v="2.7602044759475781"/>
    <n v="543.43799999999999"/>
    <s v="P29"/>
    <s v="P29-O-D1"/>
    <s v="PALF"/>
    <x v="5"/>
    <s v="Congo"/>
    <m/>
    <m/>
    <m/>
  </r>
  <r>
    <x v="261"/>
    <s v="Taxi moto : hotel la concorde - marché (prospection à Nzassi)"/>
    <s v="Transport"/>
    <s v="Investigation"/>
    <n v="500"/>
    <n v="0.92006815864919278"/>
    <n v="543.43799999999999"/>
    <s v="T73"/>
    <s v="T73-O-D1"/>
    <s v="PALF"/>
    <x v="5"/>
    <s v="Congo"/>
    <m/>
    <m/>
    <m/>
  </r>
  <r>
    <x v="261"/>
    <s v="Taxi moto : marché - zone du lycée (prospection à Nzassi)"/>
    <s v="Transport"/>
    <s v="Investigation"/>
    <n v="500"/>
    <n v="0.92006815864919278"/>
    <n v="543.43799999999999"/>
    <s v="T73"/>
    <s v="T73-O-D1"/>
    <s v="PALF"/>
    <x v="5"/>
    <s v="Congo"/>
    <m/>
    <m/>
    <m/>
  </r>
  <r>
    <x v="261"/>
    <s v="Taxi moto : zone du lycée - centre ville (prospection à Nzassi)"/>
    <s v="Transport"/>
    <s v="Investigation"/>
    <n v="500"/>
    <n v="0.92006815864919278"/>
    <n v="543.43799999999999"/>
    <s v="T73"/>
    <s v="T73-O-D1"/>
    <s v="PALF"/>
    <x v="5"/>
    <s v="Congo"/>
    <m/>
    <m/>
    <m/>
  </r>
  <r>
    <x v="261"/>
    <s v="Taxi moto : centre ville - carrefour (prospection à Nzassi)"/>
    <s v="Transport"/>
    <s v="Investigation"/>
    <n v="500"/>
    <n v="0.92006815864919278"/>
    <n v="543.43799999999999"/>
    <s v="T73"/>
    <s v="T73-O-D1"/>
    <s v="PALF"/>
    <x v="5"/>
    <s v="Congo"/>
    <m/>
    <m/>
    <m/>
  </r>
  <r>
    <x v="261"/>
    <s v="Taxi moto : carrefour - hotel (fin de journée)"/>
    <s v="Transport"/>
    <s v="Investigation"/>
    <n v="500"/>
    <n v="0.92006815864919278"/>
    <n v="543.43799999999999"/>
    <s v="T73"/>
    <s v="T73-O-D1"/>
    <s v="PALF"/>
    <x v="5"/>
    <s v="Congo"/>
    <m/>
    <m/>
    <m/>
  </r>
  <r>
    <x v="261"/>
    <s v="Achat boissons (une cible)"/>
    <s v="Trust building"/>
    <s v="Investigation"/>
    <n v="1500"/>
    <n v="2.7602044759475781"/>
    <n v="543.43799999999999"/>
    <s v="T73"/>
    <s v="T73-O-D2"/>
    <s v="PALF"/>
    <x v="5"/>
    <s v="Congo"/>
    <m/>
    <m/>
    <m/>
  </r>
  <r>
    <x v="261"/>
    <s v="Taxi tricycle : Hôtel - Parking/ Départ de Madingou pour Bouansa"/>
    <s v="Transport"/>
    <s v="Investigation"/>
    <n v="700"/>
    <n v="1.2880954221088698"/>
    <n v="543.43799999999999"/>
    <s v="IT87"/>
    <s v="IT87-O-D1"/>
    <s v="PALF"/>
    <x v="5"/>
    <s v="Congo"/>
    <m/>
    <m/>
    <m/>
  </r>
  <r>
    <x v="261"/>
    <s v="Achat billet Madingou - Bouansa/ IT87"/>
    <s v="Transport"/>
    <s v="Investigation"/>
    <n v="2000"/>
    <n v="3.6802726345967711"/>
    <n v="543.43799999999999"/>
    <s v="IT87"/>
    <s v="IT87-O-R7"/>
    <s v="PALF"/>
    <x v="5"/>
    <s v="Congo"/>
    <m/>
    <m/>
    <m/>
  </r>
  <r>
    <x v="261"/>
    <s v="Taxi moto : Parking - Gare/ Prospection"/>
    <s v="Transport"/>
    <s v="Investigation"/>
    <n v="500"/>
    <n v="0.92006815864919278"/>
    <n v="543.43799999999999"/>
    <s v="IT87"/>
    <s v="IT87-O-D1"/>
    <s v="PALF"/>
    <x v="5"/>
    <s v="Congo"/>
    <m/>
    <m/>
    <m/>
  </r>
  <r>
    <x v="261"/>
    <s v="Taxi moto : Gare - Badondo/ Prospection"/>
    <s v="Transport"/>
    <s v="Investigation"/>
    <n v="500"/>
    <n v="0.92006815864919278"/>
    <n v="543.43799999999999"/>
    <s v="IT87"/>
    <s v="IT87-O-D1"/>
    <s v="PALF"/>
    <x v="5"/>
    <s v="Congo"/>
    <m/>
    <m/>
    <m/>
  </r>
  <r>
    <x v="261"/>
    <s v="Taxi moto : Badondo - RN1/ Départ de Bouansa pour Madingou"/>
    <s v="Transport"/>
    <s v="Investigation"/>
    <n v="500"/>
    <n v="0.92006815864919278"/>
    <n v="543.43799999999999"/>
    <s v="IT87"/>
    <s v="IT87-O-D1"/>
    <s v="PALF"/>
    <x v="5"/>
    <s v="Congo"/>
    <m/>
    <m/>
    <m/>
  </r>
  <r>
    <x v="261"/>
    <s v="Achat billet Bouansa - Madingou/ IT87"/>
    <s v="Transport"/>
    <s v="Investigation"/>
    <n v="2000"/>
    <n v="3.6802726345967711"/>
    <n v="543.43799999999999"/>
    <s v="IT87"/>
    <s v="IT87-O-R8"/>
    <s v="PALF"/>
    <x v="5"/>
    <s v="Congo"/>
    <m/>
    <m/>
    <m/>
  </r>
  <r>
    <x v="261"/>
    <s v="Taxi tricycle : La poste - Hôtel/ Retour de prospection"/>
    <s v="Transport"/>
    <s v="Investigation"/>
    <n v="700"/>
    <n v="1.2880954221088698"/>
    <n v="543.43799999999999"/>
    <s v="IT87"/>
    <s v="IT87-O-D1"/>
    <s v="PALF"/>
    <x v="5"/>
    <s v="Congo"/>
    <m/>
    <m/>
    <m/>
  </r>
  <r>
    <x v="261"/>
    <s v="CONGO frais d'hotel du 18 au 21 /10/2025 à Mboua"/>
    <s v="Travel subsistence"/>
    <s v="Investigation"/>
    <n v="45000"/>
    <n v="82.806134278427351"/>
    <n v="543.43799999999999"/>
    <s v="G12"/>
    <s v="G12-O-R8"/>
    <s v="PALF"/>
    <x v="5"/>
    <s v="Congo"/>
    <m/>
    <m/>
    <m/>
  </r>
  <r>
    <x v="261"/>
    <s v="Achat billet mboua - pokola/G12"/>
    <s v="Transport"/>
    <s v="Investigation"/>
    <n v="10000"/>
    <n v="18.401363172983856"/>
    <n v="543.43799999999999"/>
    <s v="G12"/>
    <s v="G12-O-R9"/>
    <s v="PALF"/>
    <x v="5"/>
    <s v="Congo"/>
    <m/>
    <m/>
    <m/>
  </r>
  <r>
    <x v="261"/>
    <s v="Taxi moto: Hotel - gare routière / depart pour pokola"/>
    <s v="Transport"/>
    <s v="Investigation"/>
    <n v="500"/>
    <n v="0.92006815864919278"/>
    <n v="543.43799999999999"/>
    <s v="G12"/>
    <s v="G12-O-D1"/>
    <s v="PALF"/>
    <x v="5"/>
    <s v="Congo"/>
    <m/>
    <m/>
    <m/>
  </r>
  <r>
    <x v="261"/>
    <s v="Taxi moto: Gare routière - hotel"/>
    <s v="Transport"/>
    <s v="Investigation"/>
    <n v="500"/>
    <n v="0.92006815864919278"/>
    <n v="543.43799999999999"/>
    <s v="G12"/>
    <s v="G12-O-D1"/>
    <s v="PALF"/>
    <x v="5"/>
    <s v="Congo"/>
    <m/>
    <m/>
    <m/>
  </r>
  <r>
    <x v="261"/>
    <s v="Taxi: Bureau-Station X-oil Pâte d'oie"/>
    <s v="Transport"/>
    <s v="Legal"/>
    <n v="1000"/>
    <n v="1.8401363172983856"/>
    <n v="543.43799999999999"/>
    <s v="Abraham"/>
    <s v="AB-O-D1"/>
    <s v="PALF"/>
    <x v="5"/>
    <s v="Congo"/>
    <m/>
    <m/>
    <m/>
  </r>
  <r>
    <x v="261"/>
    <s v="Taxi: Station X-oil Pâte d'oie-Station X-oil Plateau Ville"/>
    <s v="Transport"/>
    <s v="Legal"/>
    <n v="1500"/>
    <n v="2.7602044759475781"/>
    <n v="543.43799999999999"/>
    <s v="Abraham"/>
    <s v="AB-O-D1"/>
    <s v="PALF"/>
    <x v="5"/>
    <s v="Congo"/>
    <m/>
    <m/>
    <m/>
  </r>
  <r>
    <x v="261"/>
    <s v="Taxi: Station X-oil Plateau Ville-Station total energies Centre Ville"/>
    <s v="Transport"/>
    <s v="Legal"/>
    <n v="1500"/>
    <n v="2.7602044759475781"/>
    <n v="543.43799999999999"/>
    <s v="Abraham"/>
    <s v="AB-O-D1"/>
    <s v="PALF"/>
    <x v="5"/>
    <s v="Congo"/>
    <m/>
    <m/>
    <m/>
  </r>
  <r>
    <x v="261"/>
    <s v="Taxi: Station total energies Centre Ville-Station SNPC Marché Total"/>
    <s v="Transport"/>
    <s v="Legal"/>
    <n v="2000"/>
    <n v="3.6802726345967711"/>
    <n v="543.43799999999999"/>
    <s v="Abraham"/>
    <s v="AB-O-D1"/>
    <s v="PALF"/>
    <x v="5"/>
    <s v="Congo"/>
    <m/>
    <m/>
    <m/>
  </r>
  <r>
    <x v="261"/>
    <s v="Taxi: Station SNPC Marché Total-Station X-oil Kisito"/>
    <s v="Transport"/>
    <s v="Legal"/>
    <n v="1500"/>
    <n v="2.7602044759475781"/>
    <n v="543.43799999999999"/>
    <s v="Abraham"/>
    <s v="AB-O-D1"/>
    <s v="PALF"/>
    <x v="5"/>
    <s v="Congo"/>
    <m/>
    <m/>
    <m/>
  </r>
  <r>
    <x v="261"/>
    <s v="Taxi: Station X-oil Kisito-Station Total Energies Centre sportif"/>
    <s v="Transport"/>
    <s v="Legal"/>
    <n v="1500"/>
    <n v="2.7602044759475781"/>
    <n v="543.43799999999999"/>
    <s v="Abraham"/>
    <s v="AB-O-D1"/>
    <s v="PALF"/>
    <x v="5"/>
    <s v="Congo"/>
    <m/>
    <m/>
    <m/>
  </r>
  <r>
    <x v="261"/>
    <s v="Taxi: Station Total Energies Centre sportif-bureau"/>
    <s v="Transport"/>
    <s v="Legal"/>
    <n v="2000"/>
    <n v="3.6802726345967711"/>
    <n v="543.43799999999999"/>
    <s v="Abraham"/>
    <s v="AB-O-D1"/>
    <s v="PALF"/>
    <x v="5"/>
    <s v="Congo"/>
    <m/>
    <m/>
    <m/>
  </r>
  <r>
    <x v="261"/>
    <s v="Achat carburant groupe electrogène Bureau "/>
    <s v="Office Materiels"/>
    <s v="Office"/>
    <n v="31250"/>
    <n v="57.504259915574544"/>
    <n v="543.43799999999999"/>
    <s v="Abraham"/>
    <s v="CA-O-R21"/>
    <s v="PALF"/>
    <x v="5"/>
    <s v="Congo"/>
    <m/>
    <m/>
    <m/>
  </r>
  <r>
    <x v="261"/>
    <s v="Taxi:Bureau-Station NGANGA Edouard pour achat du carburant"/>
    <s v="Transport"/>
    <s v="Legal"/>
    <n v="1500"/>
    <n v="2.7602044759475781"/>
    <n v="543.43799999999999"/>
    <s v="Roderlin"/>
    <s v="RO-O-D1"/>
    <s v="PALF"/>
    <x v="5"/>
    <s v="Congo"/>
    <m/>
    <m/>
    <m/>
  </r>
  <r>
    <x v="261"/>
    <s v="Taxi:Station NGANGA Edouard-Station Ront-point moungali"/>
    <s v="Transport"/>
    <s v="Legal"/>
    <n v="1500"/>
    <n v="2.7602044759475781"/>
    <n v="543.43799999999999"/>
    <s v="Roderlin"/>
    <s v="RO-O-D1"/>
    <s v="PALF"/>
    <x v="5"/>
    <s v="Congo"/>
    <m/>
    <m/>
    <m/>
  </r>
  <r>
    <x v="261"/>
    <s v="Taxi:Station Ront-point moungali-Station marché moungali"/>
    <s v="Transport"/>
    <s v="Legal"/>
    <n v="1000"/>
    <n v="1.8401363172983856"/>
    <n v="543.43799999999999"/>
    <s v="Roderlin"/>
    <s v="RO-O-D1"/>
    <s v="PALF"/>
    <x v="5"/>
    <s v="Congo"/>
    <m/>
    <m/>
    <m/>
  </r>
  <r>
    <x v="261"/>
    <s v="Taxi:Station marché moungali-Station Mazala"/>
    <s v="Transport"/>
    <s v="Legal"/>
    <n v="1500"/>
    <n v="2.7602044759475781"/>
    <n v="543.43799999999999"/>
    <s v="Roderlin"/>
    <s v="RO-O-D1"/>
    <s v="PALF"/>
    <x v="5"/>
    <s v="Congo"/>
    <m/>
    <m/>
    <m/>
  </r>
  <r>
    <x v="261"/>
    <s v="Taxi:Station Mazala-Bureau"/>
    <s v="Transport"/>
    <s v="Legal"/>
    <n v="1500"/>
    <n v="2.7602044759475781"/>
    <n v="543.43799999999999"/>
    <s v="Roderlin"/>
    <s v="RO-O-D1"/>
    <s v="PALF"/>
    <x v="5"/>
    <s v="Congo"/>
    <m/>
    <m/>
    <m/>
  </r>
  <r>
    <x v="261"/>
    <s v="Achat carburant groupe electrogène Bureau "/>
    <s v="Office Materiels"/>
    <s v="Office"/>
    <n v="31250"/>
    <n v="57.504259915574544"/>
    <n v="543.43799999999999"/>
    <s v="Roderlin"/>
    <s v="CA-O-R22"/>
    <s v="PALF"/>
    <x v="5"/>
    <s v="Congo"/>
    <m/>
    <m/>
    <m/>
  </r>
  <r>
    <x v="261"/>
    <s v="Taxi Bureau-Marché total/ Reparer le téléphone"/>
    <s v="Transport "/>
    <s v="Legal"/>
    <n v="1000"/>
    <n v="1.8401363172983856"/>
    <n v="543.43799999999999"/>
    <s v="Donald-Roméo"/>
    <s v="DR-O-D1"/>
    <s v="PALF"/>
    <x v="5"/>
    <s v="Congo"/>
    <m/>
    <m/>
    <m/>
  </r>
  <r>
    <x v="261"/>
    <s v="Taxi Marché total-Bureau"/>
    <s v="Transport "/>
    <s v="Legal"/>
    <n v="1000"/>
    <n v="1.8401363172983856"/>
    <n v="543.43799999999999"/>
    <s v="Donald-Roméo"/>
    <s v="DR-O-D1"/>
    <s v="PALF"/>
    <x v="5"/>
    <s v="Congo"/>
    <m/>
    <m/>
    <m/>
  </r>
  <r>
    <x v="261"/>
    <s v="Frais de l'avis de recritement dans le depeches de Brazzaville"/>
    <s v="Publications"/>
    <s v="Office"/>
    <n v="27000"/>
    <n v="49.683680567056406"/>
    <n v="543.43799999999999"/>
    <s v="Evariste"/>
    <s v="CA-O-R23"/>
    <s v="PALF"/>
    <x v="5"/>
    <s v="Congo"/>
    <m/>
    <m/>
    <m/>
  </r>
  <r>
    <x v="261"/>
    <s v="Taxi, Bureau PALF-groupecongomedias.com"/>
    <s v="Transport"/>
    <s v="Media"/>
    <n v="1000"/>
    <n v="1.8401363172983856"/>
    <n v="543.43799999999999"/>
    <s v="Evariste"/>
    <s v="EV-O-D1"/>
    <s v="PALF"/>
    <x v="5"/>
    <s v="Congo"/>
    <m/>
    <m/>
    <m/>
  </r>
  <r>
    <x v="261"/>
    <s v="Taxi, groupecongomedias.com-Radio Citoyenne des jeunes"/>
    <s v="Transport"/>
    <s v="Media"/>
    <n v="1000"/>
    <n v="1.8401363172983856"/>
    <n v="543.43799999999999"/>
    <s v="Evariste"/>
    <s v="EV-O-D1"/>
    <s v="PALF"/>
    <x v="5"/>
    <s v="Congo"/>
    <m/>
    <m/>
    <m/>
  </r>
  <r>
    <x v="261"/>
    <s v="Taxi, Radio Citoyenne des Jeunes-Bureau PALF"/>
    <s v="Transport"/>
    <s v="Media"/>
    <n v="1000"/>
    <n v="1.8401363172983856"/>
    <n v="543.43799999999999"/>
    <s v="Evariste"/>
    <s v="EV-O-D1"/>
    <s v="PALF"/>
    <x v="5"/>
    <s v="Congo"/>
    <m/>
    <m/>
    <m/>
  </r>
  <r>
    <x v="261"/>
    <s v="Taxi, Bureau-Les Dépêches de Brazzaville"/>
    <s v="Transport"/>
    <s v="Media"/>
    <n v="1000"/>
    <n v="1.8401363172983856"/>
    <n v="543.43799999999999"/>
    <s v="Evariste"/>
    <s v="EV-O-D1"/>
    <s v="PALF"/>
    <x v="5"/>
    <s v="Congo"/>
    <m/>
    <m/>
    <m/>
  </r>
  <r>
    <x v="261"/>
    <s v="Taxi, les dépêches de Brazzaville-matinlibre.cg"/>
    <s v="Transport"/>
    <s v="Media"/>
    <n v="1000"/>
    <n v="1.8401363172983856"/>
    <n v="543.43799999999999"/>
    <s v="Evariste"/>
    <s v="EV-O-D1"/>
    <s v="PALF"/>
    <x v="5"/>
    <s v="Congo"/>
    <m/>
    <m/>
    <m/>
  </r>
  <r>
    <x v="261"/>
    <s v="Taxi, matinlibre.cg-La Semaine Africaine"/>
    <s v="Transport"/>
    <s v="Media"/>
    <n v="1000"/>
    <n v="1.8401363172983856"/>
    <n v="543.43799999999999"/>
    <s v="Evariste"/>
    <s v="EV-O-D1"/>
    <s v="PALF"/>
    <x v="5"/>
    <s v="Congo"/>
    <m/>
    <m/>
    <m/>
  </r>
  <r>
    <x v="261"/>
    <s v="Taxi, La Semaine Africaine-Bureau PALF"/>
    <s v="Transport"/>
    <s v="Media"/>
    <n v="1000"/>
    <n v="1.8401363172983856"/>
    <n v="543.43799999999999"/>
    <s v="Evariste"/>
    <s v="EV-O-D1"/>
    <s v="PALF"/>
    <x v="5"/>
    <s v="Congo"/>
    <m/>
    <m/>
    <m/>
  </r>
  <r>
    <x v="261"/>
    <s v="Taxi: Bureau-Cabinet Maitre BANZOUZI pour la signature du contrat d'avocat(affaire MOMBO Lionel)"/>
    <s v="Transport"/>
    <s v="Legal"/>
    <n v="1500"/>
    <n v="2.7602044759475781"/>
    <n v="543.43799999999999"/>
    <s v="Romain"/>
    <s v="RM-O-D1"/>
    <s v="PALF"/>
    <x v="5"/>
    <s v="Congo"/>
    <m/>
    <m/>
    <m/>
  </r>
  <r>
    <x v="262"/>
    <s v="Maison-Bureau"/>
    <s v="Transport"/>
    <s v="Management"/>
    <n v="1000"/>
    <n v="1.8401363172983856"/>
    <n v="543.43799999999999"/>
    <s v="DOVI"/>
    <s v="DH-O-D1"/>
    <s v="PALF"/>
    <x v="5"/>
    <s v="Congo"/>
    <m/>
    <m/>
    <m/>
  </r>
  <r>
    <x v="262"/>
    <s v="Maison-Bureau"/>
    <s v="Transport"/>
    <s v="Management"/>
    <n v="1000"/>
    <n v="1.8401363172983856"/>
    <n v="543.43799999999999"/>
    <s v="DOVI"/>
    <s v="DH-O-D1"/>
    <s v="PALF"/>
    <x v="5"/>
    <s v="Congo"/>
    <m/>
    <m/>
    <m/>
  </r>
  <r>
    <x v="262"/>
    <s v="Taxi:  Bureau-Banque BCI/ Retrait espece 2025"/>
    <s v="Transport"/>
    <s v="Office"/>
    <n v="1000"/>
    <n v="1.8401363172983856"/>
    <n v="543.43799999999999"/>
    <s v="Parfaite"/>
    <s v="P-O-D1"/>
    <s v="PALF"/>
    <x v="5"/>
    <s v="Congo"/>
    <m/>
    <m/>
    <m/>
  </r>
  <r>
    <x v="262"/>
    <s v="Taxi:  Banque BCI - Bureau"/>
    <s v="Transport"/>
    <s v="Office"/>
    <n v="1000"/>
    <n v="1.8401363172983856"/>
    <n v="543.43799999999999"/>
    <s v="Parfaite"/>
    <s v="P-O-D1"/>
    <s v="PALF"/>
    <x v="5"/>
    <s v="Congo"/>
    <m/>
    <m/>
    <m/>
  </r>
  <r>
    <x v="262"/>
    <s v="Taxi:  Bureau - Direction MB2 Services / transfert d'argent à T73 "/>
    <s v="Transport"/>
    <s v="Office"/>
    <n v="1000"/>
    <n v="1.8401363172983856"/>
    <n v="543.43799999999999"/>
    <s v="Parfaite"/>
    <s v="P-O-D1"/>
    <s v="PALF"/>
    <x v="5"/>
    <s v="Congo"/>
    <m/>
    <m/>
    <m/>
  </r>
  <r>
    <x v="262"/>
    <s v="Taxi:Direction MB2 services - Domicile"/>
    <s v="Transport"/>
    <s v="Office"/>
    <n v="1000"/>
    <n v="1.8401363172983856"/>
    <n v="543.43799999999999"/>
    <s v="Parfaite"/>
    <s v="P-O-D1"/>
    <s v="PALF"/>
    <x v="5"/>
    <s v="Congo"/>
    <m/>
    <m/>
    <m/>
  </r>
  <r>
    <x v="262"/>
    <s v="Frais de tansfert d'argent  a T73 par momo"/>
    <s v="Transfert fees"/>
    <s v="Office"/>
    <n v="2800"/>
    <n v="5.1523816884354794"/>
    <n v="543.43799999999999"/>
    <s v="Parfaite"/>
    <s v="CA-O-R25"/>
    <s v="PALF"/>
    <x v="5"/>
    <s v="Congo"/>
    <m/>
    <m/>
    <m/>
  </r>
  <r>
    <x v="262"/>
    <s v="Taxi hotel-dibidi,repérage"/>
    <s v="Transport"/>
    <s v="Investigation"/>
    <n v="1000"/>
    <n v="1.8401363172983856"/>
    <n v="543.43799999999999"/>
    <s v="P29"/>
    <s v="P29-O-D1"/>
    <s v="PALF"/>
    <x v="5"/>
    <s v="Congo"/>
    <m/>
    <m/>
    <m/>
  </r>
  <r>
    <x v="262"/>
    <s v="Taxi dibidi-3 martyrs,repérage"/>
    <s v="Transport"/>
    <s v="Investigation"/>
    <n v="1000"/>
    <n v="1.8401363172983856"/>
    <n v="543.43799999999999"/>
    <s v="P29"/>
    <s v="P29-O-D1"/>
    <s v="PALF"/>
    <x v="5"/>
    <s v="Congo"/>
    <m/>
    <m/>
    <m/>
  </r>
  <r>
    <x v="262"/>
    <s v="Taxi 3 martyrs-3 ceg,repérage"/>
    <s v="Transport"/>
    <s v="Investigation"/>
    <n v="1000"/>
    <n v="1.8401363172983856"/>
    <n v="543.43799999999999"/>
    <s v="P29"/>
    <s v="P29-O-D1"/>
    <s v="PALF"/>
    <x v="5"/>
    <s v="Congo"/>
    <m/>
    <m/>
    <m/>
  </r>
  <r>
    <x v="262"/>
    <s v="Taxi 3 ceg-la cabane,repérage"/>
    <s v="Transport"/>
    <s v="Investigation"/>
    <n v="1000"/>
    <n v="1.8401363172983856"/>
    <n v="543.43799999999999"/>
    <s v="P29"/>
    <s v="P29-O-D1"/>
    <s v="PALF"/>
    <x v="5"/>
    <s v="Congo"/>
    <m/>
    <m/>
    <m/>
  </r>
  <r>
    <x v="262"/>
    <s v="Taxi la cabane-capable,repérage"/>
    <s v="Transport"/>
    <s v="Investigation"/>
    <n v="1000"/>
    <n v="1.8401363172983856"/>
    <n v="543.43799999999999"/>
    <s v="P29"/>
    <s v="P29-O-D1"/>
    <s v="PALF"/>
    <x v="5"/>
    <s v="Congo"/>
    <m/>
    <m/>
    <m/>
  </r>
  <r>
    <x v="262"/>
    <s v="Taxi tricycle capable-cf,retrait des fonds"/>
    <s v="Transport"/>
    <s v="Investigation"/>
    <n v="700"/>
    <n v="1.2880954221088698"/>
    <n v="543.43799999999999"/>
    <s v="P29"/>
    <s v="P29-O-D1"/>
    <s v="PALF"/>
    <x v="5"/>
    <s v="Congo"/>
    <m/>
    <m/>
    <m/>
  </r>
  <r>
    <x v="262"/>
    <s v="Taxi cf-bacongo,repérage"/>
    <s v="Transport"/>
    <s v="Investigation"/>
    <n v="1000"/>
    <n v="1.8401363172983856"/>
    <n v="543.43799999999999"/>
    <s v="P29"/>
    <s v="P29-O-D1"/>
    <s v="PALF"/>
    <x v="5"/>
    <s v="Congo"/>
    <m/>
    <m/>
    <m/>
  </r>
  <r>
    <x v="262"/>
    <s v="Taxi bacongo-hotel"/>
    <s v="Transport"/>
    <s v="Investigation"/>
    <n v="1000"/>
    <n v="1.8401363172983856"/>
    <n v="543.43799999999999"/>
    <s v="P29"/>
    <s v="P29-O-D1"/>
    <s v="PALF"/>
    <x v="5"/>
    <s v="Congo"/>
    <m/>
    <m/>
    <m/>
  </r>
  <r>
    <x v="262"/>
    <s v="Taxi moto : hotel la concorde - parking (retour sur pointe noire)"/>
    <s v="Transport"/>
    <s v="Investigation"/>
    <n v="500"/>
    <n v="0.92006815864919278"/>
    <n v="543.43799999999999"/>
    <s v="T73"/>
    <s v="T73-O-D1"/>
    <s v="PALF"/>
    <x v="5"/>
    <s v="Congo"/>
    <m/>
    <m/>
    <m/>
  </r>
  <r>
    <x v="262"/>
    <s v="T73 - CONGO Frais d'hotel du 20/10/2025 au 22/10/2025 à Nzassi (02 Nuitées)"/>
    <s v="Travel subsistence"/>
    <s v="Investigation"/>
    <n v="30000"/>
    <n v="55.204089518951562"/>
    <n v="543.43799999999999"/>
    <s v="T73"/>
    <s v="T73-O-R12"/>
    <s v="PALF"/>
    <x v="5"/>
    <s v="Congo"/>
    <m/>
    <m/>
    <m/>
  </r>
  <r>
    <x v="262"/>
    <s v="Achat billet  Nzassi -Pointe noire/T73"/>
    <s v="transport"/>
    <s v="Investigation"/>
    <n v="3000"/>
    <n v="5.5204089518951562"/>
    <n v="543.43799999999999"/>
    <s v="T73"/>
    <s v="T73-O-R13"/>
    <s v="PALF"/>
    <x v="5"/>
    <s v="Congo"/>
    <m/>
    <m/>
    <m/>
  </r>
  <r>
    <x v="262"/>
    <s v="Taxi  : parking - hotel la provence (retour sur pointe noire)"/>
    <s v="transport"/>
    <s v="Investigation"/>
    <n v="1000"/>
    <n v="1.8401363172983856"/>
    <n v="543.43799999999999"/>
    <s v="T73"/>
    <s v="T73-O-D1"/>
    <s v="PALF"/>
    <x v="5"/>
    <s v="Congo"/>
    <m/>
    <m/>
    <m/>
  </r>
  <r>
    <x v="262"/>
    <s v="Taxi : hotel la provence - marché mayaka (prospection à pointe noire)"/>
    <s v="transport"/>
    <s v="Investigation"/>
    <n v="1000"/>
    <n v="1.8401363172983856"/>
    <n v="543.43799999999999"/>
    <s v="T73"/>
    <s v="T73-O-D1"/>
    <s v="PALF"/>
    <x v="5"/>
    <s v="Congo"/>
    <m/>
    <m/>
    <m/>
  </r>
  <r>
    <x v="262"/>
    <s v="Taxi : marché mayaka - siafoumou (prospection à pointe noire)"/>
    <s v="transport"/>
    <s v="Investigation"/>
    <n v="1000"/>
    <n v="1.8401363172983856"/>
    <n v="543.43799999999999"/>
    <s v="T73"/>
    <s v="T73-O-D1"/>
    <s v="PALF"/>
    <x v="5"/>
    <s v="Congo"/>
    <m/>
    <m/>
    <m/>
  </r>
  <r>
    <x v="262"/>
    <s v="Taxi : siafoumou - grand marché (prospection à pointe noire)"/>
    <s v="transport"/>
    <s v="Investigation"/>
    <n v="1000"/>
    <n v="1.8401363172983856"/>
    <n v="543.43799999999999"/>
    <s v="T73"/>
    <s v="T73-O-D1"/>
    <s v="PALF"/>
    <x v="5"/>
    <s v="Congo"/>
    <m/>
    <m/>
    <m/>
  </r>
  <r>
    <x v="262"/>
    <s v="Taxi : grand marché - hotel  (fin de journée)"/>
    <s v="Transport"/>
    <s v="Investigation"/>
    <n v="1000"/>
    <n v="1.8401363172983856"/>
    <n v="543.43799999999999"/>
    <s v="T73"/>
    <s v="T73-O-D1"/>
    <s v="PALF"/>
    <x v="5"/>
    <s v="Congo"/>
    <m/>
    <m/>
    <m/>
  </r>
  <r>
    <x v="262"/>
    <s v="IT87-CONGO Frais d'hôtel  du 18 au 22/10/2025 à Madingou (04 nuitées)"/>
    <s v="Travel Subsistence"/>
    <s v="Investigation"/>
    <n v="60000"/>
    <n v="110.40817903790312"/>
    <n v="543.43799999999999"/>
    <s v="IT87"/>
    <s v="IT87-O-R9"/>
    <s v="PALF"/>
    <x v="5"/>
    <s v="Congo"/>
    <m/>
    <m/>
    <m/>
  </r>
  <r>
    <x v="262"/>
    <s v="Taxi tricycle : Hôtel - Parking/ Départ de Madingou pour Nkayi"/>
    <s v="Transport"/>
    <s v="Investigation"/>
    <n v="700"/>
    <n v="1.2880954221088698"/>
    <n v="543.43799999999999"/>
    <s v="IT87"/>
    <s v="IT87-O-D1"/>
    <s v="PALF"/>
    <x v="5"/>
    <s v="Congo"/>
    <m/>
    <m/>
    <m/>
  </r>
  <r>
    <x v="262"/>
    <s v="Achat billet Madingou - Nkayi/ IT87"/>
    <s v="Transport"/>
    <s v="Investigation"/>
    <n v="2000"/>
    <n v="3.6802726345967711"/>
    <n v="543.43799999999999"/>
    <s v="IT87"/>
    <s v="IT87-O-R10"/>
    <s v="PALF"/>
    <x v="5"/>
    <s v="Congo"/>
    <m/>
    <m/>
    <m/>
  </r>
  <r>
    <x v="262"/>
    <s v="Taxi : Gare routière - Hôtel Syldon/ Arrivé à Nkayi"/>
    <s v="Transport"/>
    <s v="Investigation"/>
    <n v="1000"/>
    <n v="1.8401363172983856"/>
    <n v="543.43799999999999"/>
    <s v="IT87"/>
    <s v="IT87-O-D1"/>
    <s v="PALF"/>
    <x v="5"/>
    <s v="Congo"/>
    <m/>
    <m/>
    <m/>
  </r>
  <r>
    <x v="262"/>
    <s v="Taxi : Hôtel Syldon - Quartier village/ Repérage"/>
    <s v="Transport"/>
    <s v="Investigation"/>
    <n v="1000"/>
    <n v="1.8401363172983856"/>
    <n v="543.43799999999999"/>
    <s v="IT87"/>
    <s v="IT87-O-D1"/>
    <s v="PALF"/>
    <x v="5"/>
    <s v="Congo"/>
    <m/>
    <m/>
    <m/>
  </r>
  <r>
    <x v="262"/>
    <s v="Taxi : Quartier village - Cités unis/ Repérage"/>
    <s v="Transport"/>
    <s v="Investigation"/>
    <n v="1000"/>
    <n v="1.8401363172983856"/>
    <n v="543.43799999999999"/>
    <s v="IT87"/>
    <s v="IT87-O-D1"/>
    <s v="PALF"/>
    <x v="5"/>
    <s v="Congo"/>
    <m/>
    <m/>
    <m/>
  </r>
  <r>
    <x v="262"/>
    <s v="Taxi : Cités unis - Charden Farel / Retrait budget additionnel"/>
    <s v="Transport"/>
    <s v="Investigation"/>
    <n v="1000"/>
    <n v="1.8401363172983856"/>
    <n v="543.43799999999999"/>
    <s v="IT87"/>
    <s v="IT87-O-D1"/>
    <s v="PALF"/>
    <x v="5"/>
    <s v="Congo"/>
    <m/>
    <m/>
    <m/>
  </r>
  <r>
    <x v="262"/>
    <s v="Taxi : Charden Farel - Mabombo/ Repérage"/>
    <s v="Transport"/>
    <s v="Investigation"/>
    <n v="1000"/>
    <n v="1.8401363172983856"/>
    <n v="543.43799999999999"/>
    <s v="IT87"/>
    <s v="IT87-O-D1"/>
    <s v="PALF"/>
    <x v="5"/>
    <s v="Congo"/>
    <m/>
    <m/>
    <m/>
  </r>
  <r>
    <x v="262"/>
    <s v="Taxi : Mabombo - Hôtel/ Retour de du repérage"/>
    <s v="Transport"/>
    <s v="Investigation"/>
    <n v="700"/>
    <n v="1.2880954221088698"/>
    <n v="543.43799999999999"/>
    <s v="IT87"/>
    <s v="IT87-O-D1"/>
    <s v="PALF"/>
    <x v="5"/>
    <s v="Congo"/>
    <m/>
    <m/>
    <m/>
  </r>
  <r>
    <x v="262"/>
    <s v="Taxi moto: Hotel - marché/prospection"/>
    <s v="Transport"/>
    <s v="Investigation"/>
    <n v="500"/>
    <n v="0.92006815864919278"/>
    <n v="543.43799999999999"/>
    <s v="G12"/>
    <s v="G12-O-D1"/>
    <s v="PALF"/>
    <x v="5"/>
    <s v="Congo"/>
    <m/>
    <m/>
    <m/>
  </r>
  <r>
    <x v="262"/>
    <s v="Achat boisson 1 cible"/>
    <s v="Trust building"/>
    <s v="Investigation"/>
    <n v="1500"/>
    <n v="2.7602044759475781"/>
    <n v="543.43799999999999"/>
    <s v="G12"/>
    <s v="G12-O-D3"/>
    <s v="PALF"/>
    <x v="5"/>
    <s v="Congo"/>
    <m/>
    <m/>
    <m/>
  </r>
  <r>
    <x v="262"/>
    <s v="Taxi moto : marché - hotel"/>
    <s v="Transport"/>
    <s v="Investigation"/>
    <n v="500"/>
    <n v="0.92006815864919278"/>
    <n v="543.43799999999999"/>
    <s v="G12"/>
    <s v="G12-O-D1"/>
    <s v="PALF"/>
    <x v="5"/>
    <s v="Congo"/>
    <m/>
    <m/>
    <m/>
  </r>
  <r>
    <x v="262"/>
    <s v="CONGO frais d'hotel du 21 au 22/10/2025 à Pokola"/>
    <s v="Travel subsistence"/>
    <s v="Investigation"/>
    <n v="15000"/>
    <n v="27.602044759475781"/>
    <n v="543.43799999999999"/>
    <s v="G12"/>
    <s v="G12-O-R10"/>
    <s v="PALF"/>
    <x v="5"/>
    <s v="Congo"/>
    <m/>
    <m/>
    <m/>
  </r>
  <r>
    <x v="262"/>
    <s v="Taxi moto: Hotel - gare routière / depart pour Ouesso"/>
    <s v="Transport"/>
    <s v="Investigation"/>
    <n v="500"/>
    <n v="0.92006815864919278"/>
    <n v="543.43799999999999"/>
    <s v="G12"/>
    <s v="G12-O-D1"/>
    <s v="PALF"/>
    <x v="5"/>
    <s v="Congo"/>
    <m/>
    <m/>
    <m/>
  </r>
  <r>
    <x v="262"/>
    <s v="Achat billet pokola - ouesso/G12"/>
    <s v="Transport"/>
    <s v="Investigation"/>
    <n v="5000"/>
    <n v="9.2006815864919282"/>
    <n v="543.43799999999999"/>
    <s v="G12"/>
    <s v="G12-O-R11"/>
    <s v="PALF"/>
    <x v="5"/>
    <s v="Congo"/>
    <m/>
    <m/>
    <m/>
  </r>
  <r>
    <x v="262"/>
    <s v="Taxi: Gare routière - agence océan du nord/achat billet ouesso - brazzaville"/>
    <s v="Transport"/>
    <s v="Investigation"/>
    <n v="500"/>
    <n v="0.92006815864919278"/>
    <n v="543.43799999999999"/>
    <s v="G12"/>
    <s v="G12-O-D1"/>
    <s v="PALF"/>
    <x v="5"/>
    <s v="Congo"/>
    <m/>
    <m/>
    <m/>
  </r>
  <r>
    <x v="262"/>
    <s v="Taxi: Agence - hotel"/>
    <s v="Transport"/>
    <s v="Investigation"/>
    <n v="500"/>
    <n v="0.92006815864919278"/>
    <n v="543.43799999999999"/>
    <s v="G12"/>
    <s v="G12-O-D1"/>
    <s v="PALF"/>
    <x v="5"/>
    <s v="Congo"/>
    <m/>
    <m/>
    <m/>
  </r>
  <r>
    <x v="262"/>
    <s v="Achat billet ouesso - brazzaville/G12"/>
    <s v="Transport"/>
    <s v="Investigation"/>
    <n v="12000"/>
    <n v="22.081635807580625"/>
    <n v="543.43799999999999"/>
    <s v="G12"/>
    <s v="G12-O-R12"/>
    <s v="PALF"/>
    <x v="5"/>
    <s v="Congo"/>
    <m/>
    <m/>
    <m/>
  </r>
  <r>
    <x v="262"/>
    <s v="Taxi: Bureau-Agence Transbony de la frontière (Achat billet)"/>
    <s v="Transport"/>
    <s v="Legal"/>
    <n v="1000"/>
    <n v="1.8401363172983856"/>
    <n v="543.43799999999999"/>
    <s v="Abraham"/>
    <s v="AB-O-D1"/>
    <s v="PALF"/>
    <x v="5"/>
    <s v="Congo"/>
    <m/>
    <m/>
    <m/>
  </r>
  <r>
    <x v="262"/>
    <s v="Achat billet Brazzaville - Dolisie/Abraham"/>
    <s v="Transport"/>
    <s v="Legal"/>
    <n v="9000"/>
    <n v="16.561226855685469"/>
    <n v="543.43799999999999"/>
    <s v="Abraham"/>
    <s v="AB-O-R4"/>
    <s v="PALF"/>
    <x v="5"/>
    <s v="Congo"/>
    <m/>
    <m/>
    <m/>
  </r>
  <r>
    <x v="262"/>
    <s v="Taxi: Agence Transbony de la Frontière-Bureau"/>
    <s v="Transport"/>
    <s v="Legal"/>
    <n v="1000"/>
    <n v="1.8401363172983856"/>
    <n v="543.43799999999999"/>
    <s v="Abraham"/>
    <s v="AB-O-D1"/>
    <s v="PALF"/>
    <x v="5"/>
    <s v="Congo"/>
    <m/>
    <m/>
    <m/>
  </r>
  <r>
    <x v="262"/>
    <s v="Taxi:Bureau-Charden Farrel pour un transfert de fonds "/>
    <s v="Transport"/>
    <s v="Legal"/>
    <n v="500"/>
    <n v="0.92006815864919278"/>
    <n v="543.43799999999999"/>
    <s v="Roderlin"/>
    <s v="RO-O-D1"/>
    <s v="PALF"/>
    <x v="5"/>
    <s v="Congo"/>
    <m/>
    <m/>
    <m/>
  </r>
  <r>
    <x v="262"/>
    <s v="Taxi:Charden Farrel-Bureau"/>
    <s v="Transport"/>
    <s v="Legal"/>
    <n v="500"/>
    <n v="0.92006815864919278"/>
    <n v="543.43799999999999"/>
    <s v="Roderlin"/>
    <s v="RO-O-D1"/>
    <s v="PALF"/>
    <x v="5"/>
    <s v="Congo"/>
    <m/>
    <m/>
    <m/>
  </r>
  <r>
    <x v="262"/>
    <s v="Frais de tansfert d'argent  a P29, et IT87 par Charden farell"/>
    <s v="Transfert fees"/>
    <s v="Office"/>
    <n v="9300"/>
    <n v="17.113267750874986"/>
    <n v="543.43799999999999"/>
    <s v="Roderlin"/>
    <s v="CA-O-R24"/>
    <s v="PALF"/>
    <x v="5"/>
    <s v="Congo"/>
    <m/>
    <m/>
    <m/>
  </r>
  <r>
    <x v="262"/>
    <s v="Taxi: Cabinet Maitre BANZOUZI-Domicile"/>
    <s v="Transport"/>
    <s v="Legal"/>
    <n v="3500"/>
    <n v="6.4404771105443492"/>
    <n v="543.43799999999999"/>
    <s v="Romain"/>
    <s v="RM-O-D1"/>
    <s v="PALF"/>
    <x v="5"/>
    <s v="Congo"/>
    <m/>
    <m/>
    <m/>
  </r>
  <r>
    <x v="262"/>
    <s v="Taxi: Bureau-TGI de Brazzaville(pour la remise de son cheque)"/>
    <s v="Transport"/>
    <s v="Legal"/>
    <n v="1000"/>
    <n v="1.8401363172983856"/>
    <n v="543.43799999999999"/>
    <s v="Romain"/>
    <s v="RM-O-D1"/>
    <s v="PALF"/>
    <x v="5"/>
    <s v="Congo"/>
    <m/>
    <m/>
    <m/>
  </r>
  <r>
    <x v="262"/>
    <s v="Taxi: TGI de Brazzaville-DGEF(pour le depot du contrat à la signature)"/>
    <s v="Transport"/>
    <s v="Legal"/>
    <n v="1000"/>
    <n v="1.8401363172983856"/>
    <n v="543.43799999999999"/>
    <s v="Romain"/>
    <s v="RM-O-D1"/>
    <s v="PALF"/>
    <x v="5"/>
    <s v="Congo"/>
    <m/>
    <m/>
    <m/>
  </r>
  <r>
    <x v="262"/>
    <s v="Taxi:  DGEF- Bureau"/>
    <s v="Transport"/>
    <s v="Legal"/>
    <n v="1000"/>
    <n v="1.8401363172983856"/>
    <n v="543.43799999999999"/>
    <s v="Romain"/>
    <s v="RM-O-D1"/>
    <s v="PALF"/>
    <x v="5"/>
    <s v="Congo"/>
    <m/>
    <m/>
    <m/>
  </r>
  <r>
    <x v="262"/>
    <s v="Taxi: Bureau-Cabinet  de maitre BANZOUZI(pour la signature des pièces comptables)"/>
    <s v="Transport"/>
    <s v="Legal"/>
    <n v="1000"/>
    <n v="1.8401363172983856"/>
    <n v="543.43799999999999"/>
    <s v="Romain"/>
    <s v="RM-O-D1"/>
    <s v="PALF"/>
    <x v="5"/>
    <s v="Congo"/>
    <m/>
    <m/>
    <m/>
  </r>
  <r>
    <x v="262"/>
    <s v="Taxi: Canibet de maitre BANZOUZI-Domicile"/>
    <s v="Transport"/>
    <s v="Legal"/>
    <n v="2500"/>
    <n v="4.6003407932459641"/>
    <n v="543.43799999999999"/>
    <s v="Romain"/>
    <s v="RM-O-D1"/>
    <s v="PALF"/>
    <x v="5"/>
    <s v="Congo"/>
    <m/>
    <m/>
    <m/>
  </r>
  <r>
    <x v="262"/>
    <s v="Frais de transport mission Maitre Alain à dolisie du 23 au 25/10/2025"/>
    <s v="Transport"/>
    <s v="Legal"/>
    <n v="27000"/>
    <n v="49.683680567056406"/>
    <n v="543.43799999999999"/>
    <s v="Romain"/>
    <s v="CA-O-R26"/>
    <s v="PALF"/>
    <x v="5"/>
    <s v="Congo"/>
    <m/>
    <m/>
    <m/>
  </r>
  <r>
    <x v="262"/>
    <s v="Ration et frais d'hotel mission maitre Alain à dolisie du 23 au 25/10/2025"/>
    <s v="Travel Subsistence"/>
    <s v="Legal"/>
    <n v="50000"/>
    <n v="92.006815864919275"/>
    <n v="543.43799999999999"/>
    <s v="Romain"/>
    <s v="CA-O-R27"/>
    <s v="PALF"/>
    <x v="5"/>
    <s v="Congo"/>
    <m/>
    <m/>
    <m/>
  </r>
  <r>
    <x v="263"/>
    <s v="Maison-Bureau"/>
    <s v="Transport"/>
    <s v="Management"/>
    <n v="1000"/>
    <n v="1.8401363172983856"/>
    <n v="543.43799999999999"/>
    <s v="DOVI"/>
    <s v="DH-O-D1"/>
    <s v="PALF"/>
    <x v="5"/>
    <s v="Congo"/>
    <m/>
    <m/>
    <m/>
  </r>
  <r>
    <x v="263"/>
    <s v="Bureau- Aspinall"/>
    <s v="Transport"/>
    <s v="Management"/>
    <n v="1000"/>
    <n v="1.8401363172983856"/>
    <n v="543.43799999999999"/>
    <s v="DOVI"/>
    <s v="DH-O-D1"/>
    <s v="PALF"/>
    <x v="5"/>
    <s v="Congo"/>
    <m/>
    <m/>
    <m/>
  </r>
  <r>
    <x v="263"/>
    <s v="Aspinall-Bureau"/>
    <s v="Transport"/>
    <s v="Management"/>
    <n v="1000"/>
    <n v="1.8401363172983856"/>
    <n v="543.43799999999999"/>
    <s v="DOVI"/>
    <s v="DH-O-D1"/>
    <s v="PALF"/>
    <x v="5"/>
    <s v="Congo"/>
    <m/>
    <m/>
    <m/>
  </r>
  <r>
    <x v="263"/>
    <s v="Achat billet Brazzaville -Nkayi/ DOVI"/>
    <s v="Transport"/>
    <s v="Management"/>
    <n v="7000"/>
    <n v="12.880954221088698"/>
    <n v="543.43799999999999"/>
    <s v="DOVI"/>
    <s v="DH-O-R8"/>
    <s v="PALF"/>
    <x v="5"/>
    <s v="Congo"/>
    <m/>
    <m/>
    <m/>
  </r>
  <r>
    <x v="263"/>
    <s v="Bureau - Maison"/>
    <s v="Transport"/>
    <s v="Management"/>
    <n v="1000"/>
    <n v="1.8401363172983856"/>
    <n v="543.43799999999999"/>
    <s v="DOVI"/>
    <s v="DH-O-D1"/>
    <s v="PALF"/>
    <x v="5"/>
    <s v="Congo"/>
    <m/>
    <m/>
    <m/>
  </r>
  <r>
    <x v="263"/>
    <s v="Achat Billet Brazzaville-Nkayi/ Crépin"/>
    <s v="Transport"/>
    <s v="Legal"/>
    <n v="7000"/>
    <n v="12.880954221088698"/>
    <n v="543.43799999999999"/>
    <s v="Crépin"/>
    <s v="CR-O-R11"/>
    <s v="PALF"/>
    <x v="5"/>
    <s v="Congo"/>
    <m/>
    <m/>
    <m/>
  </r>
  <r>
    <x v="263"/>
    <s v="Taxi:  Bureau-Banque BCI/ Retrait Chequiers PALF"/>
    <s v="Transport"/>
    <s v="Office"/>
    <n v="1000"/>
    <n v="1.8401363172983856"/>
    <n v="543.43799999999999"/>
    <s v="Parfaite"/>
    <s v="P-O-D1"/>
    <s v="PALF"/>
    <x v="5"/>
    <s v="Congo"/>
    <m/>
    <m/>
    <m/>
  </r>
  <r>
    <x v="263"/>
    <s v="Taxi:  Banque BCI - Bureau"/>
    <s v="Transport"/>
    <s v="Office"/>
    <n v="1000"/>
    <n v="1.8401363172983856"/>
    <n v="543.43799999999999"/>
    <s v="Parfaite"/>
    <s v="P-O-D1"/>
    <s v="PALF"/>
    <x v="5"/>
    <s v="Congo"/>
    <m/>
    <m/>
    <m/>
  </r>
  <r>
    <x v="263"/>
    <s v="Taxi : hotel la provenance - parking siafoumou ( départ pour madingo kayes, RDV avec la cible)"/>
    <s v="Transport"/>
    <s v="Investigation"/>
    <n v="1000"/>
    <n v="1.8401363172983856"/>
    <n v="543.43799999999999"/>
    <s v="T73"/>
    <s v="T73-O-D1"/>
    <s v="PALF"/>
    <x v="5"/>
    <s v="Congo"/>
    <m/>
    <m/>
    <m/>
  </r>
  <r>
    <x v="263"/>
    <s v="Achat billet  Pointe - madingo kayes/T73"/>
    <s v="Transport"/>
    <s v="Investigation"/>
    <n v="5000"/>
    <n v="9.2006815864919282"/>
    <n v="543.43799999999999"/>
    <s v="T73"/>
    <s v="T73-O-R14"/>
    <s v="PALF"/>
    <x v="5"/>
    <s v="Congo"/>
    <m/>
    <m/>
    <m/>
  </r>
  <r>
    <x v="263"/>
    <s v="Taxi moto : parking - quartier louango ( rencontre avec la cible)"/>
    <s v="Transport"/>
    <s v="Investigation"/>
    <n v="500"/>
    <n v="0.92006815864919278"/>
    <n v="543.43799999999999"/>
    <s v="T73"/>
    <s v="T73-O-D1"/>
    <s v="PALF"/>
    <x v="5"/>
    <s v="Congo"/>
    <m/>
    <m/>
    <m/>
  </r>
  <r>
    <x v="263"/>
    <s v="Taxi moto : quartier louango - centre ville ( rencontre avec la cible)"/>
    <s v="Transport"/>
    <s v="Investigation"/>
    <n v="500"/>
    <n v="0.92006815864919278"/>
    <n v="543.43799999999999"/>
    <s v="T73"/>
    <s v="T73-O-D1"/>
    <s v="PALF"/>
    <x v="5"/>
    <s v="Congo"/>
    <m/>
    <m/>
    <m/>
  </r>
  <r>
    <x v="263"/>
    <s v="Taxi moto : centre ville - parking (retour sur Pointe noire)"/>
    <s v="Transport"/>
    <s v="Investigation"/>
    <n v="500"/>
    <n v="0.92006815864919278"/>
    <n v="543.43799999999999"/>
    <s v="T73"/>
    <s v="T73-O-D1"/>
    <s v="PALF"/>
    <x v="5"/>
    <s v="Congo"/>
    <m/>
    <m/>
    <m/>
  </r>
  <r>
    <x v="263"/>
    <s v="Achat billet  Madingo kayes - Pointe noire/T73"/>
    <s v="Transport"/>
    <s v="Investigation"/>
    <n v="5000"/>
    <n v="9.2006815864919282"/>
    <n v="543.43799999999999"/>
    <s v="T73"/>
    <s v="T73-O-R15"/>
    <s v="PALF"/>
    <x v="5"/>
    <s v="Congo"/>
    <m/>
    <m/>
    <m/>
  </r>
  <r>
    <x v="263"/>
    <s v="Achat boissons et nourriture"/>
    <s v="Trust building"/>
    <s v="Investigation"/>
    <n v="3500"/>
    <n v="6.4404771105443492"/>
    <n v="543.43799999999999"/>
    <s v="T73"/>
    <s v="T73-O-D2"/>
    <s v="PALF"/>
    <x v="5"/>
    <s v="Congo"/>
    <m/>
    <m/>
    <m/>
  </r>
  <r>
    <x v="263"/>
    <s v="Taxi: parking - marché fond de tie tie ( prospection à pointe noire)"/>
    <s v="Transport"/>
    <s v="Investigation"/>
    <n v="1500"/>
    <n v="2.7602044759475781"/>
    <n v="543.43799999999999"/>
    <s v="T73"/>
    <s v="T73-O-D1"/>
    <s v="PALF"/>
    <x v="5"/>
    <s v="Congo"/>
    <m/>
    <m/>
    <m/>
  </r>
  <r>
    <x v="263"/>
    <s v="Taxi: marché fond de tie tie  - hotel (fin de journée)"/>
    <s v="Transport"/>
    <s v="Investigation"/>
    <n v="1000"/>
    <n v="1.8401363172983856"/>
    <n v="543.43799999999999"/>
    <s v="T73"/>
    <s v="T73-O-D1"/>
    <s v="PALF"/>
    <x v="5"/>
    <s v="Congo"/>
    <m/>
    <m/>
    <m/>
  </r>
  <r>
    <x v="263"/>
    <s v="Taxi : Hôtel Syldon - Hôtel CRAPP/ Travail"/>
    <s v="Transport"/>
    <s v="Investigation"/>
    <n v="1000"/>
    <n v="1.8401363172983856"/>
    <n v="543.43799999999999"/>
    <s v="IT87"/>
    <s v="IT87-O-D1"/>
    <s v="PALF"/>
    <x v="5"/>
    <s v="Congo"/>
    <m/>
    <m/>
    <m/>
  </r>
  <r>
    <x v="263"/>
    <s v="Taxi : Hôtel CRAPP - Hôtel Syldon/ Retour de travail"/>
    <s v="Transport"/>
    <s v="Investigation"/>
    <n v="1000"/>
    <n v="1.8401363172983856"/>
    <n v="543.43799999999999"/>
    <s v="IT87"/>
    <s v="IT87-O-D1"/>
    <s v="PALF"/>
    <x v="5"/>
    <s v="Congo"/>
    <m/>
    <m/>
    <m/>
  </r>
  <r>
    <x v="263"/>
    <s v="CONGO frais d'hotel du 22 au 23/10/2025 à Ouesso"/>
    <s v="Travel subsistence"/>
    <s v="Investigation"/>
    <n v="15000"/>
    <n v="27.602044759475781"/>
    <n v="543.43799999999999"/>
    <s v="G12"/>
    <s v="G12-O-R13"/>
    <s v="PALF"/>
    <x v="5"/>
    <s v="Congo"/>
    <m/>
    <m/>
    <m/>
  </r>
  <r>
    <x v="263"/>
    <s v="Taxi : Hotel - agence océan du nord (retour sur Brazzaville)"/>
    <s v="Transport"/>
    <s v="Investigation"/>
    <n v="500"/>
    <n v="0.92006815864919278"/>
    <n v="543.43799999999999"/>
    <s v="G12"/>
    <s v="G12-O-D1"/>
    <s v="PALF"/>
    <x v="5"/>
    <s v="Congo"/>
    <m/>
    <m/>
    <m/>
  </r>
  <r>
    <x v="263"/>
    <s v="Taxi : Agence océan du nord - domicile"/>
    <s v="Transport"/>
    <s v="Investigation"/>
    <n v="1000"/>
    <n v="1.8401363172983856"/>
    <n v="543.43799999999999"/>
    <s v="G12"/>
    <s v="G12-O-D1"/>
    <s v="PALF"/>
    <x v="5"/>
    <s v="Congo"/>
    <m/>
    <m/>
    <m/>
  </r>
  <r>
    <x v="263"/>
    <s v="ABRAHAM - CONGO Ration du 23 au 29/10/2025 à Dolisie et à Nkayi (06 Nuitées)"/>
    <s v="Travel subsistence"/>
    <s v="Legal"/>
    <n v="60000"/>
    <n v="110.40817903790312"/>
    <n v="543.43799999999999"/>
    <s v="Abraham"/>
    <s v="AB-O-D2"/>
    <s v="PALF"/>
    <x v="5"/>
    <s v="Congo"/>
    <m/>
    <m/>
    <m/>
  </r>
  <r>
    <x v="263"/>
    <s v="Taxi:Domicile-Agence Tranbony de La frontière"/>
    <s v="Transport"/>
    <s v="Legal"/>
    <n v="1000"/>
    <n v="1.8401363172983856"/>
    <n v="543.43799999999999"/>
    <s v="Abraham"/>
    <s v="AB-O-D1"/>
    <s v="PALF"/>
    <x v="5"/>
    <s v="Congo"/>
    <m/>
    <m/>
    <m/>
  </r>
  <r>
    <x v="263"/>
    <s v="Taxi:Hôtel Moukondo-Maison d'arrêt de Dolisie"/>
    <s v="Transport"/>
    <s v="Legal"/>
    <n v="1000"/>
    <n v="1.8401363172983856"/>
    <n v="543.43799999999999"/>
    <s v="Abraham"/>
    <s v="AB-O-D1"/>
    <s v="PALF"/>
    <x v="5"/>
    <s v="Congo"/>
    <m/>
    <m/>
    <m/>
  </r>
  <r>
    <x v="263"/>
    <s v="Ration/soir 2 détenus à la maison d'arrêt de Dolisie/ détenus visités: MOMBO Lionnel, MBIYABA Darel"/>
    <s v="Jail visits"/>
    <s v="Legal"/>
    <n v="3000"/>
    <n v="5.5204089518951562"/>
    <n v="543.43799999999999"/>
    <s v="Abraham"/>
    <s v="AB-O-D3"/>
    <s v="PALF"/>
    <x v="5"/>
    <s v="Congo"/>
    <m/>
    <m/>
    <m/>
  </r>
  <r>
    <x v="263"/>
    <s v="Taxi:Bureau-Agence trans bony de la frontiere pour la réservation des billets "/>
    <s v="Transport"/>
    <s v="Legal"/>
    <n v="1000"/>
    <n v="1.8401363172983856"/>
    <n v="543.43799999999999"/>
    <s v="Roderlin"/>
    <s v="RO-O-D1"/>
    <s v="PALF"/>
    <x v="5"/>
    <s v="Congo"/>
    <m/>
    <m/>
    <m/>
  </r>
  <r>
    <x v="263"/>
    <s v="Achat billet Brazzaville-Nkayi/ Roderlin"/>
    <s v="Transport"/>
    <s v="Legal"/>
    <n v="7000"/>
    <n v="12.880954221088698"/>
    <n v="543.43799999999999"/>
    <s v="Roderlin"/>
    <s v="RO-O-R4"/>
    <s v="PALF"/>
    <x v="5"/>
    <s v="Congo"/>
    <m/>
    <m/>
    <m/>
  </r>
  <r>
    <x v="263"/>
    <s v="Taxi:Agence trans bony de la frontiere-Bureau"/>
    <s v="Transport"/>
    <s v="Legal"/>
    <n v="1000"/>
    <n v="1.8401363172983856"/>
    <n v="543.43799999999999"/>
    <s v="Roderlin"/>
    <s v="RO-O-D1"/>
    <s v="PALF"/>
    <x v="5"/>
    <s v="Congo"/>
    <m/>
    <m/>
    <m/>
  </r>
  <r>
    <x v="263"/>
    <s v="Achat Billet Brazzaville-Nkayi/ Evariste"/>
    <s v="Transport"/>
    <s v="Media"/>
    <n v="7000"/>
    <n v="12.880954221088698"/>
    <n v="543.43799999999999"/>
    <s v="Evariste"/>
    <s v="EV-O-R7"/>
    <s v="PALF"/>
    <x v="5"/>
    <s v="Congo"/>
    <m/>
    <m/>
    <m/>
  </r>
  <r>
    <x v="263"/>
    <s v="Taxi, Bureau PALF-Radio Liberté"/>
    <s v="Transport"/>
    <s v="Media"/>
    <n v="1000"/>
    <n v="1.8401363172983856"/>
    <n v="543.43799999999999"/>
    <s v="Evariste"/>
    <s v="EV-O-D1"/>
    <s v="PALF"/>
    <x v="5"/>
    <s v="Congo"/>
    <m/>
    <m/>
    <m/>
  </r>
  <r>
    <x v="263"/>
    <s v="Taxi, Radio Liberté-groupecongomedias.com"/>
    <s v="Transport"/>
    <s v="Media"/>
    <n v="1000"/>
    <n v="1.8401363172983856"/>
    <n v="543.43799999999999"/>
    <s v="Evariste"/>
    <s v="EV-O-D1"/>
    <s v="PALF"/>
    <x v="5"/>
    <s v="Congo"/>
    <m/>
    <m/>
    <m/>
  </r>
  <r>
    <x v="263"/>
    <s v="Taxi, groupecongomedias.com-tribune-eco.cg"/>
    <s v="Transport"/>
    <s v="Media"/>
    <n v="1000"/>
    <n v="1.8401363172983856"/>
    <n v="543.43799999999999"/>
    <s v="Evariste"/>
    <s v="EV-O-D1"/>
    <s v="PALF"/>
    <x v="5"/>
    <s v="Congo"/>
    <m/>
    <m/>
    <m/>
  </r>
  <r>
    <x v="263"/>
    <s v="Taxi, tribune-eco.cg-panoramik-actu.com-La Semaine Africaine"/>
    <s v="Transport"/>
    <s v="Media"/>
    <n v="1000"/>
    <n v="1.8401363172983856"/>
    <n v="543.43799999999999"/>
    <s v="Evariste"/>
    <s v="EV-O-D1"/>
    <s v="PALF"/>
    <x v="5"/>
    <s v="Congo"/>
    <m/>
    <m/>
    <m/>
  </r>
  <r>
    <x v="263"/>
    <s v="Taxi, La Semaine Africaine-Agence Congolaise de l'Information"/>
    <s v="Transport"/>
    <s v="Media"/>
    <n v="1000"/>
    <n v="1.8401363172983856"/>
    <n v="543.43799999999999"/>
    <s v="Evariste"/>
    <s v="EV-O-D1"/>
    <s v="PALF"/>
    <x v="5"/>
    <s v="Congo"/>
    <m/>
    <m/>
    <m/>
  </r>
  <r>
    <x v="263"/>
    <s v="Taxi, Agence Congolaise de l'Information-Les Dépêches de Brazzaville"/>
    <s v="Transport"/>
    <s v="Media"/>
    <n v="1000"/>
    <n v="1.8401363172983856"/>
    <n v="543.43799999999999"/>
    <s v="Evariste"/>
    <s v="EV-O-D1"/>
    <s v="PALF"/>
    <x v="5"/>
    <s v="Congo"/>
    <m/>
    <m/>
    <m/>
  </r>
  <r>
    <x v="263"/>
    <s v="Taxi, Les Dépêches de Brazzaville-opionpublique.cg"/>
    <s v="Transport"/>
    <s v="Media"/>
    <n v="1000"/>
    <n v="1.8401363172983856"/>
    <n v="543.43799999999999"/>
    <s v="Evariste"/>
    <s v="EV-O-D1"/>
    <s v="PALF"/>
    <x v="5"/>
    <s v="Congo"/>
    <m/>
    <m/>
    <m/>
  </r>
  <r>
    <x v="263"/>
    <s v="Taxi, opinionpublique.cg-Domicile"/>
    <s v="Transport"/>
    <s v="Media"/>
    <n v="1000"/>
    <n v="1.8401363172983856"/>
    <n v="543.43799999999999"/>
    <s v="Evariste"/>
    <s v="EV-O-D1"/>
    <s v="PALF"/>
    <x v="5"/>
    <s v="Congo"/>
    <m/>
    <m/>
    <m/>
  </r>
  <r>
    <x v="263"/>
    <s v="Bonus media portant sur l'audience de 02 présumés trafiquants d'ivoire le 24 octobre 2025 au TGI de Dolisie  pièces presse Internet (https://www.panoramik-actu.com)"/>
    <s v="Bonus to media officer"/>
    <s v="Media"/>
    <n v="6000"/>
    <n v="11.040817903790312"/>
    <n v="543.43799999999999"/>
    <s v="Evariste"/>
    <s v="CA-O-D11"/>
    <s v="PALF"/>
    <x v="5"/>
    <s v="Congo"/>
    <m/>
    <m/>
    <m/>
  </r>
  <r>
    <x v="263"/>
    <s v="Bonus media portant sur  l'audience de 02 présumés trafiquants d'ivoire le 24 octobre 2025 au TGI de Dolisie  pièces presse Internet (https://www.tribune-eco.cg)"/>
    <s v="Bonus to media officer"/>
    <s v="Media"/>
    <n v="6000"/>
    <n v="11.040817903790312"/>
    <n v="543.43799999999999"/>
    <s v="Evariste"/>
    <s v="CA-O-D11"/>
    <s v="PALF"/>
    <x v="5"/>
    <s v="Congo"/>
    <m/>
    <m/>
    <m/>
  </r>
  <r>
    <x v="263"/>
    <s v="Bonus media portant sur l'audience de 02 présumés trafiquants d'ivoire le 24 octobre 2025 au TGI de Dolisie  pièces presse Internet (https://www.groupecongomedias.com)"/>
    <s v="Bonus to media officer"/>
    <s v="Media"/>
    <n v="6000"/>
    <n v="11.040817903790312"/>
    <n v="543.43799999999999"/>
    <s v="Evariste"/>
    <s v="CA-O-D11"/>
    <s v="PALF"/>
    <x v="5"/>
    <s v="Congo"/>
    <m/>
    <m/>
    <m/>
  </r>
  <r>
    <x v="263"/>
    <s v="Bonus media portant sur l'audience de 02 présumés trafiquants d'ivoire le 24 octobre 2025 au TGI de Dolisie  pièces presse Internet (https://www.labreveonline.com)"/>
    <s v="Bonus to media officer"/>
    <s v="Media"/>
    <n v="6000"/>
    <n v="11.040817903790312"/>
    <n v="543.43799999999999"/>
    <s v="Evariste"/>
    <s v="CA-O-D11"/>
    <s v="PALF"/>
    <x v="5"/>
    <s v="Congo"/>
    <m/>
    <m/>
    <m/>
  </r>
  <r>
    <x v="263"/>
    <s v="Bonus media portant sur  l'audience de 02 présumés trafiquants d'ivoire le 24 octobre 2025 au TGI de Dolisie  pièces presse Internet (https://www.adiac-congo.com)"/>
    <s v="Bonus to media officer"/>
    <s v="Media"/>
    <n v="6000"/>
    <n v="11.040817903790312"/>
    <n v="543.43799999999999"/>
    <s v="Evariste"/>
    <s v="CA-O-D11"/>
    <s v="PALF"/>
    <x v="5"/>
    <s v="Congo"/>
    <m/>
    <m/>
    <m/>
  </r>
  <r>
    <x v="263"/>
    <s v="Bonus media portant sur  l'audience de 02 présumés trafiquants d'ivoire le 24 octobre 2025 au TGI de Dolisie  pièces presse Internet (https://www.lasemaineafricaine.info)"/>
    <s v="Bonus to media officer"/>
    <s v="Media"/>
    <n v="6000"/>
    <n v="11.040817903790312"/>
    <n v="543.43799999999999"/>
    <s v="Evariste"/>
    <s v="CA-O-D11"/>
    <s v="PALF"/>
    <x v="5"/>
    <s v="Congo"/>
    <m/>
    <m/>
    <m/>
  </r>
  <r>
    <x v="263"/>
    <s v="Bonus media portant sur  l'audience de 02 présumés trafiquants d'ivoire le 24 octobre 2025 au TGI de Dolisie  pièces presse Internet (https://www.matinlibre.cg)"/>
    <s v="Bonus to media officer"/>
    <s v="Media"/>
    <n v="6000"/>
    <n v="11.040817903790312"/>
    <n v="543.43799999999999"/>
    <s v="Evariste"/>
    <s v="CA-O-D11"/>
    <s v="PALF"/>
    <x v="5"/>
    <s v="Congo"/>
    <m/>
    <m/>
    <m/>
  </r>
  <r>
    <x v="263"/>
    <s v="Bonus media portant sur  l'audience de 02 présumés trafiquants d'ivoire le 24 octobre 2025 au TGI de Dolisie  pièces presse Internet (https://www.firstmediac.com)"/>
    <s v="Bonus to media officer"/>
    <s v="Media"/>
    <n v="6000"/>
    <n v="11.040817903790312"/>
    <n v="543.43799999999999"/>
    <s v="Evariste"/>
    <s v="CA-O-D11"/>
    <s v="PALF"/>
    <x v="5"/>
    <s v="Congo"/>
    <m/>
    <m/>
    <m/>
  </r>
  <r>
    <x v="263"/>
    <s v="Bonus media portant sur l'audience de 02 présumés trafiquants d'ivoire le 24 octobre 2025 au TGI de Dolisie  pièces presse Internet (https://www.journaldebrazza.com)"/>
    <s v="Bonus to media officer"/>
    <s v="Media"/>
    <n v="6000"/>
    <n v="11.040817903790312"/>
    <n v="543.43799999999999"/>
    <s v="Evariste"/>
    <s v="CA-O-D11"/>
    <s v="PALF"/>
    <x v="5"/>
    <s v="Congo"/>
    <m/>
    <m/>
    <m/>
  </r>
  <r>
    <x v="263"/>
    <s v="Bonus media portant sur  l'audience de 02 présumés trafiquants d'ivoire le 24 octobre 2025 au TGI de Dolisie  pièces presse Internet (https://vmmedias.info)"/>
    <s v="Bonus to media officer"/>
    <s v="Media"/>
    <n v="6000"/>
    <n v="11.040817903790312"/>
    <n v="543.43799999999999"/>
    <s v="Evariste"/>
    <s v="CA-O-D11"/>
    <s v="PALF"/>
    <x v="5"/>
    <s v="Congo"/>
    <m/>
    <m/>
    <m/>
  </r>
  <r>
    <x v="263"/>
    <s v="Bonus media portant sur  l'audience de 02 présumés trafiquants d'ivoire le 24 octobre 2025 au TGI de Dolisie  pièces presse Internet (https://aci.cg)"/>
    <s v="Bonus to media officer"/>
    <s v="Media"/>
    <n v="6000"/>
    <n v="11.040817903790312"/>
    <n v="543.43799999999999"/>
    <s v="Evariste"/>
    <s v="CA-O-D11"/>
    <s v="PALF"/>
    <x v="5"/>
    <s v="Congo"/>
    <m/>
    <m/>
    <m/>
  </r>
  <r>
    <x v="263"/>
    <s v="Bonus media portant sur  l'audience de 02 présumés trafiquants d'ivoire le 24 octobre 2025 au TGI de Dolisie  pièces presse Internet (https://lesechos-congobrazza.com/)"/>
    <s v="Bonus to media officer"/>
    <s v="Media"/>
    <n v="6000"/>
    <n v="11.040817903790312"/>
    <n v="543.43799999999999"/>
    <s v="Evariste"/>
    <s v="CA-O-D11"/>
    <s v="PALF"/>
    <x v="5"/>
    <s v="Congo"/>
    <m/>
    <m/>
    <m/>
  </r>
  <r>
    <x v="263"/>
    <s v="Bonus media portant sur  l'audience de 02 présumés trafiquants d'ivoire le 24 octobre 2025 au TGI de Dolisie  pièces presse Internet (https://opinionpublique.cg)"/>
    <s v="Bonus to media officer"/>
    <s v="Media"/>
    <n v="6000"/>
    <n v="11.040817903790312"/>
    <n v="543.43799999999999"/>
    <s v="Evariste"/>
    <s v="CA-O-D11"/>
    <s v="PALF"/>
    <x v="5"/>
    <s v="Congo"/>
    <m/>
    <m/>
    <m/>
  </r>
  <r>
    <x v="263"/>
    <s v="Bonus media portant sur l'audience de 02 présumés  trafiquants d'ivoire  le 24 octobre 2025 au TGI de Dolisie pieces presse papier(les depêches de brazzaville)"/>
    <s v="Bonus to media officer"/>
    <s v="Media"/>
    <n v="10000"/>
    <n v="18.401363172983856"/>
    <n v="543.43799999999999"/>
    <s v="Evariste"/>
    <s v="CA-O-D12"/>
    <s v="PALF"/>
    <x v="5"/>
    <s v="Congo"/>
    <m/>
    <m/>
    <m/>
  </r>
  <r>
    <x v="263"/>
    <s v="Bonus media portant sur l'audience de 02 présumés  trafiquants d'ivoire  le 24 octobre 2025 au TGI de Dolisie pieces presse papier( l'horizion africain)"/>
    <s v="Bonus to media officer"/>
    <s v="Media"/>
    <n v="10000"/>
    <n v="18.401363172983856"/>
    <n v="543.43799999999999"/>
    <s v="Evariste"/>
    <s v="CA-O-D12"/>
    <s v="PALF"/>
    <x v="5"/>
    <s v="Congo"/>
    <m/>
    <m/>
    <m/>
  </r>
  <r>
    <x v="263"/>
    <s v="Bonus media portant sur l'audience de 02 présumés  trafiquants d'ivoire  le 24 octobre 2025 au TGI de Dolisie pieces presse papier(La semaine Africaine)"/>
    <s v="Bonus to media officer"/>
    <s v="Media"/>
    <n v="10000"/>
    <n v="18.401363172983856"/>
    <n v="543.43799999999999"/>
    <s v="Evariste"/>
    <s v="CA-O-D12"/>
    <s v="PALF"/>
    <x v="5"/>
    <s v="Congo"/>
    <m/>
    <m/>
    <m/>
  </r>
  <r>
    <x v="263"/>
    <s v="Bonus media portant sur l'audience de 02 présumés  trafiquants d'ivoire  le 24 octobre 2025 au TGI de Dolisie pieces presse papier( l'agence congolaise de l'information)"/>
    <s v="Bonus to media officer"/>
    <s v="Media"/>
    <n v="10000"/>
    <n v="18.401363172983856"/>
    <n v="543.43799999999999"/>
    <s v="Evariste"/>
    <s v="CA-O-D12"/>
    <s v="PALF"/>
    <x v="5"/>
    <s v="Congo"/>
    <m/>
    <m/>
    <m/>
  </r>
  <r>
    <x v="263"/>
    <s v="Bonus media portant sur audience de 02 présumés  trafiquants d'ivoire  le 24 octobre 2025 au TGI de Dolisie presse Radio citoyenne des jeunes"/>
    <s v="Bonus to media officer"/>
    <s v="Media"/>
    <n v="6000"/>
    <n v="11.040817903790312"/>
    <n v="543.43799999999999"/>
    <s v="Evariste"/>
    <s v="CA-O-D13"/>
    <s v="PALF"/>
    <x v="5"/>
    <s v="Congo"/>
    <m/>
    <m/>
    <m/>
  </r>
  <r>
    <x v="263"/>
    <s v="Bonus media portant sur audience de 02 présumés  trafiquants d'ivoire  le 24 octobre 2025 au TGI de Dolisie presse Radio (Radio Liberté Français)"/>
    <s v="Bonus to media officer"/>
    <s v="Media"/>
    <n v="6000"/>
    <n v="11.040817903790312"/>
    <n v="543.43799999999999"/>
    <s v="Evariste"/>
    <s v="CA-O-D13"/>
    <s v="PALF"/>
    <x v="5"/>
    <s v="Congo"/>
    <m/>
    <m/>
    <m/>
  </r>
  <r>
    <x v="263"/>
    <s v="Bonus media portant sur audience de 02 présumés  trafiquants d'ivoire  le 24 octobre 2025 au TGI de Dolisie presse Radio (Radio Liberté Kituba)"/>
    <s v="Bonus to media officer"/>
    <s v="Media"/>
    <n v="6000"/>
    <n v="11.040817903790312"/>
    <n v="543.43799999999999"/>
    <s v="Evariste"/>
    <s v="CA-O-D13"/>
    <s v="PALF"/>
    <x v="5"/>
    <s v="Congo"/>
    <m/>
    <m/>
    <m/>
  </r>
  <r>
    <x v="263"/>
    <s v="Bonus media portant sur audience de 02 présumés  trafiquants d'ivoire  le 24 octobre 2025 au TGI de Dolisie presse Radio (Radio Liberté Lingala)"/>
    <s v="Bonus to media officer"/>
    <s v="Media"/>
    <n v="6000"/>
    <n v="11.040817903790312"/>
    <n v="543.43799999999999"/>
    <s v="Evariste"/>
    <s v="CA-O-D13"/>
    <s v="PALF"/>
    <x v="5"/>
    <s v="Congo"/>
    <m/>
    <m/>
    <m/>
  </r>
  <r>
    <x v="263"/>
    <s v="Taxi: Bureau-Agence Océan du Nord de Talangai"/>
    <s v="Transport"/>
    <s v="Legal"/>
    <n v="1000"/>
    <n v="1.8401363172983856"/>
    <n v="543.43799999999999"/>
    <s v="Romain"/>
    <s v="RM-O-D1"/>
    <s v="PALF"/>
    <x v="5"/>
    <s v="Congo"/>
    <m/>
    <m/>
    <m/>
  </r>
  <r>
    <x v="263"/>
    <s v="Taxi: Agence -Océan du Nord de Talangai-Bureau"/>
    <s v="Transport"/>
    <s v="Legal"/>
    <n v="1000"/>
    <n v="1.8401363172983856"/>
    <n v="543.43799999999999"/>
    <s v="Romain"/>
    <s v="RM-O-D1"/>
    <s v="PALF"/>
    <x v="5"/>
    <s v="Congo"/>
    <m/>
    <m/>
    <m/>
  </r>
  <r>
    <x v="263"/>
    <s v="Achat  Billet Brazzaville-Impfondo/Romain"/>
    <s v="Transport"/>
    <s v="Legal"/>
    <n v="37000"/>
    <n v="68.085043740040263"/>
    <n v="543.43799999999999"/>
    <s v="Romain"/>
    <s v="RM-O-R7"/>
    <s v="PALF"/>
    <x v="5"/>
    <s v="Congo"/>
    <m/>
    <m/>
    <m/>
  </r>
  <r>
    <x v="263"/>
    <s v="Frais de transport mission Maitre Alain à Impfondo du 26/10/ au 05/11/2025"/>
    <s v="Transport"/>
    <s v="Legal"/>
    <n v="80000"/>
    <n v="147.21090538387085"/>
    <n v="543.43799999999999"/>
    <s v="Romain"/>
    <s v="CA-O-R28"/>
    <s v="PALF"/>
    <x v="5"/>
    <s v="Congo"/>
    <m/>
    <m/>
    <m/>
  </r>
  <r>
    <x v="263"/>
    <s v="Ration et frais d'hotel mission maitre Alain à Impfondo du 26/10/ au 05/11/2025"/>
    <s v="Travel Subsistence"/>
    <s v="Legal"/>
    <n v="250000"/>
    <n v="460.03407932459635"/>
    <n v="543.43799999999999"/>
    <s v="Romain"/>
    <s v="CA-O-R29"/>
    <s v="PALF"/>
    <x v="5"/>
    <s v="Congo"/>
    <m/>
    <m/>
    <m/>
  </r>
  <r>
    <x v="264"/>
    <s v="Maison-Bureau"/>
    <s v="Transport"/>
    <s v="Management"/>
    <n v="1000"/>
    <n v="1.8401363172983856"/>
    <n v="543.43799999999999"/>
    <s v="DOVI"/>
    <s v="DH-O-D1"/>
    <s v="PALF"/>
    <x v="5"/>
    <s v="Congo"/>
    <m/>
    <m/>
    <m/>
  </r>
  <r>
    <x v="264"/>
    <s v="Maison-Bureau"/>
    <s v="Transport"/>
    <s v="Management"/>
    <n v="1000"/>
    <n v="1.8401363172983856"/>
    <n v="543.43799999999999"/>
    <s v="DOVI"/>
    <s v="DH-O-D1"/>
    <s v="PALF"/>
    <x v="5"/>
    <s v="Congo"/>
    <m/>
    <m/>
    <m/>
  </r>
  <r>
    <x v="264"/>
    <s v="Bureau maison"/>
    <s v="Transport"/>
    <s v="Management"/>
    <n v="1000"/>
    <n v="1.8401363172983856"/>
    <n v="543.43799999999999"/>
    <s v="DOVI"/>
    <s v="DH-O-D1"/>
    <s v="PALF"/>
    <x v="5"/>
    <s v="Congo"/>
    <m/>
    <m/>
    <m/>
  </r>
  <r>
    <x v="264"/>
    <s v="Taxi: Domicile Mayanga OMS-Agence Trans Bony de la Frontière."/>
    <s v="Transport"/>
    <s v="Legal"/>
    <n v="2500"/>
    <n v="4.6003407932459641"/>
    <n v="543.43799999999999"/>
    <s v="Crépin"/>
    <s v="CR-O-D1"/>
    <s v="PALF"/>
    <x v="5"/>
    <s v="Congo"/>
    <m/>
    <m/>
    <m/>
  </r>
  <r>
    <x v="264"/>
    <s v="CREPIN-CONGO Ration du 24/10/ au 03/11/2025 à NKAYI et MADINGOU"/>
    <s v="Travel subsistence"/>
    <s v="Legal"/>
    <n v="100000"/>
    <n v="184.01363172983855"/>
    <n v="543.43799999999999"/>
    <s v="Crépin"/>
    <s v="CR-O-D4"/>
    <s v="PALF"/>
    <x v="5"/>
    <s v="Congo"/>
    <m/>
    <m/>
    <m/>
  </r>
  <r>
    <x v="264"/>
    <s v="Taxi: Agence Trans Bony Nkayi-Hôtel "/>
    <s v="Transport"/>
    <s v="Legal"/>
    <n v="1000"/>
    <n v="1.8401363172983856"/>
    <n v="543.43799999999999"/>
    <s v="Crépin"/>
    <s v="CR-O-D1"/>
    <s v="PALF"/>
    <x v="5"/>
    <s v="Congo"/>
    <m/>
    <m/>
    <m/>
  </r>
  <r>
    <x v="264"/>
    <s v="Taxi:  Bureau-Banque BCI/ Depot ordre de paiement du mois d'octobre  2025"/>
    <s v="Transport"/>
    <s v="Office"/>
    <n v="1000"/>
    <n v="1.8401363172983856"/>
    <n v="543.43799999999999"/>
    <s v="Parfaite"/>
    <s v="P-O-D1"/>
    <s v="PALF"/>
    <x v="5"/>
    <s v="Congo"/>
    <m/>
    <m/>
    <m/>
  </r>
  <r>
    <x v="264"/>
    <s v="Taxi:  Banque BCI - Bureau"/>
    <s v="Transport"/>
    <s v="Office"/>
    <n v="1000"/>
    <n v="1.8401363172983856"/>
    <n v="543.43799999999999"/>
    <s v="Parfaite"/>
    <s v="P-O-D1"/>
    <s v="PALF"/>
    <x v="5"/>
    <s v="Congo"/>
    <m/>
    <m/>
    <m/>
  </r>
  <r>
    <x v="264"/>
    <s v="Taxi:  Bureau - Direction MB2 Services / transfert d'argent à T73 "/>
    <s v="Transport"/>
    <s v="Office"/>
    <n v="1000"/>
    <n v="1.8401363172983856"/>
    <n v="543.43799999999999"/>
    <s v="Parfaite"/>
    <s v="P-O-D1"/>
    <s v="PALF"/>
    <x v="5"/>
    <s v="Congo"/>
    <m/>
    <m/>
    <m/>
  </r>
  <r>
    <x v="264"/>
    <s v="Taxi:Direction MB2 services - Domicile"/>
    <s v="Transport"/>
    <s v="Office"/>
    <n v="1000"/>
    <n v="1.8401363172983856"/>
    <n v="543.43799999999999"/>
    <s v="Parfaite"/>
    <s v="P-O-D1"/>
    <s v="PALF"/>
    <x v="5"/>
    <s v="Congo"/>
    <m/>
    <m/>
    <m/>
  </r>
  <r>
    <x v="264"/>
    <s v="Frais de ramassage Ordure octobre 2025"/>
    <s v="Rent &amp; Utilities"/>
    <s v="Office"/>
    <n v="8000"/>
    <n v="14.721090538387084"/>
    <n v="543.43799999999999"/>
    <s v="Parfaite"/>
    <s v="CA-O-R30"/>
    <s v="PALF"/>
    <x v="5"/>
    <s v="Congo"/>
    <m/>
    <m/>
    <m/>
  </r>
  <r>
    <x v="264"/>
    <s v="Frais de tansfert d'argent  a T73 par momo"/>
    <s v="Transfert fees"/>
    <s v="Office"/>
    <n v="1050"/>
    <n v="1.9321431331633048"/>
    <n v="543.43799999999999"/>
    <s v="Parfaite"/>
    <s v="CA-O-R31"/>
    <s v="PALF"/>
    <x v="5"/>
    <s v="Congo"/>
    <m/>
    <m/>
    <m/>
  </r>
  <r>
    <x v="264"/>
    <s v="Taxi hotel crapp-hotel dechel,reservation chambre équipe"/>
    <s v="Transport"/>
    <s v="Investigation"/>
    <n v="1000"/>
    <n v="1.8401363172983856"/>
    <n v="543.43799999999999"/>
    <s v="P29"/>
    <s v="P29-O-D1"/>
    <s v="PALF"/>
    <x v="5"/>
    <s v="Congo"/>
    <m/>
    <m/>
    <m/>
  </r>
  <r>
    <x v="264"/>
    <s v="Taxi tricycle hotel dechel-hotel crapp"/>
    <s v="Transport"/>
    <s v="Investigation"/>
    <n v="700"/>
    <n v="1.2880954221088698"/>
    <n v="543.43799999999999"/>
    <s v="P29"/>
    <s v="P29-O-D1"/>
    <s v="PALF"/>
    <x v="5"/>
    <s v="Congo"/>
    <m/>
    <m/>
    <m/>
  </r>
  <r>
    <x v="264"/>
    <s v="Taxi tricycle crapp-hotel dechel,travail avec l'équipe"/>
    <s v="Transport"/>
    <s v="Investigation"/>
    <n v="700"/>
    <n v="1.2880954221088698"/>
    <n v="543.43799999999999"/>
    <s v="P29"/>
    <s v="P29-O-D1"/>
    <s v="PALF"/>
    <x v="5"/>
    <s v="Congo"/>
    <m/>
    <m/>
    <m/>
  </r>
  <r>
    <x v="264"/>
    <s v="Taxi tricycle hotel dechel-hotel crapp"/>
    <s v="Transport"/>
    <s v="Investigation"/>
    <n v="700"/>
    <n v="1.2880954221088698"/>
    <n v="543.43799999999999"/>
    <s v="P29"/>
    <s v="P29-O-D1"/>
    <s v="PALF"/>
    <x v="5"/>
    <s v="Congo"/>
    <m/>
    <m/>
    <m/>
  </r>
  <r>
    <x v="264"/>
    <s v="Taxi: hotel - garnd marché (prospection à Pointe noire)"/>
    <s v="Transport"/>
    <s v="Investigation"/>
    <n v="1000"/>
    <n v="1.8401363172983856"/>
    <n v="543.43799999999999"/>
    <s v="T73"/>
    <s v="T73-O-D1"/>
    <s v="PALF"/>
    <x v="5"/>
    <s v="Congo"/>
    <m/>
    <m/>
    <m/>
  </r>
  <r>
    <x v="264"/>
    <s v="Taxi: garnd marché - marché mpaka (prospection à Pointe noire)"/>
    <s v="Transport"/>
    <s v="Investigation"/>
    <n v="1000"/>
    <n v="1.8401363172983856"/>
    <n v="543.43799999999999"/>
    <s v="T73"/>
    <s v="T73-O-D1"/>
    <s v="PALF"/>
    <x v="5"/>
    <s v="Congo"/>
    <m/>
    <m/>
    <m/>
  </r>
  <r>
    <x v="264"/>
    <s v="Taxi: marché mpaka - zone pharmacie Pascal (prospection à Pointe noire)"/>
    <s v="Transport"/>
    <s v="Investigation"/>
    <n v="1000"/>
    <n v="1.8401363172983856"/>
    <n v="543.43799999999999"/>
    <s v="T73"/>
    <s v="T73-O-D1"/>
    <s v="PALF"/>
    <x v="5"/>
    <s v="Congo"/>
    <m/>
    <m/>
    <m/>
  </r>
  <r>
    <x v="264"/>
    <s v="Taxi: zone pharmacie Pascal - quartier mvoungou (prospection à Pointe noire)"/>
    <s v="Transport"/>
    <s v="Investigation"/>
    <n v="1000"/>
    <n v="1.8401363172983856"/>
    <n v="543.43799999999999"/>
    <s v="T73"/>
    <s v="T73-O-D1"/>
    <s v="PALF"/>
    <x v="5"/>
    <s v="Congo"/>
    <m/>
    <m/>
    <m/>
  </r>
  <r>
    <x v="264"/>
    <s v="Taxi: quartier mvoungou - Patra (prospection à Pointe noire)"/>
    <s v="Transport"/>
    <s v="Investigation"/>
    <n v="1000"/>
    <n v="1.8401363172983856"/>
    <n v="543.43799999999999"/>
    <s v="T73"/>
    <s v="T73-O-D1"/>
    <s v="PALF"/>
    <x v="5"/>
    <s v="Congo"/>
    <m/>
    <m/>
    <m/>
  </r>
  <r>
    <x v="264"/>
    <s v="Taxi: Patra - hotel (fin de journée)"/>
    <s v="Transport"/>
    <s v="Investigation"/>
    <n v="1000"/>
    <n v="1.8401363172983856"/>
    <n v="543.43799999999999"/>
    <s v="T73"/>
    <s v="T73-O-D1"/>
    <s v="PALF"/>
    <x v="5"/>
    <s v="Congo"/>
    <m/>
    <m/>
    <m/>
  </r>
  <r>
    <x v="264"/>
    <s v="Achat boisson/une cible"/>
    <s v="Trust building"/>
    <s v="Investigation"/>
    <n v="2000"/>
    <n v="3.6802726345967711"/>
    <n v="543.43799999999999"/>
    <s v="T73"/>
    <s v="T73-O-D2"/>
    <s v="PALF"/>
    <x v="5"/>
    <s v="Congo"/>
    <m/>
    <m/>
    <m/>
  </r>
  <r>
    <x v="264"/>
    <s v="Taxi tricycle : Pharmacie du plateau - Hôtel Déchel/ Séance de travail"/>
    <s v="Transport"/>
    <s v="Investigation"/>
    <n v="500"/>
    <m/>
    <n v="543.43799999999999"/>
    <s v="IT87"/>
    <s v="IT87-O-D1"/>
    <s v="PALF"/>
    <x v="5"/>
    <s v="Congo"/>
    <m/>
    <m/>
    <m/>
  </r>
  <r>
    <x v="264"/>
    <s v="Taxi tricycle : Hôtel Déchel - Hôtel Syldon/ Fin de séance de travail"/>
    <s v="Transport"/>
    <s v="Investigation"/>
    <n v="700"/>
    <n v="1.2880954221088698"/>
    <n v="543.43799999999999"/>
    <s v="IT87"/>
    <s v="IT87-O-D1"/>
    <s v="PALF"/>
    <x v="5"/>
    <s v="Congo"/>
    <m/>
    <m/>
    <m/>
  </r>
  <r>
    <x v="264"/>
    <s v="Taxi:Maison d'arrêt de Dolisie-Hôtel Moukondo"/>
    <s v="Transport"/>
    <s v="Legal"/>
    <n v="1000"/>
    <n v="1.8401363172983856"/>
    <n v="543.43799999999999"/>
    <s v="Abraham"/>
    <s v="AB-O-D1"/>
    <s v="PALF"/>
    <x v="5"/>
    <s v="Congo"/>
    <m/>
    <m/>
    <m/>
  </r>
  <r>
    <x v="264"/>
    <s v="Taxi:Hôtel Moukondo-Maison d'arrêt de Dolisie"/>
    <s v="Transport"/>
    <s v="Legal"/>
    <n v="1000"/>
    <n v="1.8401363172983856"/>
    <n v="543.43799999999999"/>
    <s v="Abraham"/>
    <s v="AB-O-D1"/>
    <s v="PALF"/>
    <x v="5"/>
    <s v="Congo"/>
    <m/>
    <m/>
    <m/>
  </r>
  <r>
    <x v="264"/>
    <s v="Ration/matin 2 détenus à la maison d'arrêt de Dolisie/ détenus visités: MOMBO Lionnel, MBIYABA Darel"/>
    <s v="Jail visits"/>
    <s v="Legal"/>
    <n v="3000"/>
    <n v="5.5204089518951562"/>
    <n v="543.43799999999999"/>
    <s v="Abraham"/>
    <s v="AB-O-D3"/>
    <s v="PALF"/>
    <x v="5"/>
    <s v="Congo"/>
    <m/>
    <m/>
    <m/>
  </r>
  <r>
    <x v="264"/>
    <s v="Taxi:Maison d'arrêt de Dolisie-TGI de Dolisie"/>
    <s v="Transport"/>
    <s v="Legal"/>
    <n v="1000"/>
    <n v="1.8401363172983856"/>
    <n v="543.43799999999999"/>
    <s v="Abraham"/>
    <s v="AB-O-D1"/>
    <s v="PALF"/>
    <x v="5"/>
    <s v="Congo"/>
    <m/>
    <m/>
    <m/>
  </r>
  <r>
    <x v="264"/>
    <s v="Taxi:TGI de Dolisie-Agence Transbony de Dolisie/réservation du billet"/>
    <s v="Transport"/>
    <s v="Legal"/>
    <n v="1000"/>
    <n v="1.8401363172983856"/>
    <n v="543.43799999999999"/>
    <s v="Abraham"/>
    <s v="AB-O-D1"/>
    <s v="PALF"/>
    <x v="5"/>
    <s v="Congo"/>
    <m/>
    <m/>
    <m/>
  </r>
  <r>
    <x v="264"/>
    <s v="Taxi:Agence Transbony de Dolisie-Agence Océan du Nord de Dolisie/réservation des billets"/>
    <s v="Transport"/>
    <s v="Legal"/>
    <n v="1000"/>
    <n v="1.8401363172983856"/>
    <n v="543.43799999999999"/>
    <s v="Abraham"/>
    <s v="AB-O-D1"/>
    <s v="PALF"/>
    <x v="5"/>
    <s v="Congo"/>
    <m/>
    <m/>
    <m/>
  </r>
  <r>
    <x v="264"/>
    <s v="Achat billet Dolisie - Nkayi/Abraham"/>
    <s v="Transport"/>
    <s v="Legal"/>
    <n v="2000"/>
    <n v="3.6802726345967711"/>
    <n v="543.43799999999999"/>
    <s v="Abraham"/>
    <s v="AB-O-R5"/>
    <s v="PALF"/>
    <x v="5"/>
    <s v="Congo"/>
    <m/>
    <m/>
    <m/>
  </r>
  <r>
    <x v="264"/>
    <s v="Taxi:Domicile-Agence Trans Bony de kintélé"/>
    <s v="Transport"/>
    <s v="Legal"/>
    <n v="1000"/>
    <n v="1.8401363172983856"/>
    <n v="543.43799999999999"/>
    <s v="Roderlin"/>
    <s v="RO-O-D1"/>
    <s v="PALF"/>
    <x v="5"/>
    <s v="Congo"/>
    <m/>
    <m/>
    <m/>
  </r>
  <r>
    <x v="264"/>
    <s v="RODERLIN-CONGO Ration du 24 /10/ au 03/ 11/2025 à Nkayi,  Madingou(10 nuitées)"/>
    <s v="Travel Subsistence"/>
    <s v="Legal"/>
    <n v="100000"/>
    <n v="184.01363172983855"/>
    <n v="543.43799999999999"/>
    <s v="Roderlin"/>
    <s v="RO-O-D2"/>
    <s v="PALF"/>
    <x v="5"/>
    <s v="Congo"/>
    <m/>
    <m/>
    <m/>
  </r>
  <r>
    <x v="264"/>
    <s v="Taxi, Domicile-Agence Trans Bony de Brazzaville"/>
    <s v="Transport"/>
    <s v="Media"/>
    <n v="1000"/>
    <n v="1.8401363172983856"/>
    <n v="543.43799999999999"/>
    <s v="Evariste"/>
    <s v="EV-O-D1"/>
    <s v="PALF"/>
    <x v="5"/>
    <s v="Congo"/>
    <m/>
    <m/>
    <m/>
  </r>
  <r>
    <x v="264"/>
    <s v="Evariste-CONGO- Ration du 24 au 31 octobre 2025 mission de Nkayi et Madingou (7 nuitées)"/>
    <s v="Travel Subsistence"/>
    <s v="Media"/>
    <n v="70000"/>
    <n v="128.80954221088697"/>
    <n v="543.43799999999999"/>
    <s v="Evariste"/>
    <s v="EV-O-D3"/>
    <s v="PALF"/>
    <x v="5"/>
    <s v="Congo"/>
    <m/>
    <m/>
    <m/>
  </r>
  <r>
    <x v="264"/>
    <s v="Paiement salaire du mois d'octobre 2025/Homéfa DOVI/3655339"/>
    <s v="Personnel"/>
    <s v="Management"/>
    <n v="1311000"/>
    <n v="2412.4187119781832"/>
    <n v="543.43799999999999"/>
    <s v="BCI"/>
    <s v="BQ-O-R24"/>
    <s v="PALF"/>
    <x v="5"/>
    <s v="Congo"/>
    <m/>
    <m/>
    <m/>
  </r>
  <r>
    <x v="264"/>
    <s v="Paiement salaire du mois  d'octobre 2025/BAVOUMINA NZOUSSI Dina Parfaite/3655340"/>
    <s v="Personnel"/>
    <s v="Office"/>
    <n v="258800"/>
    <n v="476.22727891682217"/>
    <n v="543.43799999999999"/>
    <s v="BCI"/>
    <s v="BQ-O-R25"/>
    <s v="PALF"/>
    <x v="5"/>
    <s v="Congo"/>
    <m/>
    <m/>
    <m/>
  </r>
  <r>
    <x v="264"/>
    <s v="Paiement salaire du mois d'octobre 2025/Crepin IBOUILI-IBOUILI"/>
    <s v="Personnel"/>
    <s v="Legal"/>
    <n v="580282"/>
    <n v="1067.7979824745416"/>
    <n v="543.43799999999999"/>
    <s v="BCI"/>
    <s v="BQ-O-R26"/>
    <s v="PALF"/>
    <x v="5"/>
    <s v="Congo"/>
    <m/>
    <m/>
    <m/>
  </r>
  <r>
    <x v="264"/>
    <s v="Paiement salaire du mois  d'octobre 2025/PINDI BINGA Donald- Roméo"/>
    <s v="Personnel"/>
    <s v="Legal"/>
    <n v="328800"/>
    <n v="605.03682112770912"/>
    <n v="543.43799999999999"/>
    <s v="BCI"/>
    <s v="BQ-O-R27"/>
    <s v="PALF"/>
    <x v="5"/>
    <s v="Congo"/>
    <m/>
    <m/>
    <m/>
  </r>
  <r>
    <x v="264"/>
    <s v="Paiement salaire du mois  d'octobre 2025/Evariste LELOUSSI"/>
    <s v="Personnel"/>
    <s v="Media"/>
    <n v="266940"/>
    <n v="491.20598853963105"/>
    <n v="543.43799999999999"/>
    <s v="BCI"/>
    <s v="BQ-O-R28"/>
    <s v="PALF"/>
    <x v="5"/>
    <s v="Congo"/>
    <m/>
    <m/>
    <m/>
  </r>
  <r>
    <x v="264"/>
    <s v="Paiement salaire du mois  d'octobre 2025/FOUMBA Roderlin/3655338"/>
    <s v="Personnel"/>
    <s v="Legal"/>
    <n v="228800"/>
    <n v="421.02318939787062"/>
    <n v="543.43799999999999"/>
    <s v="BCI"/>
    <s v="BQ-O-R29"/>
    <s v="PALF"/>
    <x v="5"/>
    <s v="Congo"/>
    <m/>
    <m/>
    <m/>
  </r>
  <r>
    <x v="264"/>
    <s v="Paiement salaire du mois  d'octobre 2025/BOUNGOU MAKOSSO Abraham/3655337"/>
    <s v="Personnel"/>
    <s v="Legal"/>
    <n v="228800"/>
    <n v="421.02318939787062"/>
    <n v="543.43799999999999"/>
    <s v="BCI"/>
    <s v="BQ-O-R30"/>
    <s v="PALF"/>
    <x v="5"/>
    <s v="Congo"/>
    <m/>
    <m/>
    <m/>
  </r>
  <r>
    <x v="264"/>
    <s v="Paiement salaire du mois  d'octobre 2025/LOUNDOU JeanRomain/3655336"/>
    <s v="Personnel"/>
    <s v="Legal"/>
    <n v="228800"/>
    <n v="421.02318939787062"/>
    <n v="543.43799999999999"/>
    <s v="BCI"/>
    <s v="BQ-O-R31"/>
    <s v="PALF"/>
    <x v="5"/>
    <s v="Congo"/>
    <m/>
    <m/>
    <m/>
  </r>
  <r>
    <x v="265"/>
    <s v="DOVI-CONGO Ration du 25 Octobre 2025 au 29 Octobre 2025 soit 04 nuitées à Nkayi(Hôtel LE DECHEL)"/>
    <s v="Travel subsistence"/>
    <s v="Management"/>
    <n v="40000"/>
    <n v="73.605452691935426"/>
    <n v="543.43799999999999"/>
    <s v="DOVI"/>
    <s v="DH-O-D3"/>
    <s v="PALF"/>
    <x v="5"/>
    <s v="Congo"/>
    <m/>
    <m/>
    <m/>
  </r>
  <r>
    <x v="265"/>
    <s v="Maison- Agence Transbony La Frontière"/>
    <s v="Transport"/>
    <s v="Management"/>
    <n v="1000"/>
    <n v="1.8401363172983856"/>
    <n v="543.43799999999999"/>
    <s v="DOVI"/>
    <s v="DH-O-D1"/>
    <s v="PALF"/>
    <x v="5"/>
    <s v="Congo"/>
    <m/>
    <m/>
    <m/>
  </r>
  <r>
    <x v="265"/>
    <s v="Taxi tricycle crapp-hotel dechel,travail avec l'équipe"/>
    <s v="Transport"/>
    <s v="Investigation"/>
    <n v="700"/>
    <n v="1.2880954221088698"/>
    <n v="543.43799999999999"/>
    <s v="P29"/>
    <s v="P29-O-D1"/>
    <s v="PALF"/>
    <x v="5"/>
    <s v="Congo"/>
    <m/>
    <m/>
    <m/>
  </r>
  <r>
    <x v="265"/>
    <s v="Taxi tricycle hotel dechel-hotel crapp"/>
    <s v="Transport"/>
    <s v="Investigation"/>
    <n v="700"/>
    <n v="1.2880954221088698"/>
    <n v="543.43799999999999"/>
    <s v="P29"/>
    <s v="P29-O-D1"/>
    <s v="PALF"/>
    <x v="5"/>
    <s v="Congo"/>
    <m/>
    <m/>
    <m/>
  </r>
  <r>
    <x v="265"/>
    <s v="Taxi tricycle crapp-hotel dechel,travail avec l'équipe"/>
    <s v="Transport"/>
    <s v="Investigation"/>
    <n v="700"/>
    <n v="1.2880954221088698"/>
    <n v="543.43799999999999"/>
    <s v="P29"/>
    <s v="P29-O-D1"/>
    <s v="PALF"/>
    <x v="5"/>
    <s v="Congo"/>
    <m/>
    <m/>
    <m/>
  </r>
  <r>
    <x v="265"/>
    <s v="Taxi tricycle hotel dechel-hotel crapp"/>
    <s v="Transport"/>
    <s v="Investigation"/>
    <n v="700"/>
    <n v="1.2880954221088698"/>
    <n v="543.43799999999999"/>
    <s v="P29"/>
    <s v="P29-O-D1"/>
    <s v="PALF"/>
    <x v="5"/>
    <s v="Congo"/>
    <m/>
    <m/>
    <m/>
  </r>
  <r>
    <x v="265"/>
    <s v="Taxi : hotel la provence - marché mvoungou  (prospection)"/>
    <s v="Transport"/>
    <s v="Investigation"/>
    <n v="1000"/>
    <n v="1.8401363172983856"/>
    <n v="543.43799999999999"/>
    <s v="T73"/>
    <s v="T73-O-D1"/>
    <s v="PALF"/>
    <x v="5"/>
    <s v="Congo"/>
    <m/>
    <m/>
    <m/>
  </r>
  <r>
    <x v="265"/>
    <s v="Taxi : marché mvoungou - zone église orthodoxe  (prospection)"/>
    <s v="Transport"/>
    <s v="Investigation"/>
    <n v="1000"/>
    <n v="1.8401363172983856"/>
    <n v="543.43799999999999"/>
    <s v="T73"/>
    <s v="T73-O-D1"/>
    <s v="PALF"/>
    <x v="5"/>
    <s v="Congo"/>
    <m/>
    <m/>
    <m/>
  </r>
  <r>
    <x v="265"/>
    <s v="Taxi : zone église orthodoxe - sympathique  (rendez vous avec la cible)"/>
    <s v="Transport"/>
    <s v="Investigation"/>
    <n v="1000"/>
    <n v="1.8401363172983856"/>
    <n v="543.43799999999999"/>
    <s v="T73"/>
    <s v="T73-O-D1"/>
    <s v="PALF"/>
    <x v="5"/>
    <s v="Congo"/>
    <m/>
    <m/>
    <m/>
  </r>
  <r>
    <x v="265"/>
    <s v="Taxi : sympathique - grand marché  (extraction)"/>
    <s v="Transport"/>
    <s v="Investigation"/>
    <n v="1000"/>
    <n v="1.8401363172983856"/>
    <n v="543.43799999999999"/>
    <s v="T73"/>
    <s v="T73-O-D1"/>
    <s v="PALF"/>
    <x v="5"/>
    <s v="Congo"/>
    <m/>
    <m/>
    <m/>
  </r>
  <r>
    <x v="265"/>
    <s v="Taxi : grand marché - zone de l'hopital  (extraction)"/>
    <s v="Transport"/>
    <s v="Investigation"/>
    <n v="1000"/>
    <n v="1.8401363172983856"/>
    <n v="543.43799999999999"/>
    <s v="T73"/>
    <s v="T73-O-D1"/>
    <s v="PALF"/>
    <x v="5"/>
    <s v="Congo"/>
    <m/>
    <m/>
    <m/>
  </r>
  <r>
    <x v="265"/>
    <s v="Taxi : zone de l'hopital - Mpaka  (extraction)"/>
    <s v="Transport"/>
    <s v="Investigation"/>
    <n v="1000"/>
    <n v="1.8401363172983856"/>
    <n v="543.43799999999999"/>
    <s v="T73"/>
    <s v="T73-O-D1"/>
    <s v="PALF"/>
    <x v="5"/>
    <s v="Congo"/>
    <m/>
    <m/>
    <m/>
  </r>
  <r>
    <x v="265"/>
    <s v="Taxi : Mpaka - agence - Océan du nord (achat billet)"/>
    <s v="Transport"/>
    <s v="Investigation"/>
    <n v="1000"/>
    <n v="1.8401363172983856"/>
    <n v="543.43799999999999"/>
    <s v="T73"/>
    <s v="T73-O-D1"/>
    <s v="PALF"/>
    <x v="5"/>
    <s v="Congo"/>
    <m/>
    <m/>
    <m/>
  </r>
  <r>
    <x v="265"/>
    <s v="Taxi : Océan du nord - hotel  (fin de journée)"/>
    <s v="Transport"/>
    <s v="Investigation"/>
    <n v="1000"/>
    <n v="1.8401363172983856"/>
    <n v="543.43799999999999"/>
    <s v="T73"/>
    <s v="T73-O-D1"/>
    <s v="PALF"/>
    <x v="5"/>
    <s v="Congo"/>
    <m/>
    <m/>
    <m/>
  </r>
  <r>
    <x v="265"/>
    <s v="Achat boisson et nourriture"/>
    <s v="Trust building"/>
    <s v="Investigation"/>
    <n v="2000"/>
    <n v="3.6802726345967711"/>
    <n v="543.43799999999999"/>
    <s v="T73"/>
    <s v="T73-O-D2"/>
    <s v="PALF"/>
    <x v="5"/>
    <s v="Congo"/>
    <m/>
    <m/>
    <m/>
  </r>
  <r>
    <x v="265"/>
    <s v="Taxi : Hôtel Syldon - Hôtel Déchel/ Séance de travail avec l'équipe"/>
    <s v="Transport"/>
    <s v="Investigation"/>
    <n v="1000"/>
    <n v="1.8401363172983856"/>
    <n v="543.43799999999999"/>
    <s v="IT87"/>
    <s v="IT87-O-D1"/>
    <s v="PALF"/>
    <x v="5"/>
    <s v="Congo"/>
    <m/>
    <m/>
    <m/>
  </r>
  <r>
    <x v="265"/>
    <s v="Taxi : Hôtel Déchel - Hôtel Sylon/ Fin de séance de travail avec l'équipe"/>
    <s v="Transport"/>
    <s v="Investigation"/>
    <n v="1000"/>
    <n v="1.8401363172983856"/>
    <n v="543.43799999999999"/>
    <s v="IT87"/>
    <s v="IT87-O-D1"/>
    <s v="PALF"/>
    <x v="5"/>
    <s v="Congo"/>
    <m/>
    <m/>
    <m/>
  </r>
  <r>
    <x v="265"/>
    <s v="ABRAHAM - CONGO frais d'Hôtel (Hôtel Moukondo) du 23 au 25/10/2025 à Dolisie (02 Nuitées)"/>
    <s v="Travel subsistence"/>
    <s v="Legal"/>
    <n v="30000"/>
    <n v="55.204089518951562"/>
    <n v="543.43799999999999"/>
    <s v="Abraham"/>
    <s v="AB-O-R6"/>
    <s v="PALF"/>
    <x v="5"/>
    <s v="Congo"/>
    <m/>
    <m/>
    <m/>
  </r>
  <r>
    <x v="265"/>
    <s v="Taxi-moto: Agence Océan du Nord de Nkayi RN1-hôtel le Déchel"/>
    <s v="Transport"/>
    <s v="Legal"/>
    <n v="1000"/>
    <n v="1.8401363172983856"/>
    <n v="543.43799999999999"/>
    <s v="Abraham"/>
    <s v="AB-O-D1"/>
    <s v="PALF"/>
    <x v="5"/>
    <s v="Congo"/>
    <m/>
    <m/>
    <m/>
  </r>
  <r>
    <x v="265"/>
    <s v="Taxi-moto: Hôtel Mouanda-Hôpital Référence de Nkayi"/>
    <s v="Transport"/>
    <s v="Legal"/>
    <n v="500"/>
    <n v="0.92006815864919278"/>
    <n v="543.43799999999999"/>
    <s v="Abraham"/>
    <s v="AB-O-D1"/>
    <s v="PALF"/>
    <x v="5"/>
    <s v="Congo"/>
    <m/>
    <m/>
    <m/>
  </r>
  <r>
    <x v="266"/>
    <s v="Taxi tricycle crapp-hotel dechel,travail avec l'équipe"/>
    <s v="Transport"/>
    <s v="Investigation"/>
    <n v="1000"/>
    <n v="1.8401363172983856"/>
    <n v="543.43799999999999"/>
    <s v="P29"/>
    <s v="P29-O-D1"/>
    <s v="PALF"/>
    <x v="5"/>
    <s v="Congo"/>
    <m/>
    <m/>
    <m/>
  </r>
  <r>
    <x v="266"/>
    <s v="Taxi tricycle hotel dechel-hotel crapp"/>
    <s v="Transport"/>
    <s v="Investigation"/>
    <n v="1000"/>
    <n v="1.8401363172983856"/>
    <n v="543.43799999999999"/>
    <s v="P29"/>
    <s v="P29-O-D1"/>
    <s v="PALF"/>
    <x v="5"/>
    <s v="Congo"/>
    <m/>
    <m/>
    <m/>
  </r>
  <r>
    <x v="266"/>
    <s v="Taxi crapp-hotel dechel,travail avec l'équipe"/>
    <s v="Transport"/>
    <s v="Investigation"/>
    <n v="1000"/>
    <n v="1.8401363172983856"/>
    <n v="543.43799999999999"/>
    <s v="P29"/>
    <s v="P29-O-D1"/>
    <s v="PALF"/>
    <x v="5"/>
    <s v="Congo"/>
    <m/>
    <m/>
    <m/>
  </r>
  <r>
    <x v="266"/>
    <s v="Taxi  hotel dechel-hotel crapp"/>
    <s v="Transport"/>
    <s v="Investigation"/>
    <n v="1000"/>
    <n v="1.8401363172983856"/>
    <n v="543.43799999999999"/>
    <s v="P29"/>
    <s v="P29-O-D1"/>
    <s v="PALF"/>
    <x v="5"/>
    <s v="Congo"/>
    <m/>
    <m/>
    <m/>
  </r>
  <r>
    <x v="266"/>
    <s v="Taxi  crapp-hotel dechel,travail avec l'équipe"/>
    <s v="Transport"/>
    <s v="Investigation"/>
    <n v="1000"/>
    <n v="1.8401363172983856"/>
    <n v="543.43799999999999"/>
    <s v="P29"/>
    <s v="P29-O-D1"/>
    <s v="PALF"/>
    <x v="5"/>
    <s v="Congo"/>
    <m/>
    <m/>
    <m/>
  </r>
  <r>
    <x v="266"/>
    <s v="Taxi  hotel dechel-hotel crapp"/>
    <s v="Transport"/>
    <s v="Investigation"/>
    <n v="1000"/>
    <n v="1.8401363172983856"/>
    <n v="543.43799999999999"/>
    <s v="P29"/>
    <s v="P29-O-D1"/>
    <s v="PALF"/>
    <x v="5"/>
    <s v="Congo"/>
    <m/>
    <m/>
    <m/>
  </r>
  <r>
    <x v="266"/>
    <s v="Taxi hotel crapp-cabane,croiser le menusier pour la fabrication de la cage"/>
    <s v="Transport"/>
    <s v="Investigation"/>
    <n v="1000"/>
    <n v="1.8401363172983856"/>
    <n v="543.43799999999999"/>
    <s v="P29"/>
    <s v="P29-O-D1"/>
    <s v="PALF"/>
    <x v="5"/>
    <s v="Congo"/>
    <m/>
    <m/>
    <m/>
  </r>
  <r>
    <x v="266"/>
    <s v="Taxi cabane-hotel crapp"/>
    <s v="Transport"/>
    <s v="Investigation"/>
    <n v="1000"/>
    <n v="1.8401363172983856"/>
    <n v="543.43799999999999"/>
    <s v="P29"/>
    <s v="P29-O-D1"/>
    <s v="PALF"/>
    <x v="5"/>
    <s v="Congo"/>
    <m/>
    <m/>
    <m/>
  </r>
  <r>
    <x v="266"/>
    <s v="Achat billet  Pointe noire - Brazzaville/T73"/>
    <s v="Transport"/>
    <s v="Investigation"/>
    <n v="12000"/>
    <n v="22.081635807580625"/>
    <n v="543.43799999999999"/>
    <s v="T73"/>
    <s v="T73-O-R16"/>
    <s v="PALF"/>
    <x v="5"/>
    <s v="Congo"/>
    <m/>
    <m/>
    <m/>
  </r>
  <r>
    <x v="266"/>
    <s v="T73 - CONGO Frais d'hotel du 22/10/2025 au 26/10/2025 à Pointe noire (04 Nuitées)"/>
    <s v="Travel subsistence"/>
    <s v="Investigation"/>
    <n v="60000"/>
    <n v="110.40817903790312"/>
    <n v="543.43799999999999"/>
    <s v="T73"/>
    <s v="T73-O-R17"/>
    <s v="PALF"/>
    <x v="5"/>
    <s v="Congo"/>
    <m/>
    <m/>
    <m/>
  </r>
  <r>
    <x v="266"/>
    <s v="Taxi : hotel la providence - agence océan (retour sur Brazzaville)"/>
    <s v="Transport"/>
    <s v="Investigation"/>
    <n v="1000"/>
    <n v="1.8401363172983856"/>
    <n v="543.43799999999999"/>
    <s v="T73"/>
    <s v="T73-O-D1"/>
    <s v="PALF"/>
    <x v="5"/>
    <s v="Congo"/>
    <m/>
    <m/>
    <m/>
  </r>
  <r>
    <x v="266"/>
    <s v="Taxi : agence océan - domicile (retour sur Brazzaville)"/>
    <s v="Transport"/>
    <s v="Investigation"/>
    <n v="1000"/>
    <n v="1.8401363172983856"/>
    <n v="543.43799999999999"/>
    <s v="T73"/>
    <s v="T73-O-D1"/>
    <s v="PALF"/>
    <x v="5"/>
    <s v="Congo"/>
    <m/>
    <m/>
    <m/>
  </r>
  <r>
    <x v="266"/>
    <s v="Taxi tricycle : Hôtel Syldon - Hôtel Déchel/ Séance de travail avec l'équipe"/>
    <s v="Transport"/>
    <s v="Investigation"/>
    <n v="700"/>
    <n v="1.2880954221088698"/>
    <n v="543.43799999999999"/>
    <s v="IT87"/>
    <s v="IT87-O-D1"/>
    <s v="PALF"/>
    <x v="5"/>
    <s v="Congo"/>
    <m/>
    <m/>
    <m/>
  </r>
  <r>
    <x v="266"/>
    <s v="Taxi : Hôtel Déchel - Hôtel Sylon/ Fin de séance de travail avec l'équipe"/>
    <s v="Transport"/>
    <s v="Investigation"/>
    <n v="1000"/>
    <n v="1.8401363172983856"/>
    <n v="543.43799999999999"/>
    <s v="IT87"/>
    <s v="IT87-O-D1"/>
    <s v="PALF"/>
    <x v="5"/>
    <s v="Congo"/>
    <m/>
    <m/>
    <m/>
  </r>
  <r>
    <x v="266"/>
    <s v="Taxi: Domicile-Agence Océan du Nord de Talangai"/>
    <s v="Transport"/>
    <s v="Legal"/>
    <n v="3500"/>
    <n v="6.4404771105443492"/>
    <n v="543.43799999999999"/>
    <s v="Romain"/>
    <s v="RM-O-D1"/>
    <s v="PALF"/>
    <x v="5"/>
    <s v="Congo"/>
    <m/>
    <m/>
    <m/>
  </r>
  <r>
    <x v="266"/>
    <s v="Taxi: Agence Océan du Nord de Ouesso, Hotel-LE CLAIR MATIN"/>
    <s v="Transport"/>
    <s v="Legal"/>
    <n v="1000"/>
    <n v="1.8401363172983856"/>
    <n v="543.43799999999999"/>
    <s v="Romain"/>
    <s v="RM-O-D1"/>
    <s v="PALF"/>
    <x v="5"/>
    <s v="Congo"/>
    <m/>
    <m/>
    <m/>
  </r>
  <r>
    <x v="266"/>
    <s v="ROMAIN-CONGO: Ration du 26/10/2025 au 05/11/2025 (10 jours en Mission)"/>
    <s v="Travel Subsistence"/>
    <s v="Legal"/>
    <n v="100000"/>
    <n v="184.01363172983855"/>
    <n v="543.43799999999999"/>
    <s v="Romain"/>
    <s v="RM-O-D4"/>
    <s v="PALF"/>
    <x v="5"/>
    <s v="Congo"/>
    <m/>
    <m/>
    <m/>
  </r>
  <r>
    <x v="267"/>
    <s v="Rafraîchissement et restauration à l'équipe des EF déplacés sur Madingou"/>
    <s v="Travel subsistence"/>
    <s v="Management"/>
    <n v="14600"/>
    <n v="26.865990232556427"/>
    <n v="543.43799999999999"/>
    <s v="DOVI"/>
    <s v="DH-O-R9"/>
    <s v="PALF"/>
    <x v="5"/>
    <s v="Congo"/>
    <m/>
    <m/>
    <m/>
  </r>
  <r>
    <x v="267"/>
    <s v="Achat carburant dans le véhicule de la CBEF pour Madingou Aller -Retour"/>
    <s v="Transport"/>
    <s v="Operation"/>
    <n v="10000"/>
    <n v="18.401363172983856"/>
    <n v="543.43799999999999"/>
    <s v="DOVI"/>
    <s v="DH-O-R10"/>
    <s v="PALF"/>
    <x v="5"/>
    <s v="Congo"/>
    <m/>
    <m/>
    <m/>
  </r>
  <r>
    <x v="267"/>
    <s v="Credit telephonique MTN/PALF/ du 27 octobre au 02 novembre 2025/ DOVI"/>
    <s v="Telephone"/>
    <s v="Management"/>
    <n v="12500"/>
    <n v="23.001703966229819"/>
    <n v="543.43799999999999"/>
    <s v="DOVI"/>
    <s v="DH-O-R11"/>
    <s v="PALF"/>
    <x v="5"/>
    <s v="Congo"/>
    <m/>
    <m/>
    <m/>
  </r>
  <r>
    <x v="267"/>
    <s v="CREPIN- CONGO-Frais d'hôtel  du 24 au 27/10/2025 à NKAYI (03 Nuitées)"/>
    <s v="Travel subsistence"/>
    <s v="Legal"/>
    <n v="45000"/>
    <n v="82.806134278427351"/>
    <n v="543.43799999999999"/>
    <s v="Crépin"/>
    <s v="CR-O-R12"/>
    <s v="PALF"/>
    <x v="5"/>
    <s v="Congo"/>
    <m/>
    <m/>
    <m/>
  </r>
  <r>
    <x v="267"/>
    <s v="Tricycle: Hôtel Dechel-Hôtel Mouanda repérage et occupation de la chambre opération"/>
    <s v="Transport"/>
    <s v="Legal"/>
    <n v="500"/>
    <n v="0.92006815864919278"/>
    <n v="543.43799999999999"/>
    <s v="Crépin"/>
    <s v="CR-O-D1"/>
    <s v="PALF"/>
    <x v="5"/>
    <s v="Congo"/>
    <m/>
    <m/>
    <m/>
  </r>
  <r>
    <x v="267"/>
    <s v="Taxi: Hôtel Mouanda-BEF Nkayi"/>
    <s v="Transport"/>
    <s v="Legal"/>
    <n v="1000"/>
    <n v="1.8401363172983856"/>
    <n v="543.43799999999999"/>
    <s v="Crépin"/>
    <s v="CR-O-D1"/>
    <s v="PALF"/>
    <x v="5"/>
    <s v="Congo"/>
    <m/>
    <m/>
    <m/>
  </r>
  <r>
    <x v="267"/>
    <s v="Tricycle: Hôtel Dechel-Hôtel Mouanda après le briefing équipe PALF"/>
    <s v="Transport"/>
    <s v="Legal"/>
    <n v="500"/>
    <n v="0.92006815864919278"/>
    <n v="543.43799999999999"/>
    <s v="Crépin"/>
    <s v="CR-O-D1"/>
    <s v="PALF"/>
    <x v="5"/>
    <s v="Congo"/>
    <m/>
    <m/>
    <m/>
  </r>
  <r>
    <x v="267"/>
    <s v="Credit telephonique MTN PALF/du 27  octobre au 02 novembre 2025/ crepin"/>
    <s v="Telephone"/>
    <s v="Legal"/>
    <n v="10000"/>
    <n v="18.401363172983856"/>
    <n v="543.43799999999999"/>
    <s v="Crépin"/>
    <s v="CR-O-R13"/>
    <s v="PALF"/>
    <x v="5"/>
    <s v="Congo"/>
    <m/>
    <m/>
    <m/>
  </r>
  <r>
    <x v="267"/>
    <s v="Taxi:  Bureau- Charden farell/ transfert d'argent à DOVI, Crépin, P29, Abraham, Evariste, IT87 et Roderlin"/>
    <s v="Transport"/>
    <s v="Office"/>
    <n v="500"/>
    <n v="0.92006815864919278"/>
    <n v="543.43799999999999"/>
    <s v="Parfaite"/>
    <s v="P-O-D1"/>
    <s v="PALF"/>
    <x v="5"/>
    <s v="Congo"/>
    <m/>
    <m/>
    <m/>
  </r>
  <r>
    <x v="267"/>
    <s v="Taxi: Charden Farell-Banque BCI/ Retrait espece 2025"/>
    <s v="Transport"/>
    <s v="Office"/>
    <n v="1000"/>
    <n v="1.8401363172983856"/>
    <n v="543.43799999999999"/>
    <s v="Parfaite"/>
    <s v="P-O-D1"/>
    <s v="PALF"/>
    <x v="5"/>
    <s v="Congo"/>
    <m/>
    <m/>
    <m/>
  </r>
  <r>
    <x v="267"/>
    <s v="Taxi: Banque BCI-Direction MTN/ achat credit telephonique "/>
    <s v="Transport"/>
    <s v="Office"/>
    <n v="500"/>
    <n v="0.92006815864919278"/>
    <n v="543.43799999999999"/>
    <s v="Parfaite"/>
    <s v="P-O-D1"/>
    <s v="PALF"/>
    <x v="5"/>
    <s v="Congo"/>
    <m/>
    <m/>
    <m/>
  </r>
  <r>
    <x v="267"/>
    <s v="Taxi:   Direction MTN-Bureau"/>
    <s v="Transport"/>
    <s v="Office"/>
    <n v="1000"/>
    <n v="1.8401363172983856"/>
    <n v="543.43799999999999"/>
    <s v="Parfaite"/>
    <s v="P-O-D1"/>
    <s v="PALF"/>
    <x v="5"/>
    <s v="Congo"/>
    <m/>
    <m/>
    <m/>
  </r>
  <r>
    <x v="267"/>
    <s v="Credit teléphonique MTN PALF/ du 27 octobre au 02 novembre 2025/ Parfaite"/>
    <s v="Telephone"/>
    <s v="Management"/>
    <n v="7500"/>
    <n v="13.801022379737891"/>
    <n v="543.43799999999999"/>
    <s v="Parfaite"/>
    <s v="P-O-R4"/>
    <s v="PALF"/>
    <x v="5"/>
    <s v="Congo"/>
    <m/>
    <m/>
    <m/>
  </r>
  <r>
    <x v="267"/>
    <s v="Frais de tansfert d'argent Charden Frarell  a crepin ,evariste, DOVI, Roderlin, Abraham, P29 et IT87"/>
    <s v="Transfert fees"/>
    <s v="Office"/>
    <n v="26770"/>
    <n v="49.260449214077781"/>
    <n v="543.43799999999999"/>
    <s v="Parfaite"/>
    <s v="CA-O-R32"/>
    <s v="PALF"/>
    <x v="5"/>
    <s v="Congo"/>
    <m/>
    <m/>
    <m/>
  </r>
  <r>
    <x v="267"/>
    <s v="Reglement prestation de nettoyage  PALF du mois d'octobre 2025"/>
    <s v="Services"/>
    <s v="Office"/>
    <n v="80000"/>
    <n v="147.21090538387085"/>
    <n v="543.43799999999999"/>
    <s v="Parfaite"/>
    <s v="CA-O-R34"/>
    <s v="PALF"/>
    <x v="5"/>
    <s v="Congo"/>
    <m/>
    <m/>
    <m/>
  </r>
  <r>
    <x v="267"/>
    <s v="P29 -CONGO Frais d'hotel du 21 au 27/10/2025 à Nkayi(06 Nuitées)"/>
    <s v="Travel Subsistence"/>
    <s v="Investigation"/>
    <n v="90000"/>
    <n v="165.6122685568547"/>
    <n v="543.43799999999999"/>
    <s v="P29"/>
    <s v="P29-O-R15"/>
    <s v="PALF"/>
    <x v="5"/>
    <s v="Congo"/>
    <m/>
    <m/>
    <m/>
  </r>
  <r>
    <x v="267"/>
    <s v="Credit telephonique MTN PALF/ du 27/octobre au 02 novembre 2025/ Investigation/P29"/>
    <s v="Telephone"/>
    <s v="Investigation"/>
    <n v="10000"/>
    <n v="18.401363172983856"/>
    <n v="543.43799999999999"/>
    <s v="P29"/>
    <s v="P29-O-R16"/>
    <s v="PALF"/>
    <x v="5"/>
    <s v="Congo"/>
    <m/>
    <m/>
    <m/>
  </r>
  <r>
    <x v="267"/>
    <s v="Taxi hotel crapp-hotel mouanda,réservation chambre op"/>
    <s v="Transport"/>
    <s v="Investigation"/>
    <n v="1000"/>
    <n v="1.8401363172983856"/>
    <n v="543.43799999999999"/>
    <s v="P29"/>
    <s v="P29-O-D1"/>
    <s v="PALF"/>
    <x v="5"/>
    <s v="Congo"/>
    <m/>
    <m/>
    <m/>
  </r>
  <r>
    <x v="267"/>
    <s v="Taxi hotel mouanda-hotel crapp,récupération effet"/>
    <s v="Transport"/>
    <s v="Investigation"/>
    <n v="1000"/>
    <n v="1.8401363172983856"/>
    <n v="543.43799999999999"/>
    <s v="P29"/>
    <s v="P29-O-D1"/>
    <s v="PALF"/>
    <x v="5"/>
    <s v="Congo"/>
    <m/>
    <m/>
    <m/>
  </r>
  <r>
    <x v="267"/>
    <s v="Taxi hotel crapp-hotel mouanda,s'installé dans la chambre op"/>
    <s v="Transport"/>
    <s v="Investigation"/>
    <n v="1000"/>
    <n v="1.8401363172983856"/>
    <n v="543.43799999999999"/>
    <s v="P29"/>
    <s v="P29-O-D1"/>
    <s v="PALF"/>
    <x v="5"/>
    <s v="Congo"/>
    <m/>
    <m/>
    <m/>
  </r>
  <r>
    <x v="267"/>
    <s v="Taxi hotel mouanda-hopital général,réperage"/>
    <s v="Transport"/>
    <s v="Investigation"/>
    <n v="1000"/>
    <n v="1.8401363172983856"/>
    <n v="543.43799999999999"/>
    <s v="P29"/>
    <s v="P29-O-D1"/>
    <s v="PALF"/>
    <x v="5"/>
    <s v="Congo"/>
    <m/>
    <m/>
    <m/>
  </r>
  <r>
    <x v="267"/>
    <s v="Taxi tricycle hopital-hotel espace mouanda"/>
    <s v="Transport"/>
    <s v="Investigation"/>
    <n v="500"/>
    <n v="0.92006815864919278"/>
    <n v="543.43799999999999"/>
    <s v="P29"/>
    <s v="P29-O-D1"/>
    <s v="PALF"/>
    <x v="5"/>
    <s v="Congo"/>
    <m/>
    <m/>
    <m/>
  </r>
  <r>
    <x v="267"/>
    <s v="Taxi tricycle hotel EM-CF,retrait fonds"/>
    <s v="Transport"/>
    <s v="Investigation"/>
    <n v="700"/>
    <n v="1.2880954221088698"/>
    <n v="543.43799999999999"/>
    <s v="P29"/>
    <s v="P29-O-D1"/>
    <s v="PALF"/>
    <x v="5"/>
    <s v="Congo"/>
    <m/>
    <m/>
    <m/>
  </r>
  <r>
    <x v="267"/>
    <s v="Taxi CF-hotel mouanda"/>
    <s v="Transport"/>
    <s v="Investigation"/>
    <n v="1000"/>
    <n v="1.8401363172983856"/>
    <n v="543.43799999999999"/>
    <s v="P29"/>
    <s v="P29-O-D1"/>
    <s v="PALF"/>
    <x v="5"/>
    <s v="Congo"/>
    <m/>
    <m/>
    <m/>
  </r>
  <r>
    <x v="267"/>
    <s v="Taxi tricycle hotel mouanda-cabane,voir le menusier pour la cage"/>
    <s v="Transport"/>
    <s v="Investigation"/>
    <n v="500"/>
    <n v="0.92006815864919278"/>
    <n v="543.43799999999999"/>
    <s v="P29"/>
    <s v="P29-O-D1"/>
    <s v="PALF"/>
    <x v="5"/>
    <s v="Congo"/>
    <m/>
    <m/>
    <m/>
  </r>
  <r>
    <x v="267"/>
    <s v="Taxi tricycle cabane-hotel mouanda"/>
    <s v="Transport"/>
    <s v="Investigation"/>
    <n v="500"/>
    <n v="0.92006815864919278"/>
    <n v="543.43799999999999"/>
    <s v="P29"/>
    <s v="P29-O-D1"/>
    <s v="PALF"/>
    <x v="5"/>
    <s v="Congo"/>
    <m/>
    <m/>
    <m/>
  </r>
  <r>
    <x v="267"/>
    <s v="Taxi hotel mouanda-restaurant,rencontre avec la cible"/>
    <s v="Transport"/>
    <s v="Investigation"/>
    <n v="1000"/>
    <n v="1.8401363172983856"/>
    <n v="543.43799999999999"/>
    <s v="P29"/>
    <s v="P29-O-D1"/>
    <s v="PALF"/>
    <x v="5"/>
    <s v="Congo"/>
    <m/>
    <m/>
    <m/>
  </r>
  <r>
    <x v="267"/>
    <s v="Taxi restaurant-le village,extraction"/>
    <s v="Transport"/>
    <s v="Investigation"/>
    <n v="1000"/>
    <n v="1.8401363172983856"/>
    <n v="543.43799999999999"/>
    <s v="P29"/>
    <s v="P29-O-D1"/>
    <s v="PALF"/>
    <x v="5"/>
    <s v="Congo"/>
    <m/>
    <m/>
    <m/>
  </r>
  <r>
    <x v="267"/>
    <s v="Taxi le village-corniche,extraction"/>
    <s v="Transport"/>
    <s v="Investigation"/>
    <n v="1000"/>
    <n v="1.8401363172983856"/>
    <n v="543.43799999999999"/>
    <s v="P29"/>
    <s v="P29-O-D1"/>
    <s v="PALF"/>
    <x v="5"/>
    <s v="Congo"/>
    <m/>
    <m/>
    <m/>
  </r>
  <r>
    <x v="267"/>
    <s v="Taxi corniche-marché,extraction"/>
    <s v="Transport"/>
    <s v="Investigation"/>
    <n v="1000"/>
    <n v="1.8401363172983856"/>
    <n v="543.43799999999999"/>
    <s v="P29"/>
    <s v="P29-O-D1"/>
    <s v="PALF"/>
    <x v="5"/>
    <s v="Congo"/>
    <m/>
    <m/>
    <m/>
  </r>
  <r>
    <x v="267"/>
    <s v="Taxi tricycle marché-hotel em"/>
    <s v="Transport"/>
    <s v="Investigation"/>
    <n v="500"/>
    <n v="0.92006815864919278"/>
    <n v="543.43799999999999"/>
    <s v="P29"/>
    <s v="P29-O-D1"/>
    <s v="PALF"/>
    <x v="5"/>
    <s v="Congo"/>
    <m/>
    <m/>
    <m/>
  </r>
  <r>
    <x v="267"/>
    <s v="Paiement cage pour le bébé chimpanzé"/>
    <s v="Operation materials"/>
    <s v="Operation"/>
    <n v="25000"/>
    <n v="46.003407932459638"/>
    <n v="543.43799999999999"/>
    <s v="P29"/>
    <s v="P29-O-R17"/>
    <s v="PALF"/>
    <x v="5"/>
    <s v="Congo"/>
    <m/>
    <m/>
    <m/>
  </r>
  <r>
    <x v="267"/>
    <s v="Achat boisson et repas"/>
    <s v="Trust building"/>
    <s v="Investigation"/>
    <n v="19400"/>
    <n v="35.698644555588679"/>
    <n v="543.43799999999999"/>
    <s v="P29"/>
    <s v="P29-O-D3"/>
    <s v="PALF"/>
    <x v="5"/>
    <s v="Congo"/>
    <m/>
    <m/>
    <m/>
  </r>
  <r>
    <x v="267"/>
    <s v="Taxi hotel espace mouanda-cabane,récupérer la cage"/>
    <s v="Transport"/>
    <s v="Investigation"/>
    <n v="1000"/>
    <n v="1.8401363172983856"/>
    <n v="543.43799999999999"/>
    <s v="P29"/>
    <s v="P29-O-D1"/>
    <s v="PALF"/>
    <x v="5"/>
    <s v="Congo"/>
    <m/>
    <m/>
    <m/>
  </r>
  <r>
    <x v="267"/>
    <s v="Taxi cabane-hotel espace mouanda,faire les modifications sur 3 docs"/>
    <s v="Transport"/>
    <s v="Investigation"/>
    <n v="1000"/>
    <n v="1.8401363172983856"/>
    <n v="543.43799999999999"/>
    <s v="P29"/>
    <s v="P29-O-D1"/>
    <s v="PALF"/>
    <x v="5"/>
    <s v="Congo"/>
    <m/>
    <m/>
    <m/>
  </r>
  <r>
    <x v="267"/>
    <s v="Taxi espace mouanda-cabane,prendre la cage"/>
    <s v="Transport"/>
    <s v="Investigation"/>
    <n v="1000"/>
    <n v="1.8401363172983856"/>
    <n v="543.43799999999999"/>
    <s v="P29"/>
    <s v="P29-O-D1"/>
    <s v="PALF"/>
    <x v="5"/>
    <s v="Congo"/>
    <m/>
    <m/>
    <m/>
  </r>
  <r>
    <x v="267"/>
    <s v="Taxi cabane-hotel déchel,déposer la cage et bréfing équipe palf"/>
    <s v="Transport"/>
    <s v="Investigation"/>
    <n v="1500"/>
    <n v="2.7602044759475781"/>
    <n v="543.43799999999999"/>
    <s v="P29"/>
    <s v="P29-O-D1"/>
    <s v="PALF"/>
    <x v="5"/>
    <s v="Congo"/>
    <m/>
    <m/>
    <m/>
  </r>
  <r>
    <x v="267"/>
    <s v="Taxi tricycle hotel dechel-hotel espace mouanda"/>
    <s v="Transport"/>
    <s v="Investigation"/>
    <n v="500"/>
    <n v="0.92006815864919278"/>
    <n v="543.43799999999999"/>
    <s v="P29"/>
    <s v="P29-O-D1"/>
    <s v="PALF"/>
    <x v="5"/>
    <s v="Congo"/>
    <m/>
    <m/>
    <m/>
  </r>
  <r>
    <x v="267"/>
    <s v="Credit telephonique MTN PALF/ du 27 octobre au 02 novembre 2025/ Investigation/T73"/>
    <s v="Telephone"/>
    <s v="Investigation"/>
    <n v="10000"/>
    <n v="18.401363172983856"/>
    <n v="543.43799999999999"/>
    <s v="T73"/>
    <s v="T73-O-R18"/>
    <s v="PALF"/>
    <x v="5"/>
    <s v="Congo"/>
    <m/>
    <m/>
    <m/>
  </r>
  <r>
    <x v="267"/>
    <s v="Achat vachette  et Main d'œuvre de la porte numereau 02 bureau PALF/Bureau PALF"/>
    <s v="Office Materiels"/>
    <s v="Office "/>
    <n v="20000"/>
    <n v="36.802726345967713"/>
    <n v="543.43799999999999"/>
    <s v="T73"/>
    <s v="CA-O-R35"/>
    <s v="PALF"/>
    <x v="5"/>
    <s v="Congo"/>
    <m/>
    <m/>
    <m/>
  </r>
  <r>
    <x v="267"/>
    <s v="Taxi tricycle : Hôtel Syldon - Charden Farel/ Retrait du budget additionnel"/>
    <s v="Transport"/>
    <s v="Investigation"/>
    <n v="700"/>
    <n v="1.2880954221088698"/>
    <n v="543.43799999999999"/>
    <s v="IT87"/>
    <s v="IT87-O-D1"/>
    <s v="PALF"/>
    <x v="5"/>
    <s v="Congo"/>
    <m/>
    <m/>
    <m/>
  </r>
  <r>
    <x v="267"/>
    <s v="Credit telephonique MTN PALF/du 27 octobre au 02 novembre 2025/IT87"/>
    <s v="Telephone"/>
    <s v="Investigation"/>
    <n v="10000"/>
    <n v="18.401363172983856"/>
    <n v="543.43799999999999"/>
    <s v="IT87"/>
    <s v="IT87-O-R11"/>
    <s v="PALF"/>
    <x v="5"/>
    <s v="Congo"/>
    <m/>
    <m/>
    <m/>
  </r>
  <r>
    <x v="267"/>
    <s v="Taxi tricycle : Charden Farel - Hôtel Syldon/ Retour du retrait d'argent"/>
    <s v="Transport"/>
    <s v="Investigation"/>
    <n v="700"/>
    <n v="1.2880954221088698"/>
    <n v="543.43799999999999"/>
    <s v="IT87"/>
    <s v="IT87-O-D1"/>
    <s v="PALF"/>
    <x v="5"/>
    <s v="Congo"/>
    <m/>
    <m/>
    <m/>
  </r>
  <r>
    <x v="267"/>
    <s v="Taxi : Hôtel Syldon - Quartier la Cabane/ Rencontre avec les cibles"/>
    <s v="Transport"/>
    <s v="Investigation"/>
    <n v="700"/>
    <n v="1.2880954221088698"/>
    <n v="543.43799999999999"/>
    <s v="IT87"/>
    <s v="IT87-O-D1"/>
    <s v="PALF"/>
    <x v="5"/>
    <s v="Congo"/>
    <m/>
    <m/>
    <m/>
  </r>
  <r>
    <x v="267"/>
    <s v="Taxi : Quartier la Cabane - Marché/ Extraction"/>
    <s v="Transport"/>
    <s v="Investigation"/>
    <n v="1000"/>
    <n v="1.8401363172983856"/>
    <n v="543.43799999999999"/>
    <s v="IT87"/>
    <s v="IT87-O-D1"/>
    <s v="PALF"/>
    <x v="5"/>
    <s v="Congo"/>
    <m/>
    <m/>
    <m/>
  </r>
  <r>
    <x v="267"/>
    <s v="Taxi : Marché - Eglise catholique St. Louis/ Extraction"/>
    <s v="Transport"/>
    <s v="Investigation"/>
    <n v="1000"/>
    <n v="1.8401363172983856"/>
    <n v="543.43799999999999"/>
    <s v="IT87"/>
    <s v="IT87-O-D1"/>
    <s v="PALF"/>
    <x v="5"/>
    <s v="Congo"/>
    <m/>
    <m/>
    <m/>
  </r>
  <r>
    <x v="267"/>
    <s v="Taxi : Eglise Catholique St. Louis - Centre ville/ Extraction"/>
    <s v="Transport"/>
    <s v="Investigation"/>
    <n v="1000"/>
    <n v="1.8401363172983856"/>
    <n v="543.43799999999999"/>
    <s v="IT87"/>
    <s v="IT87-O-D1"/>
    <s v="PALF"/>
    <x v="5"/>
    <s v="Congo"/>
    <m/>
    <m/>
    <m/>
  </r>
  <r>
    <x v="267"/>
    <s v="Taxi : Centre ville - Hôtel Syldon/ Retour de la rencontre avec les cibles"/>
    <s v="Transport"/>
    <s v="Investigation"/>
    <n v="1000"/>
    <n v="1.8401363172983856"/>
    <n v="543.43799999999999"/>
    <s v="IT87"/>
    <s v="IT87-O-D1"/>
    <s v="PALF"/>
    <x v="5"/>
    <s v="Congo"/>
    <m/>
    <m/>
    <m/>
  </r>
  <r>
    <x v="267"/>
    <s v="Taxi tricycle : Hôtel Syldon - Menuiserie/ Recupérer la cage"/>
    <s v="Transport"/>
    <s v="Investigation"/>
    <n v="500"/>
    <m/>
    <n v="543.43799999999999"/>
    <s v="IT87"/>
    <s v="IT87-O-D1"/>
    <s v="PALF"/>
    <x v="5"/>
    <s v="Congo"/>
    <m/>
    <m/>
    <m/>
  </r>
  <r>
    <x v="267"/>
    <s v="Taxi : Menuiserie - Hôtel Déchel/ Briefing avec l'équipe PALF"/>
    <s v="Transport"/>
    <s v="Investigation"/>
    <n v="1000"/>
    <n v="1.8401363172983856"/>
    <n v="543.43799999999999"/>
    <s v="IT87"/>
    <s v="IT87-O-D1"/>
    <s v="PALF"/>
    <x v="5"/>
    <s v="Congo"/>
    <m/>
    <m/>
    <m/>
  </r>
  <r>
    <x v="267"/>
    <s v="Taxi : Hôtel Déchel - Hôtel Syldon/ Fin de séance de briefing avec l'équipe PALF"/>
    <s v="Transport"/>
    <s v="Investigation"/>
    <n v="1000"/>
    <n v="1.8401363172983856"/>
    <n v="543.43799999999999"/>
    <s v="IT87"/>
    <s v="IT87-O-D1"/>
    <s v="PALF"/>
    <x v="5"/>
    <s v="Congo"/>
    <m/>
    <m/>
    <m/>
  </r>
  <r>
    <x v="267"/>
    <s v="Credit telephonique MTN PALF/du  27 octobre au 02 novembre 2025/G12"/>
    <s v="Telephone"/>
    <s v="Investigation"/>
    <n v="10000"/>
    <n v="18.401363172983856"/>
    <n v="543.43799999999999"/>
    <s v="G12"/>
    <s v="G12-O-R14"/>
    <s v="PALF"/>
    <x v="5"/>
    <s v="Congo"/>
    <m/>
    <m/>
    <m/>
  </r>
  <r>
    <x v="267"/>
    <s v="Taxi-moto: Hôpital Référence de Nkayi-Hôtel Le Déchel"/>
    <s v="Transport"/>
    <s v="Legal"/>
    <n v="600"/>
    <n v="1.1040817903790312"/>
    <n v="543.43799999999999"/>
    <s v="Abraham"/>
    <s v="AB-O-D1"/>
    <s v="PALF"/>
    <x v="5"/>
    <s v="Congo"/>
    <m/>
    <m/>
    <m/>
  </r>
  <r>
    <x v="267"/>
    <s v="Taxi-moto: Hôtel Le Déchel-Gendarmerie de Nkayi"/>
    <s v="Transport"/>
    <s v="Legal"/>
    <n v="800"/>
    <n v="1.4721090538387085"/>
    <n v="543.43799999999999"/>
    <s v="Abraham"/>
    <s v="AB-O-D1"/>
    <s v="PALF"/>
    <x v="5"/>
    <s v="Congo"/>
    <m/>
    <m/>
    <m/>
  </r>
  <r>
    <x v="267"/>
    <s v="Credit telephonique MTN PALF/ du 27 octobre au 02 novembre 2025/Abraham"/>
    <s v="Telephone"/>
    <s v="Legal"/>
    <n v="7500"/>
    <n v="13.801022379737891"/>
    <n v="543.43799999999999"/>
    <s v="Abraham"/>
    <s v="AB-O-R7"/>
    <s v="PALF"/>
    <x v="5"/>
    <s v="Congo"/>
    <m/>
    <m/>
    <m/>
  </r>
  <r>
    <x v="267"/>
    <s v="Tricycle:Hôtel Déchel-Hôtel Mouanda pour le réperage"/>
    <s v="Transport"/>
    <s v="Legal"/>
    <n v="800"/>
    <n v="1.4721090538387085"/>
    <n v="543.43799999999999"/>
    <s v="Roderlin"/>
    <s v="RO-O-D1"/>
    <s v="PALF"/>
    <x v="5"/>
    <s v="Congo"/>
    <m/>
    <m/>
    <m/>
  </r>
  <r>
    <x v="267"/>
    <s v="Tricycle:Hôtel Mouanda-Hôpital de base de Nkayi"/>
    <s v="Transport"/>
    <s v="Legal"/>
    <n v="500"/>
    <n v="0.92006815864919278"/>
    <n v="543.43799999999999"/>
    <s v="Roderlin"/>
    <s v="RO-O-D1"/>
    <s v="PALF"/>
    <x v="5"/>
    <s v="Congo"/>
    <m/>
    <m/>
    <m/>
  </r>
  <r>
    <x v="267"/>
    <s v="Tricycle:Hôtel Déchel-Charden Farrel pour le rétrait de fonds"/>
    <s v="Transport"/>
    <s v="Legal"/>
    <n v="500"/>
    <n v="0.92006815864919278"/>
    <n v="543.43799999999999"/>
    <s v="Roderlin"/>
    <s v="RO-O-D1"/>
    <s v="PALF"/>
    <x v="5"/>
    <s v="Congo"/>
    <m/>
    <m/>
    <m/>
  </r>
  <r>
    <x v="267"/>
    <s v="Tricycle:Charden Farrel-Hôtel Déchel "/>
    <s v="Transport"/>
    <s v="Legal"/>
    <n v="500"/>
    <n v="0.92006815864919278"/>
    <n v="543.43799999999999"/>
    <s v="Roderlin"/>
    <s v="RO-O-D1"/>
    <s v="PALF"/>
    <x v="5"/>
    <s v="Congo"/>
    <m/>
    <m/>
    <m/>
  </r>
  <r>
    <x v="267"/>
    <s v="Credit telephonique MTN PALF/du 27 octobre au 02 novembre 2025/Roderlin"/>
    <s v="Telephone"/>
    <s v="Legal"/>
    <n v="7500"/>
    <n v="13.801022379737891"/>
    <n v="543.43799999999999"/>
    <s v="Roderlin"/>
    <s v="RO-O-R5"/>
    <s v="PALF"/>
    <x v="5"/>
    <s v="Congo"/>
    <m/>
    <m/>
    <m/>
  </r>
  <r>
    <x v="267"/>
    <s v="Credit telephonique MTN PALF/ du 27 octobre au 02 novembre 2025"/>
    <s v="Telephone"/>
    <s v="Legal"/>
    <n v="10000"/>
    <n v="18.401363172983856"/>
    <n v="543.43799999999999"/>
    <s v="Donald-Roméo"/>
    <s v="DR-O-R10"/>
    <s v="PALF"/>
    <x v="5"/>
    <s v="Congo"/>
    <m/>
    <m/>
    <m/>
  </r>
  <r>
    <x v="267"/>
    <s v="Taxi, Les environs de l'hôtel Mouanda-Hôtel Dechel"/>
    <s v="Transport"/>
    <s v="Media"/>
    <n v="500"/>
    <n v="0.92006815864919278"/>
    <n v="543.43799999999999"/>
    <s v="Evariste"/>
    <s v="EV-O-D1"/>
    <s v="PALF"/>
    <x v="5"/>
    <s v="Congo"/>
    <m/>
    <m/>
    <m/>
  </r>
  <r>
    <x v="267"/>
    <s v="Credit telephonique MTN PALF/du 27 octobre  au 02 Novembre 2025/ Evariste"/>
    <s v="Telephone"/>
    <s v="Media"/>
    <n v="10000"/>
    <n v="18.401363172983856"/>
    <n v="543.43799999999999"/>
    <s v="Evariste"/>
    <s v="EV-O-R8"/>
    <s v="PALF"/>
    <x v="5"/>
    <s v="Congo"/>
    <m/>
    <m/>
    <m/>
  </r>
  <r>
    <x v="267"/>
    <s v="ROMAIN-CONGO: Frais d'Hotel du 26 au 27/10/2025, à Ouesso(une nuitée)"/>
    <s v="Travel Subsistence"/>
    <s v="Legal"/>
    <n v="15000"/>
    <n v="27.602044759475781"/>
    <n v="543.43799999999999"/>
    <s v="Romain"/>
    <s v="RM-O-R8"/>
    <s v="PALF"/>
    <x v="5"/>
    <s v="Congo"/>
    <m/>
    <m/>
    <m/>
  </r>
  <r>
    <x v="267"/>
    <s v="Taxi: Hotel LE CLAIR MATI-Agence Océan du Nord de Ouesso"/>
    <s v="Transport"/>
    <s v="Legal"/>
    <n v="1000"/>
    <n v="1.8401363172983856"/>
    <n v="543.43799999999999"/>
    <s v="Romain"/>
    <s v="RM-O-D1"/>
    <s v="PALF"/>
    <x v="5"/>
    <s v="Congo"/>
    <m/>
    <m/>
    <m/>
  </r>
  <r>
    <x v="267"/>
    <s v="Taxi moto: Agence Océan du Nord d'Enyelé-Hotel Paulina"/>
    <s v="Transport"/>
    <s v="Legal"/>
    <n v="300"/>
    <n v="0.5520408951895156"/>
    <n v="543.43799999999999"/>
    <s v="Romain"/>
    <s v="RM-O-D1"/>
    <s v="PALF"/>
    <x v="5"/>
    <s v="Congo"/>
    <m/>
    <m/>
    <m/>
  </r>
  <r>
    <x v="267"/>
    <s v="ROMAIN-CONGO: Frais d'Hotel du 27au 28/10/2025, à Enyelé(une nuitée)"/>
    <s v="Travel Subsistence"/>
    <s v="Legal"/>
    <n v="15000"/>
    <n v="27.602044759475781"/>
    <n v="543.43799999999999"/>
    <s v="Romain"/>
    <s v="RM-O-R9"/>
    <s v="PALF"/>
    <x v="5"/>
    <s v="Congo"/>
    <m/>
    <m/>
    <m/>
  </r>
  <r>
    <x v="267"/>
    <s v="Credit telephonique MTN PALF/du 27 octobre au 02 novembre 2025/Romain"/>
    <s v="Telephone"/>
    <s v="Legal"/>
    <n v="7500"/>
    <n v="13.801022379737891"/>
    <n v="543.43799999999999"/>
    <s v="Romain"/>
    <s v="RM-O-R10"/>
    <s v="PALF"/>
    <x v="5"/>
    <s v="Congo"/>
    <m/>
    <m/>
    <m/>
  </r>
  <r>
    <x v="267"/>
    <s v="Frais de virement salaire du mois d'octobre 2025"/>
    <s v="Bank fees"/>
    <s v="Office"/>
    <n v="10665"/>
    <n v="19.625053823987283"/>
    <n v="543.43799999999999"/>
    <s v="BCI"/>
    <s v="BQ-O-R32"/>
    <s v="PALF"/>
    <x v="5"/>
    <s v="Congo"/>
    <m/>
    <m/>
    <m/>
  </r>
  <r>
    <x v="268"/>
    <s v="Gendarmerie - Hôpital de Référence"/>
    <s v="Transport"/>
    <s v="Management"/>
    <n v="500"/>
    <n v="0.92006815864919278"/>
    <n v="543.43799999999999"/>
    <s v="DOVI"/>
    <s v="DH-O-D1"/>
    <s v="PALF"/>
    <x v="5"/>
    <s v="Congo"/>
    <m/>
    <m/>
    <m/>
  </r>
  <r>
    <x v="268"/>
    <s v="Hôpital de Référence-Pharmacie Robert"/>
    <s v="Transport"/>
    <s v="Management"/>
    <n v="400"/>
    <n v="0.73605452691935425"/>
    <n v="543.43799999999999"/>
    <s v="DOVI"/>
    <s v="DH-O-D1"/>
    <s v="PALF"/>
    <x v="5"/>
    <s v="Congo"/>
    <m/>
    <m/>
    <m/>
  </r>
  <r>
    <x v="268"/>
    <s v="Pharmacie Robert-Pharmacie Eden"/>
    <s v="Transport"/>
    <s v="Management"/>
    <n v="400"/>
    <n v="0.73605452691935425"/>
    <n v="543.43799999999999"/>
    <s v="DOVI"/>
    <s v="DH-O-D1"/>
    <s v="PALF"/>
    <x v="5"/>
    <s v="Congo"/>
    <m/>
    <m/>
    <m/>
  </r>
  <r>
    <x v="268"/>
    <s v="Pharmacie Eden - Hôpital"/>
    <s v="Transport"/>
    <s v="Management"/>
    <n v="400"/>
    <n v="0.73605452691935425"/>
    <n v="543.43799999999999"/>
    <s v="DOVI"/>
    <s v="DH-O-D1"/>
    <s v="PALF"/>
    <x v="5"/>
    <s v="Congo"/>
    <m/>
    <m/>
    <m/>
  </r>
  <r>
    <x v="268"/>
    <s v="Hôpital de Référence-Pharmacie Robert"/>
    <s v="Transport"/>
    <s v="Management"/>
    <n v="400"/>
    <n v="0.73605452691935425"/>
    <n v="543.43799999999999"/>
    <s v="DOVI"/>
    <s v="DH-O-D1"/>
    <s v="PALF"/>
    <x v="5"/>
    <s v="Congo"/>
    <m/>
    <m/>
    <m/>
  </r>
  <r>
    <x v="268"/>
    <s v="Consultation agent mordu par le chimpanzé"/>
    <s v="Personnel"/>
    <s v="Operation"/>
    <n v="2500"/>
    <n v="4.6003407932459641"/>
    <n v="543.43799999999999"/>
    <s v="DOVI"/>
    <s v="DH-O-R12"/>
    <s v="PALF"/>
    <x v="5"/>
    <s v="Congo"/>
    <m/>
    <m/>
    <m/>
  </r>
  <r>
    <x v="268"/>
    <s v="Achat serum anti tétanique agent"/>
    <s v="Personnel"/>
    <s v="Operation"/>
    <n v="4990"/>
    <n v="9.1822802233189442"/>
    <n v="543.43799999999999"/>
    <s v="DOVI"/>
    <s v="DH-O-R12"/>
    <s v="PALF"/>
    <x v="5"/>
    <s v="Congo"/>
    <m/>
    <m/>
    <m/>
  </r>
  <r>
    <x v="268"/>
    <s v="Achat antibiotique agent"/>
    <s v="Personnel"/>
    <s v="Operation"/>
    <n v="8250"/>
    <n v="15.18112461771168"/>
    <n v="543.43799999999999"/>
    <s v="DOVI"/>
    <s v="DH-O-R12"/>
    <s v="PALF"/>
    <x v="5"/>
    <s v="Congo"/>
    <m/>
    <m/>
    <m/>
  </r>
  <r>
    <x v="268"/>
    <s v="Pharmacie Robert- Hôtel LE DECHEL"/>
    <s v="Transport"/>
    <s v="Management"/>
    <n v="300"/>
    <n v="0.5520408951895156"/>
    <n v="543.43799999999999"/>
    <s v="DOVI"/>
    <s v="DH-O-D1"/>
    <s v="PALF"/>
    <x v="5"/>
    <s v="Congo"/>
    <m/>
    <m/>
    <m/>
  </r>
  <r>
    <x v="268"/>
    <s v="Transport l'hotel hopital general de nkayi/ les soins pour l'agent mordu par les bebe chimpanzé à l'hôpital"/>
    <s v="Transport"/>
    <s v="Management"/>
    <n v="2000"/>
    <n v="3.6802726345967711"/>
    <n v="543.43799999999999"/>
    <s v="DOVI"/>
    <s v="DH-O-D1"/>
    <s v="PALF"/>
    <x v="5"/>
    <s v="Congo"/>
    <m/>
    <m/>
    <m/>
  </r>
  <r>
    <x v="268"/>
    <s v="Achat billet Nkayi - Brazzaville/ DOVI"/>
    <s v="Transport"/>
    <s v="Management"/>
    <n v="7000"/>
    <n v="12.880954221088698"/>
    <n v="543.43799999999999"/>
    <s v="DOVI"/>
    <s v="DH-O-R13"/>
    <s v="PALF"/>
    <x v="5"/>
    <s v="Congo"/>
    <m/>
    <m/>
    <m/>
  </r>
  <r>
    <x v="268"/>
    <s v="Tricycle: Hôtel Mouanda-Hôtel Déchel"/>
    <s v="Transport"/>
    <s v="Legal"/>
    <n v="500"/>
    <n v="0.92006815864919278"/>
    <n v="543.43799999999999"/>
    <s v="Crépin"/>
    <s v="CR-O-D1"/>
    <s v="PALF"/>
    <x v="5"/>
    <s v="Congo"/>
    <m/>
    <m/>
    <m/>
  </r>
  <r>
    <x v="268"/>
    <s v="Tricycle: Hôtel Déchel-Compagnie de gendarmerie"/>
    <s v="Transport"/>
    <s v="Legal"/>
    <n v="500"/>
    <n v="0.92006815864919278"/>
    <n v="543.43799999999999"/>
    <s v="Crépin"/>
    <s v="CR-O-D1"/>
    <s v="PALF"/>
    <x v="5"/>
    <s v="Congo"/>
    <m/>
    <m/>
    <m/>
  </r>
  <r>
    <x v="268"/>
    <s v="Tricycle: Compagnie de gendarmerie-Hôtel Mouanda avec 02 gendarmes en civil"/>
    <s v="Transport"/>
    <s v="Legal"/>
    <n v="750"/>
    <n v="1.3801022379737891"/>
    <n v="543.43799999999999"/>
    <s v="Crépin"/>
    <s v="CR-O-D1"/>
    <s v="PALF"/>
    <x v="5"/>
    <s v="Congo"/>
    <m/>
    <m/>
    <m/>
  </r>
  <r>
    <x v="268"/>
    <s v="Rafraîchissement et plats pendant l'attente de l'opération avec deux gendarmes"/>
    <s v="Travel subsistence"/>
    <s v="Legal"/>
    <n v="10100"/>
    <n v="18.585376804713693"/>
    <n v="543.43799999999999"/>
    <s v="Crépin"/>
    <s v="CR-O-R14"/>
    <s v="PALF"/>
    <x v="5"/>
    <s v="Congo"/>
    <m/>
    <m/>
    <m/>
  </r>
  <r>
    <x v="268"/>
    <s v="Taxi moto: Gendarmerie-DDEF"/>
    <s v="Transport"/>
    <s v="Legal"/>
    <n v="500"/>
    <n v="0.92006815864919278"/>
    <n v="543.43799999999999"/>
    <s v="Crépin"/>
    <s v="CR-O-D1"/>
    <s v="PALF"/>
    <x v="5"/>
    <s v="Congo"/>
    <m/>
    <m/>
    <m/>
  </r>
  <r>
    <x v="268"/>
    <s v="Taxi moto: DDEF-Hôtel "/>
    <s v="Transport"/>
    <s v="Legal"/>
    <n v="500"/>
    <n v="0.92006815864919278"/>
    <n v="543.43799999999999"/>
    <s v="Crépin"/>
    <s v="CR-O-D1"/>
    <s v="PALF"/>
    <x v="5"/>
    <s v="Congo"/>
    <m/>
    <m/>
    <m/>
  </r>
  <r>
    <x v="268"/>
    <s v="Bonus pour 02 EF ayant participé à l'opération du 28/10/2025 à Nkayi"/>
    <s v="Transport"/>
    <s v="Operation"/>
    <n v="20000"/>
    <n v="36.802726345967713"/>
    <n v="543.43799999999999"/>
    <s v="Crépin"/>
    <s v="CR-O-R15"/>
    <s v="PALF"/>
    <x v="5"/>
    <s v="Congo"/>
    <m/>
    <m/>
    <m/>
  </r>
  <r>
    <x v="268"/>
    <s v="Bonus pour 19 gendarmes ayant participé à l'opération du 28/10/2025 à Nkayi"/>
    <s v="Transport"/>
    <s v="Operation"/>
    <n v="190000"/>
    <n v="349.62590028669325"/>
    <n v="543.43799999999999"/>
    <s v="Crépin"/>
    <s v="CR-O-R16"/>
    <s v="PALF"/>
    <x v="5"/>
    <s v="Congo"/>
    <m/>
    <m/>
    <m/>
  </r>
  <r>
    <x v="268"/>
    <s v="Frais de communication pour le Colonel pour la Coordination de la mission"/>
    <s v="Court Fees"/>
    <s v="Operation"/>
    <n v="20000"/>
    <n v="36.802726345967713"/>
    <n v="543.43799999999999"/>
    <s v="Crépin"/>
    <s v="CR-O-R17"/>
    <s v="PALF"/>
    <x v="5"/>
    <s v="Congo"/>
    <m/>
    <m/>
    <m/>
  </r>
  <r>
    <x v="268"/>
    <s v=" Frais de prestation de nettoyage jardin PALF septembre 2025"/>
    <s v="Services"/>
    <s v="Office"/>
    <n v="40000"/>
    <n v="73.605452691935426"/>
    <n v="543.43799999999999"/>
    <s v="Parfaite"/>
    <s v="CA-O-R36"/>
    <s v="PALF"/>
    <x v="5"/>
    <s v="Congo"/>
    <m/>
    <m/>
    <m/>
  </r>
  <r>
    <x v="268"/>
    <s v="Location véhicule pour extraction Nkayi-Dolisie/P29"/>
    <s v="Transport"/>
    <s v="Investigation"/>
    <n v="50000"/>
    <n v="92.006815864919275"/>
    <n v="543.43799999999999"/>
    <s v="P29"/>
    <s v="P29-O-R18"/>
    <s v="PALF"/>
    <x v="5"/>
    <s v="Congo"/>
    <m/>
    <m/>
    <m/>
  </r>
  <r>
    <x v="268"/>
    <s v="Achat boisson,chips,chocolat,l'eau"/>
    <s v="Trust building"/>
    <s v="Investigation"/>
    <n v="5300"/>
    <n v="9.7527224816814435"/>
    <n v="543.43799999999999"/>
    <s v="P29"/>
    <s v="P29-O-D3"/>
    <s v="PALF"/>
    <x v="5"/>
    <s v="Congo"/>
    <m/>
    <m/>
    <m/>
  </r>
  <r>
    <x v="268"/>
    <s v="Taxi gare routière-hotel,arrivé à dolisie"/>
    <s v="Transport"/>
    <s v="Investigation"/>
    <n v="1500"/>
    <n v="2.7602044759475781"/>
    <n v="543.43799999999999"/>
    <s v="P29"/>
    <s v="P29-O-D1"/>
    <s v="PALF"/>
    <x v="5"/>
    <s v="Congo"/>
    <m/>
    <m/>
    <m/>
  </r>
  <r>
    <x v="268"/>
    <s v="Achat billet dolisie-Brazzaville/P29"/>
    <s v="Transport"/>
    <s v="Investigation"/>
    <n v="9000"/>
    <n v="16.561226855685469"/>
    <n v="543.43799999999999"/>
    <s v="P29"/>
    <s v="P29-O-R19"/>
    <s v="PALF"/>
    <x v="5"/>
    <s v="Congo"/>
    <m/>
    <m/>
    <m/>
  </r>
  <r>
    <x v="268"/>
    <s v="IT87-CONGO Frais d'hôtel  du 22 au 28/10/2025 à Nkayi (06 nuitées)"/>
    <s v="Travel Subsistence"/>
    <s v="Investigation"/>
    <n v="90000"/>
    <n v="165.6122685568547"/>
    <n v="543.43799999999999"/>
    <s v="IT87"/>
    <s v="IT87-O-R12"/>
    <s v="PALF"/>
    <x v="5"/>
    <s v="Congo"/>
    <m/>
    <m/>
    <m/>
  </r>
  <r>
    <x v="268"/>
    <s v="Taxi tricycle : Hôtel Syldon - Hôtel Déchel/ Dépôt des sacs avant OP"/>
    <s v="Transport"/>
    <s v="Investigation"/>
    <n v="700"/>
    <n v="1.2880954221088698"/>
    <n v="543.43799999999999"/>
    <s v="IT87"/>
    <s v="IT87-O-D1"/>
    <s v="PALF"/>
    <x v="5"/>
    <s v="Congo"/>
    <m/>
    <m/>
    <m/>
  </r>
  <r>
    <x v="268"/>
    <s v="Taxi : Hôtel Déchel - Espace Mouanda/ Opération"/>
    <s v="Transport"/>
    <s v="Investigation"/>
    <n v="1000"/>
    <n v="1.8401363172983856"/>
    <n v="543.43799999999999"/>
    <s v="IT87"/>
    <s v="IT87-O-D1"/>
    <s v="PALF"/>
    <x v="5"/>
    <s v="Congo"/>
    <m/>
    <m/>
    <m/>
  </r>
  <r>
    <x v="268"/>
    <s v="Taxi tricycle : Espace Mouanda - Pharmacie/ Rencontrer la cible"/>
    <s v="Transport"/>
    <s v="Investigation"/>
    <n v="500"/>
    <n v="0.92006815864919278"/>
    <n v="543.43799999999999"/>
    <s v="IT87"/>
    <s v="IT87-O-D1"/>
    <s v="PALF"/>
    <x v="5"/>
    <s v="Congo"/>
    <m/>
    <m/>
    <m/>
  </r>
  <r>
    <x v="268"/>
    <s v="Taxi : Espace Mouanda - Cave Jo Black La Cabane/ Extraction"/>
    <s v="Transport"/>
    <s v="Investigation"/>
    <n v="1000"/>
    <n v="1.8401363172983856"/>
    <n v="543.43799999999999"/>
    <s v="IT87"/>
    <s v="IT87-O-D1"/>
    <s v="PALF"/>
    <x v="5"/>
    <s v="Congo"/>
    <m/>
    <m/>
    <m/>
  </r>
  <r>
    <x v="268"/>
    <s v="Taxi : Cave Jo Black la Cabane - Hôtel Déchel/ Récupérer les sacs"/>
    <s v="Transport"/>
    <s v="Investigation"/>
    <n v="1000"/>
    <n v="1.8401363172983856"/>
    <n v="543.43799999999999"/>
    <s v="IT87"/>
    <s v="IT87-O-D1"/>
    <s v="PALF"/>
    <x v="5"/>
    <s v="Congo"/>
    <m/>
    <m/>
    <m/>
  </r>
  <r>
    <x v="268"/>
    <s v="Taxi : Hôtel Déchel - RN1/ Extraction pour Dolisie"/>
    <s v="Transport"/>
    <s v="Investigation"/>
    <n v="1000"/>
    <n v="1.8401363172983856"/>
    <n v="543.43799999999999"/>
    <s v="IT87"/>
    <s v="IT87-O-D1"/>
    <s v="PALF"/>
    <x v="5"/>
    <s v="Congo"/>
    <m/>
    <m/>
    <m/>
  </r>
  <r>
    <x v="268"/>
    <s v="Taxi : Gare routière 4 point Cardinaux de Dolisie - Agence Océan du nord/ Arrivé à Dolisie"/>
    <s v="Transport"/>
    <s v="Investigation"/>
    <n v="1500"/>
    <n v="2.7602044759475781"/>
    <n v="543.43799999999999"/>
    <s v="IT87"/>
    <s v="IT87-O-D1"/>
    <s v="PALF"/>
    <x v="5"/>
    <s v="Congo"/>
    <m/>
    <m/>
    <m/>
  </r>
  <r>
    <x v="268"/>
    <s v="Taxi : Agence Océan du Nord - Agence trans bony/ Réservation des billets"/>
    <s v="Transport"/>
    <s v="Investigation"/>
    <n v="1000"/>
    <n v="1.8401363172983856"/>
    <n v="543.43799999999999"/>
    <s v="IT87"/>
    <s v="IT87-O-D1"/>
    <s v="PALF"/>
    <x v="5"/>
    <s v="Congo"/>
    <m/>
    <m/>
    <m/>
  </r>
  <r>
    <x v="268"/>
    <s v="Taxi : Agence trans bony - Agence Ocean du nord/ Réservation des billets"/>
    <s v="Transport"/>
    <s v="Investigation"/>
    <n v="1000"/>
    <n v="1.8401363172983856"/>
    <n v="543.43799999999999"/>
    <s v="IT87"/>
    <s v="IT87-O-D1"/>
    <s v="PALF"/>
    <x v="5"/>
    <s v="Congo"/>
    <m/>
    <m/>
    <m/>
  </r>
  <r>
    <x v="268"/>
    <s v="Taxi : Agence Océan du nord - Hôtel Pharaon/ Arrivé à Dolisie"/>
    <s v="Transport"/>
    <s v="Investigation"/>
    <n v="1000"/>
    <n v="1.8401363172983856"/>
    <n v="543.43799999999999"/>
    <s v="IT87"/>
    <s v="IT87-O-D1"/>
    <s v="PALF"/>
    <x v="5"/>
    <s v="Congo"/>
    <m/>
    <m/>
    <m/>
  </r>
  <r>
    <x v="268"/>
    <s v="Achat Carburant de la BJ pour OP"/>
    <s v="Transport"/>
    <s v="Operation"/>
    <n v="25000"/>
    <n v="46.003407932459638"/>
    <n v="543.43799999999999"/>
    <s v="Abraham"/>
    <s v="AB-O-R8"/>
    <s v="PALF"/>
    <x v="5"/>
    <s v="Congo"/>
    <m/>
    <m/>
    <m/>
  </r>
  <r>
    <x v="268"/>
    <s v="Rafraîchissement (Restaurant Bar Nzoumba)"/>
    <s v="Travel subsistence"/>
    <s v="Legal"/>
    <n v="21100"/>
    <n v="38.826876294995934"/>
    <n v="543.43799999999999"/>
    <s v="Abraham"/>
    <s v="AB-O-R9"/>
    <s v="PALF"/>
    <x v="5"/>
    <s v="Congo"/>
    <m/>
    <m/>
    <m/>
  </r>
  <r>
    <x v="268"/>
    <s v="Taxi-moto: RN1-Gendarmerie de Nkayi"/>
    <s v="Transport"/>
    <s v="Legal"/>
    <n v="1000"/>
    <n v="1.8401363172983856"/>
    <n v="543.43799999999999"/>
    <s v="Abraham"/>
    <s v="AB-O-D1"/>
    <s v="PALF"/>
    <x v="5"/>
    <s v="Congo"/>
    <m/>
    <m/>
    <m/>
  </r>
  <r>
    <x v="268"/>
    <s v="Taxi-moto: Hôtel le Déchel-Agence Transbony de Nkayi"/>
    <s v="Transport"/>
    <s v="Legal"/>
    <n v="500"/>
    <n v="0.92006815864919278"/>
    <n v="543.43799999999999"/>
    <s v="Abraham"/>
    <s v="AB-O-D1"/>
    <s v="PALF"/>
    <x v="5"/>
    <s v="Congo"/>
    <m/>
    <m/>
    <m/>
  </r>
  <r>
    <x v="268"/>
    <s v="Achat billet Nkayi-Brazzaville/Abraham"/>
    <s v="Transport"/>
    <s v="Legal"/>
    <n v="7000"/>
    <n v="12.880954221088698"/>
    <n v="543.43799999999999"/>
    <s v="Abraham"/>
    <s v="AB-O-R10"/>
    <s v="PALF"/>
    <x v="5"/>
    <s v="Congo"/>
    <m/>
    <m/>
    <m/>
  </r>
  <r>
    <x v="268"/>
    <s v="Taxi-moto: Agence Transbony de Nkayi-Hôtel Le Déchel"/>
    <s v="Transport"/>
    <s v="Legal"/>
    <n v="500"/>
    <n v="0.92006815864919278"/>
    <n v="543.43799999999999"/>
    <s v="Abraham"/>
    <s v="AB-O-D1"/>
    <s v="PALF"/>
    <x v="5"/>
    <s v="Congo"/>
    <m/>
    <m/>
    <m/>
  </r>
  <r>
    <x v="268"/>
    <s v="ABRAHAM - CONGO frais d'Hôtel (Hôtel Le Déchel) du 25 au 29/10/2025 à Nkayi(04 Nuitées)"/>
    <s v="Travel subsistence"/>
    <s v="Legal"/>
    <n v="60000"/>
    <n v="110.40817903790312"/>
    <n v="543.43799999999999"/>
    <s v="Abraham"/>
    <s v="AB-O-R11"/>
    <s v="PALF"/>
    <x v="5"/>
    <s v="Congo"/>
    <m/>
    <m/>
    <m/>
  </r>
  <r>
    <x v="268"/>
    <s v="RODERLIN-CONGO frais d'hôtel du 24 au 28/10/2025 à Nkayi (04nuitées)"/>
    <s v="Travel Subsistence"/>
    <s v="Legal"/>
    <n v="60000"/>
    <n v="110.40817903790312"/>
    <n v="543.43799999999999"/>
    <s v="Roderlin"/>
    <s v="RO-O-R6"/>
    <s v="PALF"/>
    <x v="5"/>
    <s v="Congo"/>
    <m/>
    <m/>
    <m/>
  </r>
  <r>
    <x v="268"/>
    <s v="Rafraichissement  en attente op"/>
    <s v="Travel Subsistence"/>
    <s v="Legal"/>
    <n v="3000"/>
    <n v="5.5204089518951562"/>
    <n v="543.43799999999999"/>
    <s v="Roderlin"/>
    <s v="RO-O-R7"/>
    <s v="PALF"/>
    <x v="5"/>
    <s v="Congo"/>
    <m/>
    <m/>
    <m/>
  </r>
  <r>
    <x v="268"/>
    <s v="Tricycle:Gendarmerie-Hôtel Mouanda pour l'op"/>
    <s v="Transport"/>
    <s v="Legal"/>
    <n v="1000"/>
    <n v="1.8401363172983856"/>
    <n v="543.43799999999999"/>
    <s v="Roderlin"/>
    <s v="RO-O-D1"/>
    <s v="PALF"/>
    <x v="5"/>
    <s v="Congo"/>
    <m/>
    <m/>
    <m/>
  </r>
  <r>
    <x v="268"/>
    <s v="Tricycle:Hôtel Mouanda-Gendarmerie"/>
    <s v="Transport"/>
    <s v="Legal"/>
    <n v="1000"/>
    <n v="1.8401363172983856"/>
    <n v="543.43799999999999"/>
    <s v="Roderlin"/>
    <s v="RO-O-D1"/>
    <s v="PALF"/>
    <x v="5"/>
    <s v="Congo"/>
    <m/>
    <m/>
    <m/>
  </r>
  <r>
    <x v="268"/>
    <s v="Tricycle:Gendarmerie-Hôtel Déchel pour la recupération des bagages "/>
    <s v="Transport"/>
    <s v="Legal"/>
    <n v="500"/>
    <n v="0.92006815864919278"/>
    <n v="543.43799999999999"/>
    <s v="Roderlin"/>
    <s v="RO-O-D1"/>
    <s v="PALF"/>
    <x v="5"/>
    <s v="Congo"/>
    <m/>
    <m/>
    <m/>
  </r>
  <r>
    <x v="268"/>
    <s v="Ration du du detenu NTONDELE MOUKOKO CLAVER  à la gendarmerie de Madingou/soir"/>
    <s v="Jail visits"/>
    <s v="Legal"/>
    <n v="1500"/>
    <n v="2.7602044759475781"/>
    <n v="543.43799999999999"/>
    <s v="Roderlin"/>
    <s v="RO-O-D3"/>
    <s v="PALF"/>
    <x v="5"/>
    <s v="Congo"/>
    <m/>
    <m/>
    <m/>
  </r>
  <r>
    <x v="268"/>
    <s v="Taxi, Gendarmerie de Nkayi-Bar Le Réfuge"/>
    <s v="Transport"/>
    <s v="Media"/>
    <n v="1000"/>
    <n v="1.8401363172983856"/>
    <n v="543.43799999999999"/>
    <s v="Evariste"/>
    <s v="EV-O-D1"/>
    <s v="PALF"/>
    <x v="5"/>
    <s v="Congo"/>
    <m/>
    <m/>
    <m/>
  </r>
  <r>
    <x v="268"/>
    <s v="Taxi, Bar Le Refuge-Gendarmerie (Agents EF) "/>
    <s v="Transport"/>
    <s v="Media"/>
    <n v="1000"/>
    <n v="1.8401363172983856"/>
    <n v="543.43799999999999"/>
    <s v="Evariste"/>
    <s v="EV-O-D1"/>
    <s v="PALF"/>
    <x v="5"/>
    <s v="Congo"/>
    <m/>
    <m/>
    <m/>
  </r>
  <r>
    <x v="268"/>
    <s v="Rafraichisseement de mon équipe"/>
    <s v="Travel Subsistence"/>
    <s v="Media"/>
    <n v="9800"/>
    <n v="18.03333590952418"/>
    <n v="543.43799999999999"/>
    <s v="Evariste"/>
    <s v="EV-O-R9"/>
    <s v="PALF"/>
    <x v="5"/>
    <s v="Congo"/>
    <m/>
    <m/>
    <m/>
  </r>
  <r>
    <x v="268"/>
    <s v="Location taxi pour le transport du reste de l'équipe de l'opération de Nkayi à Madingou"/>
    <s v="Transport"/>
    <s v="Operation"/>
    <n v="11000"/>
    <n v="20.241499490282241"/>
    <n v="543.43799999999999"/>
    <s v="Evariste"/>
    <s v="EV-O-R10"/>
    <s v="PALF"/>
    <x v="5"/>
    <s v="Congo"/>
    <m/>
    <m/>
    <m/>
  </r>
  <r>
    <x v="268"/>
    <s v="Evariste-CONGO Frais de l'hôtel du 24 au 28 octobre 2025 à Nkayi (4 nuitées)"/>
    <s v="Travel Subsistence"/>
    <s v="Media"/>
    <n v="60000"/>
    <n v="110.40817903790312"/>
    <n v="543.43799999999999"/>
    <s v="Evariste"/>
    <s v="EV-O-R11"/>
    <s v="PALF"/>
    <x v="5"/>
    <s v="Congo"/>
    <m/>
    <m/>
    <m/>
  </r>
  <r>
    <x v="268"/>
    <s v="Taxi, Région de Gendarmerie de Madingou-Hôtel"/>
    <s v="Transport"/>
    <s v="Media"/>
    <n v="500"/>
    <n v="0.92006815864919278"/>
    <n v="543.43799999999999"/>
    <s v="Evariste"/>
    <s v="EV-O-D1"/>
    <s v="PALF"/>
    <x v="5"/>
    <s v="Congo"/>
    <m/>
    <m/>
    <m/>
  </r>
  <r>
    <x v="268"/>
    <s v="Taxi moto: Hotel Paulina-Agence Océan du Nord d'Enyelé"/>
    <s v="Transport"/>
    <s v="Legal"/>
    <n v="300"/>
    <n v="0.5520408951895156"/>
    <n v="543.43799999999999"/>
    <s v="Romain"/>
    <s v="RM-O-D1"/>
    <s v="PALF"/>
    <x v="5"/>
    <s v="Congo"/>
    <m/>
    <m/>
    <m/>
  </r>
  <r>
    <x v="268"/>
    <s v="Taxi moto: Agence Océan du Nord d'Impfondo-Hotel MITHE 1"/>
    <s v="Transport"/>
    <s v="Legal"/>
    <n v="500"/>
    <n v="0.92006815864919278"/>
    <n v="543.43799999999999"/>
    <s v="Romain"/>
    <s v="RM-O-D1"/>
    <s v="PALF"/>
    <x v="5"/>
    <s v="Congo"/>
    <m/>
    <m/>
    <m/>
  </r>
  <r>
    <x v="269"/>
    <s v="DOVI-CONGO Frais d'hôtel du 25 Octobre 2025 au 29 Octobre 2025 soit 04 nuitées à Nkayi(Hôtel Le Dechel)"/>
    <s v="Travel subsistence"/>
    <s v="Management"/>
    <n v="60000"/>
    <n v="110.40817903790312"/>
    <n v="543.43799999999999"/>
    <s v="DOVI"/>
    <s v="DH-O-R14"/>
    <s v="PALF"/>
    <x v="5"/>
    <s v="Congo"/>
    <m/>
    <m/>
    <m/>
  </r>
  <r>
    <x v="269"/>
    <s v="Agence transbony Plateau - Maison"/>
    <s v="Transport"/>
    <s v="Management"/>
    <n v="1000"/>
    <n v="1.8401363172983856"/>
    <n v="543.43799999999999"/>
    <s v="DOVI"/>
    <s v="DH-O-D1"/>
    <s v="PALF"/>
    <x v="5"/>
    <s v="Congo"/>
    <m/>
    <m/>
    <m/>
  </r>
  <r>
    <x v="269"/>
    <s v="Maison- Bureau"/>
    <s v="Transport"/>
    <s v="Management"/>
    <n v="1000"/>
    <n v="1.8401363172983856"/>
    <n v="543.43799999999999"/>
    <s v="DOVI"/>
    <s v="DH-O-D1"/>
    <s v="PALF"/>
    <x v="5"/>
    <s v="Congo"/>
    <m/>
    <m/>
    <m/>
  </r>
  <r>
    <x v="269"/>
    <s v="Bureau-Maison"/>
    <s v="Transport"/>
    <s v="Management"/>
    <n v="1000"/>
    <n v="1.8401363172983856"/>
    <n v="543.43799999999999"/>
    <s v="DOVI"/>
    <s v="DH-O-D1"/>
    <s v="PALF"/>
    <x v="5"/>
    <s v="Congo"/>
    <m/>
    <m/>
    <m/>
  </r>
  <r>
    <x v="269"/>
    <s v="Taxi moto: Gendarmerie-Hôtel"/>
    <s v="Transport"/>
    <s v="Legal"/>
    <n v="500"/>
    <n v="0.92006815864919278"/>
    <n v="543.43799999999999"/>
    <s v="Crépin"/>
    <s v="CR-O-D1"/>
    <s v="PALF"/>
    <x v="5"/>
    <s v="Congo"/>
    <m/>
    <m/>
    <m/>
  </r>
  <r>
    <x v="269"/>
    <s v="Taxi:  Bureau- Charden farell/ transfert d'argent à  Crépin, P29, Romain, Evariste, IT87 et Roderlin"/>
    <s v="Transport"/>
    <s v="Office"/>
    <n v="500"/>
    <n v="0.92006815864919278"/>
    <n v="543.43799999999999"/>
    <s v="Parfaite"/>
    <s v="P-O-D1"/>
    <s v="PALF"/>
    <x v="5"/>
    <s v="Congo"/>
    <m/>
    <m/>
    <m/>
  </r>
  <r>
    <x v="269"/>
    <s v="Taxi: Charden Farell-Bureau"/>
    <s v="Transport"/>
    <s v="Office"/>
    <n v="500"/>
    <n v="0.92006815864919278"/>
    <n v="543.43799999999999"/>
    <s v="Parfaite"/>
    <s v="P-O-D1"/>
    <s v="PALF"/>
    <x v="5"/>
    <s v="Congo"/>
    <m/>
    <m/>
    <m/>
  </r>
  <r>
    <x v="269"/>
    <s v="Frais de tansfert d'argent Charden Frarell  a crepin ,evariste,Roderlin,Romain, P29 et IT87"/>
    <s v="Transfert fees"/>
    <s v="Office"/>
    <n v="11200"/>
    <n v="20.609526753741918"/>
    <n v="543.43799999999999"/>
    <s v="Parfaite"/>
    <s v="CA-O-R37"/>
    <s v="PALF"/>
    <x v="5"/>
    <s v="Congo"/>
    <m/>
    <m/>
    <m/>
  </r>
  <r>
    <x v="269"/>
    <s v="P29 -CONGO Frais d'hotel du 27 au 29/10/2025 à Nkayi lieu OP1 (P29) (02 Nuitées)"/>
    <s v="Travel Subsistence"/>
    <s v="Investigation"/>
    <n v="40000"/>
    <n v="73.605452691935426"/>
    <n v="543.43799999999999"/>
    <s v="P29"/>
    <s v="P29-O-R20"/>
    <s v="PALF"/>
    <x v="5"/>
    <s v="Congo"/>
    <m/>
    <m/>
    <m/>
  </r>
  <r>
    <x v="269"/>
    <s v="P29 -CONGO Frais d'hotel du 27 au 29/10/2025 à Nkayi lieu OP2 (Crépin) (02 Nuitées)"/>
    <s v="Travel Subsistence"/>
    <s v="Investigation"/>
    <n v="40000"/>
    <n v="73.605452691935426"/>
    <n v="543.43799999999999"/>
    <s v="P29"/>
    <s v="P29-O-R21"/>
    <s v="PALF"/>
    <x v="5"/>
    <s v="Congo"/>
    <m/>
    <m/>
    <m/>
  </r>
  <r>
    <x v="269"/>
    <s v="Taxi hotel- mangazi,prospection"/>
    <s v="Transport"/>
    <s v="Investigation"/>
    <n v="1000"/>
    <n v="1.8401363172983856"/>
    <n v="543.43799999999999"/>
    <s v="P29"/>
    <s v="P29-O-D1"/>
    <s v="PALF"/>
    <x v="5"/>
    <s v="Congo"/>
    <m/>
    <m/>
    <m/>
  </r>
  <r>
    <x v="269"/>
    <s v="Taxi mangazi-cercle,prospection"/>
    <s v="Transport"/>
    <s v="Investigation"/>
    <n v="1000"/>
    <n v="1.8401363172983856"/>
    <n v="543.43799999999999"/>
    <s v="P29"/>
    <s v="P29-O-D1"/>
    <s v="PALF"/>
    <x v="5"/>
    <s v="Congo"/>
    <m/>
    <m/>
    <m/>
  </r>
  <r>
    <x v="269"/>
    <s v="Taxi cercle-cf,retrait des fonds"/>
    <s v="Transport"/>
    <s v="Investigation"/>
    <n v="1000"/>
    <n v="1.8401363172983856"/>
    <n v="543.43799999999999"/>
    <s v="P29"/>
    <s v="P29-O-D1"/>
    <s v="PALF"/>
    <x v="5"/>
    <s v="Congo"/>
    <m/>
    <m/>
    <m/>
  </r>
  <r>
    <x v="269"/>
    <s v="Taxi cf-sab,prospection"/>
    <s v="Transport"/>
    <s v="Investigation"/>
    <n v="1000"/>
    <n v="1.8401363172983856"/>
    <n v="543.43799999999999"/>
    <s v="P29"/>
    <s v="P29-O-D1"/>
    <s v="PALF"/>
    <x v="5"/>
    <s v="Congo"/>
    <m/>
    <m/>
    <m/>
  </r>
  <r>
    <x v="269"/>
    <s v="Taxi sab-gare routière,prospection"/>
    <s v="Transport"/>
    <s v="Investigation"/>
    <n v="1500"/>
    <n v="2.7602044759475781"/>
    <n v="543.43799999999999"/>
    <s v="P29"/>
    <s v="P29-O-D1"/>
    <s v="PALF"/>
    <x v="5"/>
    <s v="Congo"/>
    <m/>
    <m/>
    <m/>
  </r>
  <r>
    <x v="269"/>
    <s v="Taxi gare routière-hotel"/>
    <s v="Transport"/>
    <s v="Investigation"/>
    <n v="1500"/>
    <n v="2.7602044759475781"/>
    <n v="543.43799999999999"/>
    <s v="P29"/>
    <s v="P29-O-D1"/>
    <s v="PALF"/>
    <x v="5"/>
    <s v="Congo"/>
    <m/>
    <m/>
    <m/>
  </r>
  <r>
    <x v="269"/>
    <s v="Achat boisson"/>
    <s v="Trust building"/>
    <s v="Investigation"/>
    <n v="2000"/>
    <n v="3.6802726345967711"/>
    <n v="543.43799999999999"/>
    <s v="P29"/>
    <s v="P29-O-D3"/>
    <s v="PALF"/>
    <x v="5"/>
    <s v="Congo"/>
    <m/>
    <m/>
    <m/>
  </r>
  <r>
    <x v="269"/>
    <s v="Taxi : domicile - marché diata ( prospection à Brazzaville)"/>
    <s v="transport"/>
    <s v="Investigation"/>
    <n v="1000"/>
    <n v="1.8401363172983856"/>
    <n v="543.43799999999999"/>
    <s v="T73"/>
    <s v="T73-O-D1"/>
    <s v="PALF"/>
    <x v="5"/>
    <s v="Congo"/>
    <m/>
    <m/>
    <m/>
  </r>
  <r>
    <x v="269"/>
    <s v="Taxi : marché diata - zone CHU ( prospection à Brazzaville)"/>
    <s v="transport"/>
    <s v="Investigation"/>
    <n v="1000"/>
    <n v="1.8401363172983856"/>
    <n v="543.43799999999999"/>
    <s v="T73"/>
    <s v="T73-O-D1"/>
    <s v="PALF"/>
    <x v="5"/>
    <s v="Congo"/>
    <m/>
    <m/>
    <m/>
  </r>
  <r>
    <x v="269"/>
    <s v="Taxi : zone CHU - la zone de campus ( prospection à Brazzaville)"/>
    <s v="transport"/>
    <s v="Investigation"/>
    <n v="1000"/>
    <n v="1.8401363172983856"/>
    <n v="543.43799999999999"/>
    <s v="T73"/>
    <s v="T73-O-D1"/>
    <s v="PALF"/>
    <x v="5"/>
    <s v="Congo"/>
    <m/>
    <m/>
    <m/>
  </r>
  <r>
    <x v="269"/>
    <s v="Taxi : la zone de campus - poto-poto ( prospection à Brazzaville)"/>
    <s v="transport"/>
    <s v="Investigation"/>
    <n v="1000"/>
    <n v="1.8401363172983856"/>
    <n v="543.43799999999999"/>
    <s v="T73"/>
    <s v="T73-O-D1"/>
    <s v="PALF"/>
    <x v="5"/>
    <s v="Congo"/>
    <m/>
    <m/>
    <m/>
  </r>
  <r>
    <x v="269"/>
    <s v="Taxi : poto-poto - domicile ( prospection à Brazzaville)"/>
    <s v="transport"/>
    <s v="Investigation"/>
    <n v="1000"/>
    <n v="1.8401363172983856"/>
    <n v="543.43799999999999"/>
    <s v="T73"/>
    <s v="T73-O-D1"/>
    <s v="PALF"/>
    <x v="5"/>
    <s v="Congo"/>
    <m/>
    <m/>
    <m/>
  </r>
  <r>
    <x v="269"/>
    <s v="achat boissons"/>
    <s v="trust building"/>
    <s v="Investigation"/>
    <n v="2000"/>
    <n v="3.6802726345967711"/>
    <n v="543.43799999999999"/>
    <s v="T73"/>
    <s v="T73-O-D2"/>
    <s v="PALF"/>
    <x v="5"/>
    <s v="Congo"/>
    <m/>
    <m/>
    <m/>
  </r>
  <r>
    <x v="269"/>
    <s v="Taxi : Hôtel - Bacongo/ Prospection"/>
    <s v="Transport"/>
    <s v="Investigation"/>
    <n v="1000"/>
    <n v="1.8401363172983856"/>
    <n v="543.43799999999999"/>
    <s v="IT87"/>
    <s v="IT87-O-D1"/>
    <s v="PALF"/>
    <x v="5"/>
    <s v="Congo"/>
    <m/>
    <m/>
    <m/>
  </r>
  <r>
    <x v="269"/>
    <s v="Taxi : Bacongo - Gare routière/ Prospection"/>
    <s v="Transport"/>
    <s v="Investigation"/>
    <n v="1000"/>
    <n v="1.8401363172983856"/>
    <n v="543.43799999999999"/>
    <s v="IT87"/>
    <s v="IT87-O-D1"/>
    <s v="PALF"/>
    <x v="5"/>
    <s v="Congo"/>
    <m/>
    <m/>
    <m/>
  </r>
  <r>
    <x v="269"/>
    <s v="Taxi : Gare routière - Charden Farel/ Retrait du budget"/>
    <s v="Transport"/>
    <s v="Investigation"/>
    <n v="1000"/>
    <n v="1.8401363172983856"/>
    <n v="543.43799999999999"/>
    <s v="IT87"/>
    <s v="IT87-O-D1"/>
    <s v="PALF"/>
    <x v="5"/>
    <s v="Congo"/>
    <m/>
    <m/>
    <m/>
  </r>
  <r>
    <x v="269"/>
    <s v="Taxi : Charden Farel - Hôtel/ Retour de prospection"/>
    <s v="Transport"/>
    <s v="Investigation"/>
    <n v="1000"/>
    <n v="1.8401363172983856"/>
    <n v="543.43799999999999"/>
    <s v="IT87"/>
    <s v="IT87-O-D1"/>
    <s v="PALF"/>
    <x v="5"/>
    <s v="Congo"/>
    <m/>
    <m/>
    <m/>
  </r>
  <r>
    <x v="269"/>
    <s v="Taxi: Domicile - moukoundzi nkouaka/ prospection"/>
    <s v="Transport"/>
    <s v="Investigation"/>
    <n v="1000"/>
    <n v="1.8401363172983856"/>
    <n v="543.43799999999999"/>
    <s v="G12"/>
    <s v="G12-O-D1"/>
    <s v="PALF"/>
    <x v="5"/>
    <s v="Congo"/>
    <m/>
    <m/>
    <m/>
  </r>
  <r>
    <x v="269"/>
    <s v="Taxi: Moukoundzi nkouaka - koléla /prospection"/>
    <s v="Transport"/>
    <s v="Investigation"/>
    <n v="1000"/>
    <n v="1.8401363172983856"/>
    <n v="543.43799999999999"/>
    <s v="G12"/>
    <s v="G12-O-D1"/>
    <s v="PALF"/>
    <x v="5"/>
    <s v="Congo"/>
    <m/>
    <m/>
    <m/>
  </r>
  <r>
    <x v="269"/>
    <s v="Taxi : Koléla - domicile"/>
    <s v="Transport"/>
    <s v="Investigation"/>
    <n v="1000"/>
    <n v="1.8401363172983856"/>
    <n v="543.43799999999999"/>
    <s v="G12"/>
    <s v="G12-O-D1"/>
    <s v="PALF"/>
    <x v="5"/>
    <s v="Congo"/>
    <m/>
    <m/>
    <m/>
  </r>
  <r>
    <x v="269"/>
    <s v="Taxi-moto: Hôtel le Déchel-Agence Transbony de Nkayi"/>
    <s v="Transport"/>
    <s v="Legal"/>
    <n v="500"/>
    <n v="0.92006815864919278"/>
    <n v="543.43799999999999"/>
    <s v="Abraham"/>
    <s v="AB-O-D1"/>
    <s v="PALF"/>
    <x v="5"/>
    <s v="Congo"/>
    <m/>
    <m/>
    <m/>
  </r>
  <r>
    <x v="269"/>
    <s v="Taxi:Agence Tranbony de La frontière-Domicile"/>
    <s v="Transport"/>
    <s v="Legal"/>
    <n v="1000"/>
    <n v="1.8401363172983856"/>
    <n v="543.43799999999999"/>
    <s v="Abraham"/>
    <s v="AB-O-D1"/>
    <s v="PALF"/>
    <x v="5"/>
    <s v="Congo"/>
    <m/>
    <m/>
    <m/>
  </r>
  <r>
    <x v="269"/>
    <s v="Tricycle:Hôtel- Marché pour l'achat de la ration du prevenu "/>
    <s v="Transport"/>
    <s v="Legal"/>
    <n v="500"/>
    <n v="0.92006815864919278"/>
    <n v="543.43799999999999"/>
    <s v="Roderlin"/>
    <s v="RO-O-D1"/>
    <s v="PALF"/>
    <x v="5"/>
    <s v="Congo"/>
    <m/>
    <m/>
    <m/>
  </r>
  <r>
    <x v="269"/>
    <s v="Ration du du detenu NTONDELE MOUKOKO CLAVER  à la gendarmerie de Madingou/matin"/>
    <s v="Jail visits"/>
    <s v="Legal"/>
    <n v="1500"/>
    <n v="2.7602044759475781"/>
    <n v="543.43799999999999"/>
    <s v="Roderlin"/>
    <s v="RO-O-D3"/>
    <s v="PALF"/>
    <x v="5"/>
    <s v="Congo"/>
    <m/>
    <m/>
    <m/>
  </r>
  <r>
    <x v="269"/>
    <s v="Tricycle:Gendarmérie-Hôtel"/>
    <s v="Transport"/>
    <s v="Legal"/>
    <n v="500"/>
    <n v="0.92006815864919278"/>
    <n v="543.43799999999999"/>
    <s v="Roderlin"/>
    <s v="RO-O-D1"/>
    <s v="PALF"/>
    <x v="5"/>
    <s v="Congo"/>
    <m/>
    <m/>
    <m/>
  </r>
  <r>
    <x v="269"/>
    <s v="Tricycle:Hôtel -DDF pour la suivie de la procedure "/>
    <s v="Transport"/>
    <s v="Legal"/>
    <n v="500"/>
    <n v="0.92006815864919278"/>
    <n v="543.43799999999999"/>
    <s v="Roderlin"/>
    <s v="RO-O-D1"/>
    <s v="PALF"/>
    <x v="5"/>
    <s v="Congo"/>
    <m/>
    <m/>
    <m/>
  </r>
  <r>
    <x v="269"/>
    <s v="Tricycle:DDF- Charden Farrel "/>
    <s v="Transport"/>
    <s v="Legal"/>
    <n v="500"/>
    <n v="0.92006815864919278"/>
    <n v="543.43799999999999"/>
    <s v="Roderlin"/>
    <s v="RO-O-D1"/>
    <s v="PALF"/>
    <x v="5"/>
    <s v="Congo"/>
    <m/>
    <m/>
    <m/>
  </r>
  <r>
    <x v="269"/>
    <s v="Tricycle:Charden Farre- Hôtel"/>
    <s v="Transport"/>
    <s v="Legal"/>
    <n v="500"/>
    <n v="0.92006815864919278"/>
    <n v="543.43799999999999"/>
    <s v="Roderlin"/>
    <s v="RO-O-D1"/>
    <s v="PALF"/>
    <x v="5"/>
    <s v="Congo"/>
    <m/>
    <m/>
    <m/>
  </r>
  <r>
    <x v="269"/>
    <s v="Tricycle:Hôtel- Marché pour l'achat de la ration du prevenu "/>
    <s v="Transport"/>
    <s v="Legal"/>
    <n v="500"/>
    <n v="0.92006815864919278"/>
    <n v="543.43799999999999"/>
    <s v="Roderlin"/>
    <s v="RO-O-D1"/>
    <s v="PALF"/>
    <x v="5"/>
    <s v="Congo"/>
    <m/>
    <m/>
    <m/>
  </r>
  <r>
    <x v="269"/>
    <s v="Ration du du detenu NTONDELE MOUKOKO CLAVER  à la gendarmerie de Madingou/soir"/>
    <s v="Jail visits"/>
    <s v="Legal"/>
    <n v="1500"/>
    <n v="2.7602044759475781"/>
    <n v="543.43799999999999"/>
    <s v="Roderlin"/>
    <s v="RO-O-D3"/>
    <s v="PALF"/>
    <x v="5"/>
    <s v="Congo"/>
    <m/>
    <m/>
    <m/>
  </r>
  <r>
    <x v="269"/>
    <s v="Tricycle:gendarmérie-Hôtel"/>
    <s v="Transport"/>
    <s v="Legal"/>
    <n v="500"/>
    <n v="0.92006815864919278"/>
    <n v="543.43799999999999"/>
    <s v="Roderlin"/>
    <s v="RO-O-D1"/>
    <s v="PALF"/>
    <x v="5"/>
    <s v="Congo"/>
    <m/>
    <m/>
    <m/>
  </r>
  <r>
    <x v="269"/>
    <s v="Taxi Bureau-Mazala/ Rencontrer Maître Hélène"/>
    <s v="Transport "/>
    <s v="Legal"/>
    <n v="1000"/>
    <n v="1.8401363172983856"/>
    <n v="543.43799999999999"/>
    <s v="Donald-Roméo"/>
    <s v="DR-O-D1"/>
    <s v="PALF"/>
    <x v="5"/>
    <s v="Congo"/>
    <m/>
    <m/>
    <m/>
  </r>
  <r>
    <x v="269"/>
    <s v="Frais de transport mission Maitre Helene à Madingou du 30/10 au 03/11/2025"/>
    <s v="Transport"/>
    <s v="Legal"/>
    <n v="22000"/>
    <n v="40.482998980564481"/>
    <n v="543.43799999999999"/>
    <s v="Donald-Roméo"/>
    <s v="CA-O-R38"/>
    <s v="PALF"/>
    <x v="5"/>
    <s v="Congo"/>
    <m/>
    <m/>
    <m/>
  </r>
  <r>
    <x v="269"/>
    <s v="Ration et frais d'hotel mission maitre Helène à Madingou du 30/10 au 03/11/2025"/>
    <s v="Travel Subsistence"/>
    <s v="Legal"/>
    <n v="100000"/>
    <n v="184.01363172983855"/>
    <n v="543.43799999999999"/>
    <s v="Donald-Roméo"/>
    <s v="CA-O-R39"/>
    <s v="PALF"/>
    <x v="5"/>
    <s v="Congo"/>
    <m/>
    <m/>
    <m/>
  </r>
  <r>
    <x v="269"/>
    <s v="Taxi Mazala-Bureau"/>
    <s v="Transport "/>
    <s v="Legal"/>
    <n v="1000"/>
    <n v="1.8401363172983856"/>
    <n v="543.43799999999999"/>
    <s v="Donald-Roméo"/>
    <s v="DR-O-D1"/>
    <s v="PALF"/>
    <x v="5"/>
    <s v="Congo"/>
    <m/>
    <m/>
    <m/>
  </r>
  <r>
    <x v="269"/>
    <s v="Taxi moto, Hôtel-DDEF Bouenza"/>
    <s v="Transport"/>
    <s v="Media"/>
    <n v="500"/>
    <n v="0.92006815864919278"/>
    <n v="543.43799999999999"/>
    <s v="Evariste"/>
    <s v="EV-O-D1"/>
    <s v="PALF"/>
    <x v="5"/>
    <s v="Congo"/>
    <m/>
    <m/>
    <m/>
  </r>
  <r>
    <x v="269"/>
    <s v="Taxi moto, Gendarmerie-Hôtel "/>
    <s v="Transport"/>
    <s v="Media"/>
    <n v="500"/>
    <n v="0.92006815864919278"/>
    <n v="543.43799999999999"/>
    <s v="Evariste"/>
    <s v="EV-O-D1"/>
    <s v="PALF"/>
    <x v="5"/>
    <s v="Congo"/>
    <m/>
    <m/>
    <m/>
  </r>
  <r>
    <x v="269"/>
    <s v="Taxi moto: Hotel Mithé-boutique"/>
    <s v="Transport"/>
    <s v="Legal"/>
    <n v="250"/>
    <n v="0.46003407932459639"/>
    <n v="543.43799999999999"/>
    <s v="Romain"/>
    <s v="RM-O-D1"/>
    <s v="PALF"/>
    <x v="5"/>
    <s v="Congo"/>
    <m/>
    <m/>
    <m/>
  </r>
  <r>
    <x v="269"/>
    <s v="Achat de la ration des detenus (MBEKELE PARFAIT et MOUAPENDO Jodel)"/>
    <s v="Jail visit"/>
    <s v="Legal"/>
    <n v="3000"/>
    <n v="5.5204089518951562"/>
    <n v="543.43799999999999"/>
    <s v="Romain"/>
    <s v="RM-O-D3"/>
    <s v="PALF"/>
    <x v="5"/>
    <s v="Congo"/>
    <m/>
    <m/>
    <m/>
  </r>
  <r>
    <x v="269"/>
    <s v="Taxi moto:  Boutique-Maison d'arret d'Impfondo"/>
    <s v="Transport"/>
    <s v="Legal"/>
    <n v="250"/>
    <n v="0.46003407932459639"/>
    <n v="543.43799999999999"/>
    <s v="Romain"/>
    <s v="RM-O-D1"/>
    <s v="PALF"/>
    <x v="5"/>
    <s v="Congo"/>
    <m/>
    <m/>
    <m/>
  </r>
  <r>
    <x v="269"/>
    <s v="Taxi moto: Mison d'arret-Agence Océan du Nord"/>
    <s v="Transport"/>
    <s v="Legal"/>
    <n v="500"/>
    <n v="0.92006815864919278"/>
    <n v="543.43799999999999"/>
    <s v="Romain"/>
    <s v="RM-O-D1"/>
    <s v="PALF"/>
    <x v="5"/>
    <s v="Congo"/>
    <m/>
    <m/>
    <m/>
  </r>
  <r>
    <x v="269"/>
    <s v="Taxi moto: Agence Océan du Nord-Hotel Mithé"/>
    <s v="Transport"/>
    <s v="Legal"/>
    <n v="500"/>
    <n v="0.92006815864919278"/>
    <n v="543.43799999999999"/>
    <s v="Romain"/>
    <s v="RM-O-D1"/>
    <s v="PALF"/>
    <x v="5"/>
    <s v="Congo"/>
    <m/>
    <m/>
    <m/>
  </r>
  <r>
    <x v="269"/>
    <s v="Taxi moto: Hotel Mithé-marché(pour acheter la ration des détenus"/>
    <s v="Transport"/>
    <s v="Legal"/>
    <n v="250"/>
    <n v="0.46003407932459639"/>
    <n v="543.43799999999999"/>
    <s v="Romain"/>
    <s v="RM-O-D1"/>
    <s v="PALF"/>
    <x v="5"/>
    <s v="Congo"/>
    <m/>
    <m/>
    <m/>
  </r>
  <r>
    <x v="269"/>
    <s v="Achat de la ration des détenus (MOUAPENDO et MBEKELE)"/>
    <s v="Jail visit"/>
    <s v="Legal"/>
    <n v="3500"/>
    <n v="6.4404771105443492"/>
    <n v="543.43799999999999"/>
    <s v="Romain"/>
    <s v="RM-O-D3"/>
    <s v="PALF"/>
    <x v="5"/>
    <s v="Congo"/>
    <m/>
    <m/>
    <m/>
  </r>
  <r>
    <x v="269"/>
    <s v="Taxi moto: marché-maison d'arret"/>
    <s v="Transport"/>
    <s v="Legal"/>
    <n v="250"/>
    <n v="0.46003407932459639"/>
    <n v="543.43799999999999"/>
    <s v="Romain"/>
    <s v="RM-O-D1"/>
    <s v="PALF"/>
    <x v="5"/>
    <s v="Congo"/>
    <m/>
    <m/>
    <m/>
  </r>
  <r>
    <x v="269"/>
    <s v="Taxi moto: maison d'arret- Hotel Mithé"/>
    <s v="Transport"/>
    <s v="Legal"/>
    <n v="500"/>
    <n v="0.92006815864919278"/>
    <n v="543.43799999999999"/>
    <s v="Romain"/>
    <s v="RM-O-D1"/>
    <s v="PALF"/>
    <x v="5"/>
    <s v="Congo"/>
    <m/>
    <m/>
    <m/>
  </r>
  <r>
    <x v="270"/>
    <s v="Maison-Bureau"/>
    <s v="Transport"/>
    <s v="Management"/>
    <n v="1000"/>
    <n v="1.8401363172983856"/>
    <n v="543.43799999999999"/>
    <s v="DOVI"/>
    <s v="DH-O-D1"/>
    <s v="PALF"/>
    <x v="5"/>
    <s v="Congo"/>
    <m/>
    <m/>
    <m/>
  </r>
  <r>
    <x v="270"/>
    <s v="Bureau - Maison"/>
    <s v="Transport"/>
    <s v="Management"/>
    <n v="1000"/>
    <n v="1.8401363172983856"/>
    <n v="543.43799999999999"/>
    <s v="DOVI"/>
    <s v="DH-O-D1"/>
    <s v="PALF"/>
    <x v="5"/>
    <s v="Congo"/>
    <m/>
    <m/>
    <m/>
  </r>
  <r>
    <x v="270"/>
    <s v="Taxi moto: Hôtel-Gendarmerie"/>
    <s v="Transport"/>
    <s v="Legal"/>
    <n v="500"/>
    <n v="0.92006815864919278"/>
    <n v="543.43799999999999"/>
    <s v="Crépin"/>
    <s v="CR-O-D1"/>
    <s v="PALF"/>
    <x v="5"/>
    <s v="Congo"/>
    <m/>
    <m/>
    <m/>
  </r>
  <r>
    <x v="270"/>
    <s v="Taxi moto: Gendarmerie-Hôtel"/>
    <s v="Transport"/>
    <s v="Legal"/>
    <n v="500"/>
    <n v="0.92006815864919278"/>
    <n v="543.43799999999999"/>
    <s v="Crépin"/>
    <s v="CR-O-D1"/>
    <s v="PALF"/>
    <x v="5"/>
    <s v="Congo"/>
    <m/>
    <m/>
    <m/>
  </r>
  <r>
    <x v="270"/>
    <s v="P29 -CONGO Frais d'hotel du 28 au 30/10/2025 à dolisie (02 Nuitées)"/>
    <s v="Travel Subsistence"/>
    <s v="Investigation"/>
    <n v="30000"/>
    <n v="55.204089518951562"/>
    <n v="543.43799999999999"/>
    <s v="P29"/>
    <s v="P29-O-R22"/>
    <s v="PALF"/>
    <x v="5"/>
    <s v="Congo"/>
    <m/>
    <m/>
    <m/>
  </r>
  <r>
    <x v="270"/>
    <s v="Taxi hotel-agence,départ brazza"/>
    <s v="Transport"/>
    <s v="Investigation"/>
    <n v="1000"/>
    <n v="1.8401363172983856"/>
    <n v="543.43799999999999"/>
    <s v="P29"/>
    <s v="P29-O-D1"/>
    <s v="PALF"/>
    <x v="5"/>
    <s v="Congo"/>
    <m/>
    <m/>
    <m/>
  </r>
  <r>
    <x v="270"/>
    <s v="Taxi agence-domicile,arrivé à brazzaville"/>
    <s v="Transport"/>
    <s v="Investigation"/>
    <n v="1500"/>
    <n v="2.7602044759475781"/>
    <n v="543.43799999999999"/>
    <s v="P29"/>
    <s v="P29-O-D1"/>
    <s v="PALF"/>
    <x v="5"/>
    <s v="Congo"/>
    <m/>
    <m/>
    <m/>
  </r>
  <r>
    <x v="270"/>
    <s v="IT87- CONGO Frais d'hôtel du 28 au 30/10/2025 à Dolisie (02 nuitées)"/>
    <s v="Travel Subsistence"/>
    <s v="Investigation"/>
    <n v="30000"/>
    <n v="55.204089518951562"/>
    <n v="543.43799999999999"/>
    <s v="IT87"/>
    <s v="IT87-O-R13"/>
    <s v="PALF"/>
    <x v="5"/>
    <s v="Congo"/>
    <m/>
    <m/>
    <m/>
  </r>
  <r>
    <x v="270"/>
    <s v="Taxi : Hôtel - Agence Océan du nord/ Départ de Dolisie pour Brazzaville"/>
    <s v="Transport"/>
    <s v="Investigation"/>
    <n v="1000"/>
    <n v="1.8401363172983856"/>
    <n v="543.43799999999999"/>
    <s v="IT87"/>
    <s v="IT87-O-D1"/>
    <s v="PALF"/>
    <x v="5"/>
    <s v="Congo"/>
    <m/>
    <m/>
    <m/>
  </r>
  <r>
    <x v="270"/>
    <s v="Achat billet Dolisie - Brazzaville/ IT87"/>
    <s v="Transport"/>
    <s v="Investigation"/>
    <n v="9000"/>
    <n v="16.561226855685469"/>
    <n v="543.43799999999999"/>
    <s v="IT87"/>
    <s v="IT87-O-R14"/>
    <s v="PALF"/>
    <x v="5"/>
    <s v="Congo"/>
    <m/>
    <m/>
    <m/>
  </r>
  <r>
    <x v="270"/>
    <s v="Taxi : Agence Océan du nord Moungali - Domicile/ Arrivé à Brazzaville"/>
    <s v="Transport"/>
    <s v="Investigation"/>
    <n v="2500"/>
    <n v="4.6003407932459641"/>
    <n v="543.43799999999999"/>
    <s v="IT87"/>
    <s v="IT87-O-D1"/>
    <s v="PALF"/>
    <x v="5"/>
    <s v="Congo"/>
    <m/>
    <m/>
    <m/>
  </r>
  <r>
    <x v="270"/>
    <s v="Taxi:Bureau-Pharmacie/vérification de la disponibilité des produits"/>
    <s v="Transport"/>
    <s v="Legal"/>
    <n v="500"/>
    <n v="0.92006815864919278"/>
    <n v="543.43799999999999"/>
    <s v="Abraham"/>
    <s v="AB-O-D1"/>
    <s v="PALF"/>
    <x v="5"/>
    <s v="Congo"/>
    <m/>
    <m/>
    <m/>
  </r>
  <r>
    <x v="270"/>
    <s v="Taxi:Pharmacie-Bureau"/>
    <s v="Transport"/>
    <s v="Legal"/>
    <n v="500"/>
    <n v="0.92006815864919278"/>
    <n v="543.43799999999999"/>
    <s v="Abraham"/>
    <s v="AB-O-D1"/>
    <s v="PALF"/>
    <x v="5"/>
    <s v="Congo"/>
    <m/>
    <m/>
    <m/>
  </r>
  <r>
    <x v="270"/>
    <s v="Tricycle:Hôtel- Marché pour l'achat de la ration du prevenu "/>
    <s v="Transport"/>
    <s v="Legal"/>
    <n v="500"/>
    <n v="0.92006815864919278"/>
    <n v="543.43799999999999"/>
    <s v="Roderlin"/>
    <s v="RO-O-D1"/>
    <s v="PALF"/>
    <x v="5"/>
    <s v="Congo"/>
    <m/>
    <m/>
    <m/>
  </r>
  <r>
    <x v="270"/>
    <s v="Ration du du detenu NTONDELE MOUKOKO CLAVER  à la gendarmerie de Madingou/matin"/>
    <s v="Jail visits"/>
    <s v="Legal"/>
    <n v="1500"/>
    <n v="2.7602044759475781"/>
    <n v="543.43799999999999"/>
    <s v="Roderlin"/>
    <s v="RO-O-D3"/>
    <s v="PALF"/>
    <x v="5"/>
    <s v="Congo"/>
    <m/>
    <m/>
    <m/>
  </r>
  <r>
    <x v="270"/>
    <s v="Tricycle:gendarmérie-Hôtel"/>
    <s v="Transport"/>
    <s v="Legal"/>
    <n v="500"/>
    <n v="0.92006815864919278"/>
    <n v="543.43799999999999"/>
    <s v="Roderlin"/>
    <s v="RO-O-D1"/>
    <s v="PALF"/>
    <x v="5"/>
    <s v="Congo"/>
    <m/>
    <m/>
    <m/>
  </r>
  <r>
    <x v="270"/>
    <s v="Tricycle:Hôtel-DDF pour la saisie de la procedure"/>
    <s v="Transport"/>
    <s v="Legal"/>
    <n v="500"/>
    <n v="0.92006815864919278"/>
    <n v="543.43799999999999"/>
    <s v="Roderlin"/>
    <s v="RO-O-D1"/>
    <s v="PALF"/>
    <x v="5"/>
    <s v="Congo"/>
    <m/>
    <m/>
    <m/>
  </r>
  <r>
    <x v="270"/>
    <s v="Tricycle:DDF- Hôtel"/>
    <s v="Transport"/>
    <s v="Legal"/>
    <n v="500"/>
    <n v="0.92006815864919278"/>
    <n v="543.43799999999999"/>
    <s v="Roderlin"/>
    <s v="RO-O-D1"/>
    <s v="PALF"/>
    <x v="5"/>
    <s v="Congo"/>
    <m/>
    <m/>
    <m/>
  </r>
  <r>
    <x v="270"/>
    <s v="Tricycle:Hôtel-Sécretariat pour l'impression de la procedure"/>
    <s v="Transport"/>
    <s v="Legal"/>
    <n v="500"/>
    <n v="0.92006815864919278"/>
    <n v="543.43799999999999"/>
    <s v="Roderlin"/>
    <s v="RO-O-D1"/>
    <s v="PALF"/>
    <x v="5"/>
    <s v="Congo"/>
    <m/>
    <m/>
    <m/>
  </r>
  <r>
    <x v="270"/>
    <s v="Frais d'impression "/>
    <s v="Office Materials"/>
    <s v="Legal"/>
    <n v="22500"/>
    <n v="41.403067139213675"/>
    <n v="543.43799999999999"/>
    <s v="Roderlin"/>
    <s v="RO-O-R8"/>
    <s v="PALF"/>
    <x v="5"/>
    <s v="Congo"/>
    <m/>
    <m/>
    <m/>
  </r>
  <r>
    <x v="270"/>
    <s v="Tricycle:Sécretariat- Hôtel "/>
    <s v="Transport"/>
    <s v="Legal"/>
    <n v="500"/>
    <n v="0.92006815864919278"/>
    <n v="543.43799999999999"/>
    <s v="Roderlin"/>
    <s v="RO-O-D1"/>
    <s v="PALF"/>
    <x v="5"/>
    <s v="Congo"/>
    <m/>
    <m/>
    <m/>
  </r>
  <r>
    <x v="270"/>
    <s v="Tricycle:Hôtel- Marché pour l'achat de la ration du prevenu "/>
    <s v="Transport"/>
    <s v="Legal"/>
    <n v="500"/>
    <n v="0.92006815864919278"/>
    <n v="543.43799999999999"/>
    <s v="Roderlin"/>
    <s v="RO-O-D1"/>
    <s v="PALF"/>
    <x v="5"/>
    <s v="Congo"/>
    <m/>
    <m/>
    <m/>
  </r>
  <r>
    <x v="270"/>
    <s v="Ration du du detenu NTONDELE MOUKOKO CLAVER  à la gendarmerie de Madingou/soir"/>
    <s v="Jail visits"/>
    <s v="Legal"/>
    <n v="1500"/>
    <n v="2.7602044759475781"/>
    <n v="543.43799999999999"/>
    <s v="Roderlin"/>
    <s v="RO-O-D3"/>
    <s v="PALF"/>
    <x v="5"/>
    <s v="Congo"/>
    <m/>
    <m/>
    <m/>
  </r>
  <r>
    <x v="270"/>
    <s v="Tricycle:gendarmérie-Hôtel"/>
    <s v="Transport"/>
    <s v="Legal"/>
    <n v="500"/>
    <n v="0.92006815864919278"/>
    <n v="543.43799999999999"/>
    <s v="Roderlin"/>
    <s v="RO-O-D1"/>
    <s v="PALF"/>
    <x v="5"/>
    <s v="Congo"/>
    <m/>
    <m/>
    <m/>
  </r>
  <r>
    <x v="270"/>
    <s v="Taxi moto, Hôtel-DDEF Bouenza"/>
    <s v="Transport"/>
    <s v="Media"/>
    <n v="500"/>
    <n v="0.92006815864919278"/>
    <n v="543.43799999999999"/>
    <s v="Evariste"/>
    <s v="EV-O-D1"/>
    <s v="PALF"/>
    <x v="5"/>
    <s v="Congo"/>
    <m/>
    <m/>
    <m/>
  </r>
  <r>
    <x v="270"/>
    <s v="Taxi moto, DDEF-Agence Trans Bony"/>
    <s v="Transport"/>
    <s v="Media"/>
    <n v="500"/>
    <n v="0.92006815864919278"/>
    <n v="543.43799999999999"/>
    <s v="Evariste"/>
    <s v="EV-O-D1"/>
    <s v="PALF"/>
    <x v="5"/>
    <s v="Congo"/>
    <m/>
    <m/>
    <m/>
  </r>
  <r>
    <x v="270"/>
    <s v="Achat du billet Madingou-Brazzaville/Evariste"/>
    <s v="Transport"/>
    <s v="Media"/>
    <n v="7000"/>
    <n v="12.880954221088698"/>
    <n v="543.43799999999999"/>
    <s v="Evariste"/>
    <s v="EV-O-R12"/>
    <s v="PALF"/>
    <x v="5"/>
    <s v="Congo"/>
    <m/>
    <m/>
    <m/>
  </r>
  <r>
    <x v="270"/>
    <s v="Taxi moto, Agence Trance Bony-Hôtel"/>
    <s v="Transport"/>
    <s v="Media"/>
    <n v="500"/>
    <n v="0.92006815864919278"/>
    <n v="543.43799999999999"/>
    <s v="Evariste"/>
    <s v="EV-O-D1"/>
    <s v="PALF"/>
    <x v="5"/>
    <s v="Congo"/>
    <m/>
    <m/>
    <m/>
  </r>
  <r>
    <x v="270"/>
    <s v="Taxi moto: Hotel Mithé-Maison d'arret"/>
    <s v="Transport"/>
    <s v="Legal"/>
    <n v="500"/>
    <n v="0.92006815864919278"/>
    <n v="543.43799999999999"/>
    <s v="Romain"/>
    <s v="RM-O-D1"/>
    <s v="PALF"/>
    <x v="5"/>
    <s v="Congo"/>
    <m/>
    <m/>
    <m/>
  </r>
  <r>
    <x v="270"/>
    <s v="Achat de la ration des détenus"/>
    <s v="Jail visit"/>
    <s v="Legal"/>
    <n v="3500"/>
    <n v="6.4404771105443492"/>
    <n v="543.43799999999999"/>
    <s v="Romain"/>
    <s v="RM-O-D3"/>
    <s v="PALF"/>
    <x v="5"/>
    <s v="Congo"/>
    <m/>
    <m/>
    <m/>
  </r>
  <r>
    <x v="270"/>
    <s v="Taxi moto: Maison d'arret-Hotel Mithé"/>
    <s v="Transport"/>
    <s v="Legal"/>
    <n v="500"/>
    <n v="0.92006815864919278"/>
    <n v="543.43799999999999"/>
    <s v="Romain"/>
    <s v="RM-O-D1"/>
    <s v="PALF"/>
    <x v="5"/>
    <s v="Congo"/>
    <m/>
    <m/>
    <m/>
  </r>
  <r>
    <x v="270"/>
    <s v="Taxi moto: Hotel Mithé-Maison d'arret"/>
    <s v="Transport"/>
    <s v="Legal"/>
    <n v="500"/>
    <n v="0.92006815864919278"/>
    <n v="543.43799999999999"/>
    <s v="Romain"/>
    <s v="RM-O-D1"/>
    <s v="PALF"/>
    <x v="5"/>
    <s v="Congo"/>
    <m/>
    <m/>
    <m/>
  </r>
  <r>
    <x v="270"/>
    <s v="Achat de la ration des detenus"/>
    <s v="Jail visit"/>
    <s v="Legal"/>
    <n v="3500"/>
    <n v="6.4404771105443492"/>
    <n v="543.43799999999999"/>
    <s v="Romain"/>
    <s v="RM-O-D3"/>
    <s v="PALF"/>
    <x v="5"/>
    <s v="Congo"/>
    <m/>
    <m/>
    <m/>
  </r>
  <r>
    <x v="270"/>
    <s v="Taxi moto: Maison d'arret - Hotel Mithé"/>
    <s v="Transport"/>
    <s v="Legal"/>
    <n v="500"/>
    <n v="0.92006815864919278"/>
    <n v="543.43799999999999"/>
    <s v="Romain"/>
    <s v="RM-O-D1"/>
    <s v="PALF"/>
    <x v="5"/>
    <s v="Congo"/>
    <m/>
    <m/>
    <m/>
  </r>
  <r>
    <x v="271"/>
    <s v="Maison-Bureau"/>
    <s v="Transport"/>
    <s v="Management"/>
    <n v="1000"/>
    <n v="1.8401363172983856"/>
    <n v="543.43799999999999"/>
    <s v="DOVI"/>
    <s v="DH-O-D1"/>
    <s v="PALF"/>
    <x v="5"/>
    <s v="Congo"/>
    <m/>
    <m/>
    <m/>
  </r>
  <r>
    <x v="271"/>
    <s v="Bureau- Cabinet Me OKEMBA"/>
    <s v="Transport"/>
    <s v="Management"/>
    <n v="1000"/>
    <n v="1.8401363172983856"/>
    <n v="543.43799999999999"/>
    <s v="DOVI"/>
    <s v="DH-O-D1"/>
    <s v="PALF"/>
    <x v="5"/>
    <s v="Congo"/>
    <m/>
    <m/>
    <m/>
  </r>
  <r>
    <x v="271"/>
    <s v="Reglement assurance retraite Coordinateur periode Juillet, Août, Septembre et Octobre 2025"/>
    <s v="Personnel"/>
    <s v="Management"/>
    <n v="200000"/>
    <n v="368.0272634596771"/>
    <n v="543.43799999999999"/>
    <s v="DOVI"/>
    <s v="CA-O-R40"/>
    <s v="PALF"/>
    <x v="5"/>
    <s v="Congo"/>
    <m/>
    <m/>
    <m/>
  </r>
  <r>
    <x v="271"/>
    <s v="Cabinet - Bureau"/>
    <s v="Transport"/>
    <s v="Management"/>
    <n v="1000"/>
    <n v="1.8401363172983856"/>
    <n v="543.43799999999999"/>
    <s v="DOVI"/>
    <s v="DH-O-D1"/>
    <s v="PALF"/>
    <x v="5"/>
    <s v="Congo"/>
    <m/>
    <m/>
    <m/>
  </r>
  <r>
    <x v="271"/>
    <s v="Bureau - Maison"/>
    <s v="Transport"/>
    <s v="Management"/>
    <n v="1000"/>
    <n v="1.8401363172983856"/>
    <n v="543.43799999999999"/>
    <s v="DOVI"/>
    <s v="DH-O-D1"/>
    <s v="PALF"/>
    <x v="5"/>
    <s v="Congo"/>
    <m/>
    <m/>
    <m/>
  </r>
  <r>
    <x v="271"/>
    <s v="Taxi moto: Hôtel-DDEF"/>
    <s v="Transport"/>
    <s v="Legal"/>
    <n v="500"/>
    <n v="0.92006815864919278"/>
    <n v="543.43799999999999"/>
    <s v="Crépin"/>
    <s v="CR-O-D1"/>
    <s v="PALF"/>
    <x v="5"/>
    <s v="Congo"/>
    <m/>
    <m/>
    <m/>
  </r>
  <r>
    <x v="271"/>
    <s v="Taxi moto: DDEF-Parquet"/>
    <s v="Transport"/>
    <s v="Legal"/>
    <n v="500"/>
    <n v="0.92006815864919278"/>
    <n v="543.43799999999999"/>
    <s v="Crépin"/>
    <s v="CR-O-D1"/>
    <s v="PALF"/>
    <x v="5"/>
    <s v="Congo"/>
    <m/>
    <m/>
    <m/>
  </r>
  <r>
    <x v="271"/>
    <s v="Taxi moto: Parquet-Hôtel"/>
    <s v="Transport"/>
    <s v="Legal"/>
    <n v="500"/>
    <n v="0.92006815864919278"/>
    <n v="543.43799999999999"/>
    <s v="Crépin"/>
    <s v="CR-O-D1"/>
    <s v="PALF"/>
    <x v="5"/>
    <s v="Congo"/>
    <m/>
    <m/>
    <m/>
  </r>
  <r>
    <x v="271"/>
    <s v="Taxi:   Bureau- Société d'assurance Nsia/ Reglement frais de retrait du coordinateur PALF"/>
    <s v="Transport"/>
    <s v="Office"/>
    <n v="1000"/>
    <n v="1.8401363172983856"/>
    <n v="543.43799999999999"/>
    <s v="Parfaite"/>
    <s v="P-O-D1"/>
    <s v="PALF"/>
    <x v="5"/>
    <s v="Congo"/>
    <m/>
    <m/>
    <m/>
  </r>
  <r>
    <x v="271"/>
    <s v="Taxi:   Société d'assurance Nsia- Pharmacie/ achat produit pour le gendarme mordu par le bébé chimpandzé"/>
    <s v="Transport"/>
    <s v="Office"/>
    <n v="1000"/>
    <n v="1.8401363172983856"/>
    <n v="543.43799999999999"/>
    <s v="Parfaite"/>
    <s v="P-O-D1"/>
    <s v="PALF"/>
    <x v="5"/>
    <s v="Congo"/>
    <m/>
    <m/>
    <m/>
  </r>
  <r>
    <x v="271"/>
    <s v="Achat produit pharmacietique pour le gendarme mordu par le bébé chimpanzé lors de l'OP à Nkayi"/>
    <s v="Personnel"/>
    <s v="Personnel"/>
    <n v="47700"/>
    <n v="87.774502335132993"/>
    <n v="543.43799999999999"/>
    <s v="Parfaite"/>
    <s v="CA-O-R42"/>
    <s v="PALF"/>
    <x v="5"/>
    <s v="Congo"/>
    <m/>
    <m/>
    <m/>
  </r>
  <r>
    <x v="271"/>
    <s v="Reglement facture internet periode du 01/11 au 30/11/2025 bureau PALF"/>
    <s v="Internet"/>
    <s v="Internet"/>
    <n v="45050"/>
    <n v="82.898141094292271"/>
    <n v="543.43799999999999"/>
    <s v="Parfaite"/>
    <s v="CA-O-R43"/>
    <s v="PALF"/>
    <x v="5"/>
    <s v="Congo"/>
    <m/>
    <m/>
    <m/>
  </r>
  <r>
    <x v="271"/>
    <s v="Taxi:Pharmacie - Bureau "/>
    <s v="Transport"/>
    <s v="Office"/>
    <n v="1000"/>
    <n v="1.8401363172983856"/>
    <n v="543.43799999999999"/>
    <s v="Parfaite"/>
    <s v="P-O-D1"/>
    <s v="PALF"/>
    <x v="5"/>
    <s v="Congo"/>
    <m/>
    <m/>
    <m/>
  </r>
  <r>
    <x v="271"/>
    <s v="Taxi:Bureau- Direction Canal Box/ Paiement internet du mois de novembre 2025"/>
    <s v="Transport"/>
    <s v="Office"/>
    <n v="1000"/>
    <n v="1.8401363172983856"/>
    <n v="543.43799999999999"/>
    <s v="Parfaite"/>
    <s v="P-O-D1"/>
    <s v="PALF"/>
    <x v="5"/>
    <s v="Congo"/>
    <m/>
    <m/>
    <m/>
  </r>
  <r>
    <x v="271"/>
    <s v="Taxi: Direction Canal Box-Bureau/ Paiement internet du mois de novembre 2025"/>
    <s v="Transport"/>
    <s v="Office"/>
    <n v="1000"/>
    <n v="1.8401363172983856"/>
    <n v="543.43799999999999"/>
    <s v="Parfaite"/>
    <s v="P-O-D1"/>
    <s v="PALF"/>
    <x v="5"/>
    <s v="Congo"/>
    <m/>
    <m/>
    <m/>
  </r>
  <r>
    <x v="271"/>
    <s v="Taxi: Bureau-Charden Farell/Transfert de fonds"/>
    <s v="Transport"/>
    <s v="Legal"/>
    <n v="500"/>
    <n v="0.92006815864919278"/>
    <n v="543.43799999999999"/>
    <s v="Abraham"/>
    <s v="AB-O-D1"/>
    <s v="PALF"/>
    <x v="5"/>
    <s v="Congo"/>
    <m/>
    <m/>
    <m/>
  </r>
  <r>
    <x v="271"/>
    <s v="Taxi: Charden Farel-Bureau"/>
    <s v="Transport"/>
    <s v="Legal"/>
    <n v="500"/>
    <n v="0.92006815864919278"/>
    <n v="543.43799999999999"/>
    <s v="Abraham"/>
    <s v="AB-O-D1"/>
    <s v="PALF"/>
    <x v="5"/>
    <s v="Congo"/>
    <m/>
    <m/>
    <m/>
  </r>
  <r>
    <x v="271"/>
    <s v="Frais de tansfert d'argent Charden Frarell  a crepin ,evariste,Roderlin,Romain, P29 et IT87"/>
    <s v="Transfert fees"/>
    <s v="Office"/>
    <n v="11250"/>
    <n v="20.701533569606838"/>
    <n v="543.43799999999999"/>
    <s v="Abraham"/>
    <s v="CA-O-R41"/>
    <s v="PALF"/>
    <x v="5"/>
    <s v="Congo"/>
    <m/>
    <m/>
    <m/>
  </r>
  <r>
    <x v="271"/>
    <s v="Frais de transfert d'envoie de produit pharmacietique à madingou par trans-bony voyage"/>
    <s v="Transfert fees"/>
    <s v="Office"/>
    <n v="5000"/>
    <n v="9.2006815864919282"/>
    <n v="543.43799999999999"/>
    <s v="Abraham"/>
    <s v="CA-O-R44"/>
    <s v="PALF"/>
    <x v="5"/>
    <s v="Congo"/>
    <m/>
    <m/>
    <m/>
  </r>
  <r>
    <x v="271"/>
    <s v="Taxi: Bureau-Charden Farell/Transfert de fonds"/>
    <s v="Transport"/>
    <s v="Legal"/>
    <n v="500"/>
    <n v="0.92006815864919278"/>
    <n v="543.43799999999999"/>
    <s v="Abraham"/>
    <s v="AB-O-D1"/>
    <s v="PALF"/>
    <x v="5"/>
    <s v="Congo"/>
    <m/>
    <m/>
    <m/>
  </r>
  <r>
    <x v="271"/>
    <s v="Taxi: Charden Farel-Bureau"/>
    <s v="Transport"/>
    <s v="Legal"/>
    <n v="500"/>
    <n v="0.92006815864919278"/>
    <n v="543.43799999999999"/>
    <s v="Abraham"/>
    <s v="AB-O-D1"/>
    <s v="PALF"/>
    <x v="5"/>
    <s v="Congo"/>
    <m/>
    <m/>
    <m/>
  </r>
  <r>
    <x v="271"/>
    <s v="Taxi: Bureau-Agence Transbony de la frontière (Expédition des produits à Madingou)"/>
    <s v="Transport"/>
    <s v="Legal"/>
    <n v="1000"/>
    <n v="1.8401363172983856"/>
    <n v="543.43799999999999"/>
    <s v="Abraham"/>
    <s v="AB-O-D1"/>
    <s v="PALF"/>
    <x v="5"/>
    <s v="Congo"/>
    <m/>
    <m/>
    <m/>
  </r>
  <r>
    <x v="271"/>
    <s v="Taxi: Agence Transbony de la Frontière-Domicile"/>
    <s v="Transport"/>
    <s v="Legal"/>
    <n v="1000"/>
    <n v="1.8401363172983856"/>
    <n v="543.43799999999999"/>
    <s v="Abraham"/>
    <s v="AB-O-D1"/>
    <s v="PALF"/>
    <x v="5"/>
    <s v="Congo"/>
    <m/>
    <m/>
    <m/>
  </r>
  <r>
    <x v="271"/>
    <s v="Tricycle:Hôtel- Marché pour l'achat de la ration du prevenu "/>
    <s v="Transport"/>
    <s v="Legal"/>
    <n v="500"/>
    <n v="0.92006815864919278"/>
    <n v="543.43799999999999"/>
    <s v="Roderlin"/>
    <s v="RO-O-D1"/>
    <s v="PALF"/>
    <x v="5"/>
    <s v="Congo"/>
    <m/>
    <m/>
    <m/>
  </r>
  <r>
    <x v="271"/>
    <s v="Ration du du detenu NTONDELE MOUKOKO CLAVER  à la gendarmerie de Madingou/matin"/>
    <s v="Jail visits"/>
    <s v="Legal"/>
    <n v="1500"/>
    <n v="2.7602044759475781"/>
    <n v="543.43799999999999"/>
    <s v="Roderlin"/>
    <s v="RO-O-D3"/>
    <s v="PALF"/>
    <x v="5"/>
    <s v="Congo"/>
    <m/>
    <m/>
    <m/>
  </r>
  <r>
    <x v="271"/>
    <s v="Tricycle:gendarmérie-Hôtel"/>
    <s v="Transport"/>
    <s v="Legal"/>
    <n v="500"/>
    <n v="0.92006815864919278"/>
    <n v="543.43799999999999"/>
    <s v="Roderlin"/>
    <s v="RO-O-D1"/>
    <s v="PALF"/>
    <x v="5"/>
    <s v="Congo"/>
    <m/>
    <m/>
    <m/>
  </r>
  <r>
    <x v="271"/>
    <s v="Tricycle:gendarmérie-DDF pour la photocopie de la procedure "/>
    <s v="Transport"/>
    <s v="Legal"/>
    <n v="500"/>
    <n v="0.92006815864919278"/>
    <n v="543.43799999999999"/>
    <s v="Roderlin"/>
    <s v="RO-O-D1"/>
    <s v="PALF"/>
    <x v="5"/>
    <s v="Congo"/>
    <m/>
    <m/>
    <m/>
  </r>
  <r>
    <x v="271"/>
    <s v="Tricycle:DDF-gendarmerie  pour la signature des PV"/>
    <s v="Transport"/>
    <s v="Legal"/>
    <n v="500"/>
    <n v="0.92006815864919278"/>
    <n v="543.43799999999999"/>
    <s v="Roderlin"/>
    <s v="RO-O-D1"/>
    <s v="PALF"/>
    <x v="5"/>
    <s v="Congo"/>
    <m/>
    <m/>
    <m/>
  </r>
  <r>
    <x v="271"/>
    <s v="Tricycle:Gendarmerie-Charden Farrel "/>
    <s v="Transport"/>
    <s v="Legal"/>
    <n v="500"/>
    <n v="0.92006815864919278"/>
    <n v="543.43799999999999"/>
    <s v="Roderlin"/>
    <s v="RO-O-D1"/>
    <s v="PALF"/>
    <x v="5"/>
    <s v="Congo"/>
    <m/>
    <m/>
    <m/>
  </r>
  <r>
    <x v="271"/>
    <s v="Tricycle:Charden Farrel-Hôtel "/>
    <s v="Transport"/>
    <s v="Legal"/>
    <n v="500"/>
    <n v="0.92006815864919278"/>
    <n v="543.43799999999999"/>
    <s v="Roderlin"/>
    <s v="RO-O-D1"/>
    <s v="PALF"/>
    <x v="5"/>
    <s v="Congo"/>
    <m/>
    <m/>
    <m/>
  </r>
  <r>
    <x v="271"/>
    <s v="Bonus medias(TV Congo) portant sur l'interpetation d'un trafiquant d'un bébé chimpanzé le 28 Octobre 2025 à Nkayi pieces télé Congo français"/>
    <s v="Bonus to media officer"/>
    <s v="Media"/>
    <n v="50000"/>
    <n v="92.006815864919275"/>
    <n v="543.43799999999999"/>
    <s v="Evariste"/>
    <s v="CA-O-D14"/>
    <s v="PALF"/>
    <x v="5"/>
    <s v="Congo"/>
    <m/>
    <m/>
    <m/>
  </r>
  <r>
    <x v="271"/>
    <s v="Bonus medias(TV Congo) portant sur l'interpetation d'un trafiquant d'un bébé chimpanzé le 28 Octobre 2025 à Nkayi pieces télé Congo  kituba"/>
    <s v="Bonus to media officer"/>
    <s v="Media"/>
    <n v="50000"/>
    <n v="92.006815864919275"/>
    <n v="543.43799999999999"/>
    <s v="Evariste"/>
    <s v="CA-O-D14"/>
    <s v="PALF"/>
    <x v="5"/>
    <s v="Congo"/>
    <m/>
    <m/>
    <m/>
  </r>
  <r>
    <x v="271"/>
    <s v="Bonus medias(TV Congo) portant sur l'interpetation d'un trafiquant d'un bébé chimpanzé le 28 Octobre 2025 à Nkayi pieces télé Congo  lingala "/>
    <s v="Bonus to media officer"/>
    <s v="Media"/>
    <n v="50000"/>
    <n v="92.006815864919275"/>
    <n v="543.43799999999999"/>
    <s v="Evariste"/>
    <s v="CA-O-D14"/>
    <s v="PALF"/>
    <x v="5"/>
    <s v="Congo"/>
    <m/>
    <m/>
    <m/>
  </r>
  <r>
    <x v="271"/>
    <s v="Bonus medias(TV Congo) portant sur l'interpetation d'un trafiquant d'un bébé chimpanzé le 28 Octobre 2025 à Nkayi pieces télé Congo montages"/>
    <s v="Bonus to media officer"/>
    <s v="Media"/>
    <n v="50000"/>
    <n v="92.006815864919275"/>
    <n v="543.43799999999999"/>
    <s v="Evariste"/>
    <s v="CA-O-D14"/>
    <s v="PALF"/>
    <x v="5"/>
    <s v="Congo"/>
    <m/>
    <m/>
    <m/>
  </r>
  <r>
    <x v="271"/>
    <s v="Frais de l'hôtel du 28 au 31 octobre 2025 à Madingou (3 nuitées) "/>
    <s v="Travel Subsistence"/>
    <s v="Media"/>
    <n v="45000"/>
    <n v="82.806134278427351"/>
    <n v="543.43799999999999"/>
    <s v="Evariste"/>
    <s v="EV-O-R13"/>
    <s v="PALF"/>
    <x v="5"/>
    <s v="Congo"/>
    <m/>
    <m/>
    <m/>
  </r>
  <r>
    <x v="271"/>
    <s v="Taxi moto, Hôtel-Agence Trans Bony de Madingou"/>
    <s v="Transport"/>
    <s v="Media"/>
    <n v="500"/>
    <n v="0.92006815864919278"/>
    <n v="543.43799999999999"/>
    <s v="Evariste"/>
    <s v="EV-O-D1"/>
    <s v="PALF"/>
    <x v="5"/>
    <s v="Congo"/>
    <m/>
    <m/>
    <m/>
  </r>
  <r>
    <x v="271"/>
    <s v="Taxi, Agence Trans Bony de Brazzaville-Domicile"/>
    <s v="Transport"/>
    <s v="Media"/>
    <n v="1000"/>
    <n v="1.8401363172983856"/>
    <n v="543.43799999999999"/>
    <s v="Evariste"/>
    <s v="EV-O-D1"/>
    <s v="PALF"/>
    <x v="5"/>
    <s v="Congo"/>
    <m/>
    <m/>
    <m/>
  </r>
  <r>
    <x v="271"/>
    <s v="Taxi moto: Hotel Mithé-Maison d'arret"/>
    <s v="Transport"/>
    <s v="Legal"/>
    <n v="500"/>
    <n v="0.92006815864919278"/>
    <n v="543.43799999999999"/>
    <s v="Romain"/>
    <s v="RM-O-D1"/>
    <s v="PALF"/>
    <x v="5"/>
    <s v="Congo"/>
    <m/>
    <m/>
    <m/>
  </r>
  <r>
    <x v="271"/>
    <s v="Achat de la ration des detenus"/>
    <s v="Jail visit"/>
    <s v="Legal"/>
    <n v="3500"/>
    <n v="6.4404771105443492"/>
    <n v="543.43799999999999"/>
    <s v="Romain"/>
    <s v="RM-O-D3"/>
    <s v="PALF"/>
    <x v="5"/>
    <s v="Congo"/>
    <m/>
    <m/>
    <m/>
  </r>
  <r>
    <x v="271"/>
    <s v="Taxi moto: Maison d'arret-Agence Océan du Nord pour la réservation de billets retour"/>
    <s v="Transport"/>
    <s v="Legal"/>
    <n v="500"/>
    <n v="0.92006815864919278"/>
    <n v="543.43799999999999"/>
    <s v="Romain"/>
    <s v="RM-O-D1"/>
    <s v="PALF"/>
    <x v="5"/>
    <s v="Congo"/>
    <m/>
    <m/>
    <m/>
  </r>
  <r>
    <x v="271"/>
    <s v="Achat Billet  Impfondo- Brazzaville/ Romain"/>
    <s v="Transport"/>
    <s v="Legal"/>
    <n v="37000"/>
    <n v="68.085043740040263"/>
    <n v="543.43799999999999"/>
    <s v="Romain"/>
    <s v="RM-O-R11"/>
    <s v="PALF"/>
    <x v="5"/>
    <s v="Congo"/>
    <m/>
    <m/>
    <m/>
  </r>
  <r>
    <x v="271"/>
    <s v="Taxi moto: Agence Océan du Nord-Charden Farell"/>
    <s v="Transport"/>
    <s v="Legal"/>
    <n v="500"/>
    <n v="0.92006815864919278"/>
    <n v="543.43799999999999"/>
    <s v="Romain"/>
    <s v="RM-O-D1"/>
    <s v="PALF"/>
    <x v="5"/>
    <s v="Congo"/>
    <m/>
    <m/>
    <m/>
  </r>
  <r>
    <x v="271"/>
    <s v="Taxi moto: Charden Farell-Hotel Mithé"/>
    <s v="Transport"/>
    <s v="Legal"/>
    <n v="500"/>
    <n v="0.92006815864919278"/>
    <n v="543.43799999999999"/>
    <s v="Romain"/>
    <s v="RM-O-D1"/>
    <s v="PALF"/>
    <x v="5"/>
    <s v="Congo"/>
    <m/>
    <m/>
    <m/>
  </r>
  <r>
    <x v="271"/>
    <s v="Taxi moto: Hotel Mithé-Maison d'arret"/>
    <s v="Transport"/>
    <s v="Legal"/>
    <n v="500"/>
    <n v="0.92006815864919278"/>
    <n v="543.43799999999999"/>
    <s v="Romain"/>
    <s v="RM-O-D1"/>
    <s v="PALF"/>
    <x v="5"/>
    <s v="Congo"/>
    <m/>
    <m/>
    <m/>
  </r>
  <r>
    <x v="271"/>
    <s v="Achat de la ration des detenus"/>
    <s v="Jail visit"/>
    <s v="Legal"/>
    <n v="3500"/>
    <n v="6.4404771105443492"/>
    <n v="543.43799999999999"/>
    <s v="Romain"/>
    <s v="RM-O-D3"/>
    <s v="PALF"/>
    <x v="5"/>
    <s v="Congo"/>
    <m/>
    <m/>
    <m/>
  </r>
  <r>
    <x v="271"/>
    <s v="Taxi moto: Maison d'arret -Hotel Mithé"/>
    <s v="Transport"/>
    <s v="Legal"/>
    <n v="500"/>
    <n v="0.92006815864919278"/>
    <n v="543.43799999999999"/>
    <s v="Romain"/>
    <s v="RM-O-D1"/>
    <s v="PALF"/>
    <x v="5"/>
    <s v="Congo"/>
    <m/>
    <m/>
    <m/>
  </r>
  <r>
    <x v="271"/>
    <s v="Reglement honoraire du mois  d'Octobre 2025/P29/3655343"/>
    <s v="Personnel"/>
    <s v="Investigation"/>
    <n v="520000"/>
    <n v="956.87088499516051"/>
    <n v="543.43799999999999"/>
    <s v="BCI"/>
    <s v="BQ-O-R33"/>
    <s v="PALF"/>
    <x v="5"/>
    <s v="Congo"/>
    <m/>
    <m/>
    <m/>
  </r>
  <r>
    <x v="271"/>
    <s v="Reglement honoraire du mois d'Octobre 2025/G12/3655344"/>
    <s v="Personnel"/>
    <s v="Investigation"/>
    <n v="240000"/>
    <n v="441.6327161516125"/>
    <n v="543.43799999999999"/>
    <s v="BCI"/>
    <s v="BQ-O-R34"/>
    <s v="PALF"/>
    <x v="5"/>
    <s v="Congo"/>
    <m/>
    <m/>
    <m/>
  </r>
  <r>
    <x v="271"/>
    <s v="Reglement honoraire du mois d'Octobre 2025/T73/3655346"/>
    <s v="Personnel"/>
    <s v="Investigation"/>
    <n v="385000"/>
    <n v="708.4524821598784"/>
    <n v="543.43799999999999"/>
    <s v="BCI"/>
    <s v="BQ-O-R35"/>
    <s v="PALF"/>
    <x v="5"/>
    <s v="Congo"/>
    <m/>
    <m/>
    <m/>
  </r>
  <r>
    <x v="271"/>
    <s v="Reglement honoraire du mois d'Octobre 2025/IT87/3655342"/>
    <s v="Personnel"/>
    <s v="Investigation"/>
    <n v="345000"/>
    <n v="634.847029467943"/>
    <n v="543.43799999999999"/>
    <s v="BCI"/>
    <s v="BQ-O-R36"/>
    <s v="PALF"/>
    <x v="5"/>
    <s v="Congo"/>
    <m/>
    <m/>
    <m/>
  </r>
  <r>
    <x v="271"/>
    <s v="Paiement Honoraire Me LOCKO/Mois de Juillet  2025/36544418"/>
    <s v="Lawyer Fees"/>
    <s v="Legal"/>
    <n v="150000"/>
    <n v="276.0204475947578"/>
    <n v="543.43799999999999"/>
    <s v="BCI"/>
    <s v="BQ-O-R37"/>
    <s v="PALF"/>
    <x v="5"/>
    <s v="Congo"/>
    <m/>
    <m/>
    <m/>
  </r>
  <r>
    <x v="272"/>
    <s v="Taxi, Domicile-Moukondo"/>
    <s v="Transport"/>
    <s v="Media"/>
    <n v="1000"/>
    <n v="1.8744037053212446"/>
    <n v="533.50300000000004"/>
    <s v="Evariste"/>
    <s v="EV-N-D1"/>
    <s v="PALF"/>
    <x v="7"/>
    <s v="Congo"/>
    <m/>
    <m/>
    <m/>
  </r>
  <r>
    <x v="272"/>
    <s v="Taxi, Moukondo-Télé Congo"/>
    <s v="Transport"/>
    <s v="Media"/>
    <n v="1000"/>
    <n v="1.8744037053212446"/>
    <n v="533.50300000000004"/>
    <s v="Evariste"/>
    <s v="EV-N-D1"/>
    <s v="PALF"/>
    <x v="7"/>
    <s v="Congo"/>
    <m/>
    <m/>
    <m/>
  </r>
  <r>
    <x v="272"/>
    <s v="Taxi, Télé Congo-Moukondo"/>
    <s v="Transport"/>
    <s v="Media"/>
    <n v="1000"/>
    <n v="1.8744037053212446"/>
    <n v="533.50300000000004"/>
    <s v="Evariste"/>
    <s v="EV-N-D1"/>
    <s v="PALF"/>
    <x v="7"/>
    <s v="Congo"/>
    <m/>
    <m/>
    <m/>
  </r>
  <r>
    <x v="272"/>
    <s v="Taxi, Moukondo-Domicile"/>
    <s v="Transport"/>
    <s v="Media"/>
    <n v="1000"/>
    <n v="1.8744037053212446"/>
    <n v="533.50300000000004"/>
    <s v="Evariste"/>
    <s v="EV-N-D1"/>
    <s v="PALF"/>
    <x v="7"/>
    <s v="Congo"/>
    <m/>
    <m/>
    <m/>
  </r>
  <r>
    <x v="273"/>
    <s v="Tricycle:Hôtel-Agence trans bony pour vérier la disponibilité du colis "/>
    <s v="Transport"/>
    <s v="Legal"/>
    <n v="500"/>
    <n v="0.93720185266062228"/>
    <n v="533.50300000000004"/>
    <s v="Roderlin"/>
    <s v="RO-N-D1"/>
    <s v="PALF"/>
    <x v="7"/>
    <s v="Congo"/>
    <m/>
    <m/>
    <m/>
  </r>
  <r>
    <x v="273"/>
    <s v="Tricycle:Agence trans bony-Hôtel "/>
    <s v="Transport"/>
    <s v="Legal"/>
    <n v="500"/>
    <n v="0.93720185266062228"/>
    <n v="533.50300000000004"/>
    <s v="Roderlin"/>
    <s v="RO-N-D1"/>
    <s v="PALF"/>
    <x v="7"/>
    <s v="Congo"/>
    <m/>
    <m/>
    <m/>
  </r>
  <r>
    <x v="274"/>
    <s v="Maison-Bureau"/>
    <s v="Transport"/>
    <s v="Management"/>
    <n v="1000"/>
    <n v="1.8744037053212446"/>
    <n v="533.50300000000004"/>
    <s v="DOVI"/>
    <s v="DH-N-D1"/>
    <s v="PALF"/>
    <x v="7"/>
    <s v="Congo"/>
    <m/>
    <m/>
    <m/>
  </r>
  <r>
    <x v="274"/>
    <s v="Bureau - Cab d'huissier"/>
    <s v="Transport"/>
    <s v="Management"/>
    <n v="1000"/>
    <n v="1.8744037053212446"/>
    <n v="533.50300000000004"/>
    <s v="DOVI"/>
    <s v="DH-N-D1"/>
    <s v="PALF"/>
    <x v="7"/>
    <s v="Congo"/>
    <m/>
    <m/>
    <m/>
  </r>
  <r>
    <x v="274"/>
    <s v="Cab d'huissier - Maison"/>
    <s v="Transport"/>
    <s v="Management"/>
    <n v="1000"/>
    <n v="1.8744037053212446"/>
    <n v="533.50300000000004"/>
    <s v="DOVI"/>
    <s v="DH-N-D1"/>
    <s v="PALF"/>
    <x v="7"/>
    <s v="Congo"/>
    <m/>
    <m/>
    <m/>
  </r>
  <r>
    <x v="274"/>
    <s v="Credit telephonique MTN/PALF/ du 03 au 09 novembre 2025/ DOVI"/>
    <s v="Telephone"/>
    <s v="Management"/>
    <n v="12500"/>
    <n v="23.430046316515558"/>
    <n v="533.50300000000004"/>
    <s v="DOVI"/>
    <s v="DH-N-R1"/>
    <s v="PALF"/>
    <x v="7"/>
    <s v="Congo"/>
    <m/>
    <m/>
    <m/>
  </r>
  <r>
    <x v="274"/>
    <s v="Ration du 03 au 07/11/2025 à Madingou"/>
    <s v="Travel subsistence"/>
    <s v="Legal"/>
    <n v="40000"/>
    <n v="74.976148212849779"/>
    <n v="533.50300000000004"/>
    <s v="Crépin"/>
    <s v="CR-N-D1"/>
    <s v="PALF"/>
    <x v="7"/>
    <s v="Congo"/>
    <m/>
    <m/>
    <m/>
  </r>
  <r>
    <x v="274"/>
    <s v="Taxi moto: Hôtel-Parquet"/>
    <s v="Transport"/>
    <s v="Legal"/>
    <n v="500"/>
    <n v="0.93720185266062228"/>
    <n v="533.50300000000004"/>
    <s v="Crépin"/>
    <s v="CR-N-D2"/>
    <s v="PALF"/>
    <x v="7"/>
    <s v="Congo"/>
    <m/>
    <m/>
    <m/>
  </r>
  <r>
    <x v="274"/>
    <s v="Credit telephonique MTN PALF/du 03 au 09 novembre 2025/ crepin"/>
    <s v="Telephone"/>
    <s v="Legal"/>
    <n v="10000"/>
    <n v="18.744037053212445"/>
    <n v="533.50300000000004"/>
    <s v="Crépin"/>
    <s v="CR-N-R1"/>
    <s v="PALF"/>
    <x v="7"/>
    <s v="Congo"/>
    <m/>
    <m/>
    <m/>
  </r>
  <r>
    <x v="274"/>
    <s v="Taxi moto: Parquet-Hôtel"/>
    <s v="Transport"/>
    <s v="Legal"/>
    <n v="500"/>
    <n v="0.93720185266062228"/>
    <n v="533.50300000000004"/>
    <s v="Crépin"/>
    <s v="CR-N-D2"/>
    <s v="PALF"/>
    <x v="7"/>
    <s v="Congo"/>
    <m/>
    <m/>
    <m/>
  </r>
  <r>
    <x v="274"/>
    <s v="Taxi:Bureau-Banque BCI/ Retrait espece 2025"/>
    <s v="Transport"/>
    <s v="Office"/>
    <n v="1000"/>
    <n v="1.8744037053212446"/>
    <n v="533.50300000000004"/>
    <s v="Parfaite"/>
    <s v="P-N-D1"/>
    <s v="PALF"/>
    <x v="7"/>
    <s v="Congo"/>
    <m/>
    <m/>
    <m/>
  </r>
  <r>
    <x v="274"/>
    <s v="Taxi: Banque BCI-Direction MTN/ achat credit telephonique "/>
    <s v="Transport"/>
    <s v="Office"/>
    <n v="500"/>
    <n v="0.93720185266062228"/>
    <n v="533.50300000000004"/>
    <s v="Parfaite"/>
    <s v="P-N-D1"/>
    <s v="PALF"/>
    <x v="7"/>
    <s v="Congo"/>
    <m/>
    <m/>
    <m/>
  </r>
  <r>
    <x v="274"/>
    <s v="Credit teléphonique MTN PALF/ du 03 au 09 novembre 2025/ Parfaite"/>
    <s v="Telephone"/>
    <s v="Management"/>
    <n v="7500"/>
    <n v="14.058027789909334"/>
    <n v="533.50300000000004"/>
    <s v="Parfaite"/>
    <s v="P-N-R1"/>
    <s v="PALF"/>
    <x v="7"/>
    <s v="Congo"/>
    <m/>
    <m/>
    <m/>
  </r>
  <r>
    <x v="274"/>
    <s v="Taxi: Direction MTN-Bureau"/>
    <s v="Transport"/>
    <s v="Office"/>
    <n v="1000"/>
    <n v="1.8744037053212446"/>
    <n v="533.50300000000004"/>
    <s v="Parfaite"/>
    <s v="P-N-D1"/>
    <s v="PALF"/>
    <x v="7"/>
    <s v="Congo"/>
    <m/>
    <m/>
    <m/>
  </r>
  <r>
    <x v="274"/>
    <s v="Credit telephonique MTN PALF/ du 03 au 09 novembre 2025/ Investigation/P29"/>
    <s v="Telephone"/>
    <s v="Investigation"/>
    <n v="10000"/>
    <n v="18.744037053212445"/>
    <n v="533.50300000000004"/>
    <s v="P29"/>
    <s v="P29-N-R1"/>
    <s v="PALF"/>
    <x v="7"/>
    <s v="Congo"/>
    <m/>
    <m/>
    <m/>
  </r>
  <r>
    <x v="274"/>
    <s v="Credit telephonique MTN PALF/ du 03 au 09 novembre 2025/ Investigation/T73"/>
    <s v="Telephone"/>
    <s v="Investigation"/>
    <n v="10000"/>
    <n v="18.744037053212445"/>
    <n v="533.50300000000004"/>
    <s v="T73"/>
    <s v="T73-N-R1"/>
    <s v="PALF"/>
    <x v="7"/>
    <s v="Congo"/>
    <m/>
    <m/>
    <m/>
  </r>
  <r>
    <x v="274"/>
    <s v="Credit telephonique MTN PALF/du 03 au 09 novembre 2025/IT87"/>
    <s v="Telephone"/>
    <s v="Investigation"/>
    <n v="10000"/>
    <n v="18.744037053212445"/>
    <n v="533.50300000000004"/>
    <s v="IT87"/>
    <s v="IT87-N-R1"/>
    <s v="PALF"/>
    <x v="7"/>
    <s v="Congo"/>
    <m/>
    <m/>
    <m/>
  </r>
  <r>
    <x v="274"/>
    <s v="Credit telephonique MTN PALF/du  03 au 09 novembre 2025/G12"/>
    <s v="Telephone"/>
    <s v="Investigation"/>
    <n v="10000"/>
    <n v="18.744037053212445"/>
    <n v="533.50300000000004"/>
    <s v="G12"/>
    <s v="G12-N-R1"/>
    <s v="PALF"/>
    <x v="7"/>
    <s v="Congo"/>
    <m/>
    <m/>
    <m/>
  </r>
  <r>
    <x v="274"/>
    <s v="Taxi: Bureau-Charden Farell/Transfert de fonds"/>
    <s v="Transport"/>
    <s v="Legal"/>
    <n v="500"/>
    <n v="0.93720185266062228"/>
    <n v="533.50300000000004"/>
    <s v="Abraham"/>
    <s v="AB-N-D1"/>
    <s v="PALF"/>
    <x v="7"/>
    <s v="Congo"/>
    <m/>
    <m/>
    <m/>
  </r>
  <r>
    <x v="274"/>
    <s v="Taxi: Charden Farel-Bureau"/>
    <s v="Transport"/>
    <s v="Legal"/>
    <n v="500"/>
    <n v="0.93720185266062228"/>
    <n v="533.50300000000004"/>
    <s v="Abraham"/>
    <s v="AB-N-D1"/>
    <s v="PALF"/>
    <x v="7"/>
    <s v="Congo"/>
    <m/>
    <m/>
    <m/>
  </r>
  <r>
    <x v="274"/>
    <s v="Frais de transport mission Maitre Helene à Madingou du 03 au 07/11/2025"/>
    <s v="Transport"/>
    <s v="Legal"/>
    <n v="12000"/>
    <n v="22.492844463854933"/>
    <n v="533.50300000000004"/>
    <s v="Abraham"/>
    <s v="CA-N-R1"/>
    <s v="PALF"/>
    <x v="7"/>
    <s v="Congo"/>
    <m/>
    <m/>
    <m/>
  </r>
  <r>
    <x v="274"/>
    <s v="Ration et frais d'hotel mission maitre Helène à Madingou du 03 au 07/11/2025"/>
    <s v="Travel Subsistence"/>
    <s v="Legal"/>
    <n v="100000"/>
    <n v="187.44037053212446"/>
    <n v="533.50300000000004"/>
    <s v="Abraham"/>
    <s v="CA-N-R2"/>
    <s v="PALF"/>
    <x v="7"/>
    <s v="Congo"/>
    <m/>
    <m/>
    <m/>
  </r>
  <r>
    <x v="274"/>
    <s v="Frais de tansfert d'argent Charden Frarell  a crepin ,Roderlin"/>
    <s v="Transfert fees"/>
    <s v="Office"/>
    <n v="10080"/>
    <n v="18.893989349638144"/>
    <n v="533.50300000000004"/>
    <s v="Abraham"/>
    <s v="CA-N-R3"/>
    <s v="PALF"/>
    <x v="7"/>
    <s v="Congo"/>
    <m/>
    <m/>
    <m/>
  </r>
  <r>
    <x v="274"/>
    <s v="Credit telephonique MTN PALF/ du 03 au 09 novembre 2025/Abraham"/>
    <s v="Telephone"/>
    <s v="Legal"/>
    <n v="7500"/>
    <n v="14.058027789909334"/>
    <n v="533.50300000000004"/>
    <s v="Abraham"/>
    <s v="AB-N-R1"/>
    <s v="PALF"/>
    <x v="7"/>
    <s v="Congo"/>
    <m/>
    <m/>
    <m/>
  </r>
  <r>
    <x v="274"/>
    <s v="Tricycle:Hôtel-Agence trans bony pour le rétrait du colis du colis "/>
    <s v="Transport"/>
    <s v="Legal"/>
    <n v="500"/>
    <n v="0.93720185266062228"/>
    <n v="533.50300000000004"/>
    <s v="Roderlin"/>
    <s v="RO-N-D1"/>
    <s v="PALF"/>
    <x v="7"/>
    <s v="Congo"/>
    <m/>
    <m/>
    <m/>
  </r>
  <r>
    <x v="274"/>
    <s v="Tricycle:Agence trans bony-Hôtel "/>
    <s v="Transport"/>
    <s v="Legal"/>
    <n v="500"/>
    <n v="0.93720185266062228"/>
    <n v="533.50300000000004"/>
    <s v="Roderlin"/>
    <s v="RO-N-D1"/>
    <s v="PALF"/>
    <x v="7"/>
    <s v="Congo"/>
    <m/>
    <m/>
    <m/>
  </r>
  <r>
    <x v="274"/>
    <s v="Ttricycle:Hôtel-Charden Farrel "/>
    <s v="Transport"/>
    <s v="Legal"/>
    <n v="500"/>
    <n v="0.93720185266062228"/>
    <n v="533.50300000000004"/>
    <s v="Roderlin"/>
    <s v="RO-N-D1"/>
    <s v="PALF"/>
    <x v="7"/>
    <s v="Congo"/>
    <m/>
    <m/>
    <m/>
  </r>
  <r>
    <x v="274"/>
    <s v="Tricycle:Charden Farrel- Hôtel"/>
    <s v="Transport"/>
    <s v="Legal"/>
    <n v="500"/>
    <n v="0.93720185266062228"/>
    <n v="533.50300000000004"/>
    <s v="Roderlin"/>
    <s v="RO-N-D1"/>
    <s v="PALF"/>
    <x v="7"/>
    <s v="Congo"/>
    <m/>
    <m/>
    <m/>
  </r>
  <r>
    <x v="274"/>
    <s v="Credit telephonique MTN PALF/du 03 au 09 novembre 2025/Roderlin"/>
    <s v="Telephone"/>
    <s v="Legal"/>
    <n v="7500"/>
    <n v="14.058027789909334"/>
    <n v="533.50300000000004"/>
    <s v="Roderlin"/>
    <s v="RO-N-R1"/>
    <s v="PALF"/>
    <x v="7"/>
    <s v="Congo"/>
    <m/>
    <m/>
    <m/>
  </r>
  <r>
    <x v="274"/>
    <s v="RODERLIN-CONGO Ration du  03 au 07/11/2025 à Madingou(04 nuitées)"/>
    <s v="Travel Subsistence"/>
    <s v="Legal"/>
    <n v="40000"/>
    <n v="74.976148212849779"/>
    <n v="533.50300000000004"/>
    <s v="Roderlin"/>
    <s v="RO-N-D2"/>
    <s v="PALF"/>
    <x v="7"/>
    <s v="Congo"/>
    <m/>
    <m/>
    <m/>
  </r>
  <r>
    <x v="274"/>
    <s v="Credit telephonique MTN PALF/ du 03 au 09 novembre 2025/Donald-Roméo"/>
    <s v="Telephone"/>
    <s v="Legal"/>
    <n v="10000"/>
    <n v="18.744037053212445"/>
    <n v="533.50300000000004"/>
    <s v="Donald-Romeo"/>
    <s v="DR-N-R1"/>
    <s v="PALF"/>
    <x v="7"/>
    <s v="Congo"/>
    <m/>
    <m/>
    <m/>
  </r>
  <r>
    <x v="274"/>
    <s v="Taxi, Domicile-Moukondo"/>
    <s v="Transport"/>
    <s v="Media"/>
    <n v="1000"/>
    <n v="1.8744037053212446"/>
    <n v="533.50300000000004"/>
    <s v="Evariste"/>
    <s v="EV-N-D1"/>
    <s v="PALF"/>
    <x v="7"/>
    <s v="Congo"/>
    <m/>
    <m/>
    <m/>
  </r>
  <r>
    <x v="274"/>
    <s v="Taxi, Moukondo-Télé Congo"/>
    <s v="Transport"/>
    <s v="Media"/>
    <n v="1000"/>
    <n v="1.8744037053212446"/>
    <n v="533.50300000000004"/>
    <s v="Evariste"/>
    <s v="EV-N-D1"/>
    <s v="PALF"/>
    <x v="7"/>
    <s v="Congo"/>
    <m/>
    <m/>
    <m/>
  </r>
  <r>
    <x v="274"/>
    <s v="Credit telephonique MTN PALF/du 03  au 09 Novembre 2025/ Evariste"/>
    <s v="Telephone"/>
    <s v="Media"/>
    <n v="10000"/>
    <n v="18.744037053212445"/>
    <n v="533.50300000000004"/>
    <s v="Evariste"/>
    <s v="EV-N-R1"/>
    <s v="PALF"/>
    <x v="7"/>
    <s v="Congo"/>
    <m/>
    <m/>
    <m/>
  </r>
  <r>
    <x v="274"/>
    <s v="Taxi, Télé Congo-Moukondo"/>
    <s v="Transport"/>
    <s v="Media"/>
    <n v="1000"/>
    <n v="1.8744037053212446"/>
    <n v="533.50300000000004"/>
    <s v="Evariste"/>
    <s v="EV-N-D1"/>
    <s v="PALF"/>
    <x v="7"/>
    <s v="Congo"/>
    <m/>
    <m/>
    <m/>
  </r>
  <r>
    <x v="274"/>
    <s v="Taxi, Moukondo-Bureau PALF"/>
    <s v="Transport"/>
    <s v="Media"/>
    <n v="1000"/>
    <n v="1.8744037053212446"/>
    <n v="533.50300000000004"/>
    <s v="Evariste"/>
    <s v="EV-N-D1"/>
    <s v="PALF"/>
    <x v="7"/>
    <s v="Congo"/>
    <m/>
    <m/>
    <m/>
  </r>
  <r>
    <x v="274"/>
    <s v="ROMAIN-CONGO: Frais d'hotel du 28/10/2025 au 03/11/2025 à Impfondo(06 nuitées)"/>
    <s v="Travel Subsistence"/>
    <s v="Legal"/>
    <n v="90000"/>
    <n v="168.69633347891201"/>
    <n v="533.50300000000004"/>
    <s v="Romain"/>
    <s v="RM-N-R1"/>
    <s v="PALF"/>
    <x v="7"/>
    <s v="Congo"/>
    <m/>
    <m/>
    <m/>
  </r>
  <r>
    <x v="274"/>
    <s v="Taxi moto: Hotel Mithé-Agence Océan du Nord d'Impfondo"/>
    <s v="Transport"/>
    <s v="Legal"/>
    <n v="500"/>
    <n v="0.93720185266062228"/>
    <n v="533.50300000000004"/>
    <s v="Romain"/>
    <s v="RM-N-D1"/>
    <s v="PALF"/>
    <x v="7"/>
    <s v="Congo"/>
    <m/>
    <m/>
    <m/>
  </r>
  <r>
    <x v="274"/>
    <s v="Taxi moto: Agence Océan du Nord d'Enyelé-Hotel Paulina"/>
    <s v="Transport"/>
    <s v="Legal"/>
    <n v="500"/>
    <n v="0.93720185266062228"/>
    <n v="533.50300000000004"/>
    <s v="Romain"/>
    <s v="RM-N-D1"/>
    <s v="PALF"/>
    <x v="7"/>
    <s v="Congo"/>
    <m/>
    <m/>
    <m/>
  </r>
  <r>
    <x v="274"/>
    <s v="Credit telephonique MTN PALF/du 03 au 09 novembre 2025/Romain"/>
    <s v="Telephone"/>
    <s v="Legal"/>
    <n v="7500"/>
    <n v="14.058027789909334"/>
    <n v="533.50300000000004"/>
    <s v="Romain"/>
    <s v="RM-N-R2"/>
    <s v="PALF"/>
    <x v="7"/>
    <s v="Congo"/>
    <m/>
    <m/>
    <m/>
  </r>
  <r>
    <x v="274"/>
    <s v="Acompte honoraire contrat N°86 Dolisie cas MOMBO Lionel et MBIYABA Darel /Maitre  Alain BAZOUNZI/ 4527704"/>
    <s v="Lawyer Fees"/>
    <s v="Legal"/>
    <n v="200000"/>
    <n v="374.88074106424892"/>
    <n v="533.50300000000004"/>
    <s v="BCI"/>
    <s v="BQ-N-R1"/>
    <s v="PALF"/>
    <x v="7"/>
    <s v="Congo"/>
    <m/>
    <m/>
    <m/>
  </r>
  <r>
    <x v="275"/>
    <s v="Maison-Bureau"/>
    <s v="Transport"/>
    <s v="Management"/>
    <n v="1000"/>
    <n v="1.8744037053212446"/>
    <n v="533.50300000000004"/>
    <s v="DOVI"/>
    <s v="DH-N-D1"/>
    <s v="PALF"/>
    <x v="7"/>
    <s v="Congo"/>
    <m/>
    <m/>
    <m/>
  </r>
  <r>
    <x v="275"/>
    <s v="Bureau-Maison"/>
    <s v="Transport"/>
    <s v="Management"/>
    <n v="1000"/>
    <n v="1.8744037053212446"/>
    <n v="533.50300000000004"/>
    <s v="DOVI"/>
    <s v="DH-N-D1"/>
    <s v="PALF"/>
    <x v="7"/>
    <s v="Congo"/>
    <m/>
    <m/>
    <m/>
  </r>
  <r>
    <x v="275"/>
    <s v="Maison-Bureau"/>
    <s v="Transport"/>
    <s v="Management"/>
    <n v="1000"/>
    <n v="1.8744037053212446"/>
    <n v="533.50300000000004"/>
    <s v="DOVI"/>
    <s v="DH-N-D1"/>
    <s v="PALF"/>
    <x v="7"/>
    <s v="Congo"/>
    <m/>
    <m/>
    <m/>
  </r>
  <r>
    <x v="275"/>
    <s v="Bureau-Maison"/>
    <s v="Transport"/>
    <s v="Management"/>
    <n v="1000"/>
    <n v="1.8744037053212446"/>
    <n v="533.50300000000004"/>
    <s v="DOVI"/>
    <s v="DH-N-D1"/>
    <s v="PALF"/>
    <x v="7"/>
    <s v="Congo"/>
    <m/>
    <m/>
    <m/>
  </r>
  <r>
    <x v="275"/>
    <s v="Taxi moto: Hôtel-Parquet"/>
    <s v="Transport"/>
    <s v="Legal"/>
    <n v="500"/>
    <n v="0.93720185266062228"/>
    <n v="533.50300000000004"/>
    <s v="Crépin"/>
    <s v="CR-N-D2"/>
    <s v="PALF"/>
    <x v="7"/>
    <s v="Congo"/>
    <m/>
    <m/>
    <m/>
  </r>
  <r>
    <x v="275"/>
    <s v="Taxi moto: Parquet-Hôtel"/>
    <s v="Transport"/>
    <s v="Legal"/>
    <n v="500"/>
    <n v="0.93720185266062228"/>
    <n v="533.50300000000004"/>
    <s v="Crépin"/>
    <s v="CR-N-D2"/>
    <s v="PALF"/>
    <x v="7"/>
    <s v="Congo"/>
    <m/>
    <m/>
    <m/>
  </r>
  <r>
    <x v="275"/>
    <s v="Achat produit d'entretien  et Main d'œuvre du groupe électrogène/Bureau PALF"/>
    <s v="Office Materiels"/>
    <s v="Office"/>
    <n v="27000"/>
    <n v="50.6089000436736"/>
    <n v="533.50300000000004"/>
    <s v="Parfaite"/>
    <s v="CA-N-R5"/>
    <s v="PALF"/>
    <x v="7"/>
    <s v="Congo"/>
    <m/>
    <m/>
    <m/>
  </r>
  <r>
    <x v="275"/>
    <s v="Taxi:Bureau-Domicile / Travail sur les pièces comptables octobre 2025/ heure 19h 50"/>
    <s v="Transport"/>
    <s v="Office"/>
    <n v="1000"/>
    <n v="1.8744037053212446"/>
    <n v="533.50300000000004"/>
    <s v="Parfaite"/>
    <s v="P-N-D1"/>
    <s v="PALF"/>
    <x v="7"/>
    <s v="Congo"/>
    <m/>
    <m/>
    <m/>
  </r>
  <r>
    <x v="275"/>
    <s v="Taxi: Bureau-Station/Station Achat carburant"/>
    <s v="Transport"/>
    <s v="Legal"/>
    <n v="2000"/>
    <n v="3.7488074106424891"/>
    <n v="533.50300000000004"/>
    <s v="Abraham"/>
    <s v="AB-N-D1"/>
    <s v="PALF"/>
    <x v="7"/>
    <s v="Congo"/>
    <m/>
    <m/>
    <m/>
  </r>
  <r>
    <x v="275"/>
    <s v="Taxi: Station-Bureau"/>
    <s v="Transport"/>
    <s v="Legal"/>
    <n v="2000"/>
    <n v="3.7488074106424891"/>
    <n v="533.50300000000004"/>
    <s v="Abraham"/>
    <s v="AB-N-D1"/>
    <s v="PALF"/>
    <x v="7"/>
    <s v="Congo"/>
    <m/>
    <m/>
    <m/>
  </r>
  <r>
    <x v="275"/>
    <s v="Achat carburant groupe electrogène Bureau "/>
    <s v="Office Materiels"/>
    <s v="Office"/>
    <n v="62500"/>
    <n v="117.15023158257779"/>
    <n v="533.50300000000004"/>
    <s v="Abraham"/>
    <s v="CA-N-R4"/>
    <s v="PALF"/>
    <x v="7"/>
    <s v="Congo"/>
    <m/>
    <m/>
    <m/>
  </r>
  <r>
    <x v="275"/>
    <s v="Tricycle:Hôtel- Marché pour l'achat de la ration du prevenu "/>
    <s v="Transport"/>
    <s v="Legal"/>
    <n v="500"/>
    <n v="0.93720185266062228"/>
    <n v="533.50300000000004"/>
    <s v="Roderlin"/>
    <s v="RO-N-D1"/>
    <s v="PALF"/>
    <x v="7"/>
    <s v="Congo"/>
    <m/>
    <m/>
    <m/>
  </r>
  <r>
    <x v="275"/>
    <s v="Visite geôle du 04/11/2025 à la police de Madingou de NTONDELE MOUKOKO Claver/matin"/>
    <s v="Jail visits"/>
    <s v="Legal"/>
    <n v="1500"/>
    <n v="2.8116055579818666"/>
    <n v="533.50300000000004"/>
    <s v="Roderlin"/>
    <s v="RO-N-D3"/>
    <s v="PALF"/>
    <x v="7"/>
    <s v="Congo"/>
    <m/>
    <m/>
    <m/>
  </r>
  <r>
    <x v="275"/>
    <s v="Tricycle:Marché-La police "/>
    <s v="Transport"/>
    <s v="Legal"/>
    <n v="500"/>
    <n v="0.93720185266062228"/>
    <n v="533.50300000000004"/>
    <s v="Roderlin"/>
    <s v="RO-N-D1"/>
    <s v="PALF"/>
    <x v="7"/>
    <s v="Congo"/>
    <m/>
    <m/>
    <m/>
  </r>
  <r>
    <x v="275"/>
    <s v="Tricycle:La police-Parquet "/>
    <s v="Transport"/>
    <s v="Legal"/>
    <n v="500"/>
    <n v="0.93720185266062228"/>
    <n v="533.50300000000004"/>
    <s v="Roderlin"/>
    <s v="RO-N-D1"/>
    <s v="PALF"/>
    <x v="7"/>
    <s v="Congo"/>
    <m/>
    <m/>
    <m/>
  </r>
  <r>
    <x v="275"/>
    <s v="Tricycle:Parquet-Hôtel"/>
    <s v="Transport"/>
    <s v="Legal"/>
    <n v="500"/>
    <n v="0.93720185266062228"/>
    <n v="533.50300000000004"/>
    <s v="Roderlin"/>
    <s v="RO-N-D1"/>
    <s v="PALF"/>
    <x v="7"/>
    <s v="Congo"/>
    <m/>
    <m/>
    <m/>
  </r>
  <r>
    <x v="275"/>
    <s v="Tricycle:Hôtel- Marché pour l'achat de la ration du prevenu "/>
    <s v="Transport"/>
    <s v="Legal"/>
    <n v="500"/>
    <n v="0.93720185266062228"/>
    <n v="533.50300000000004"/>
    <s v="Roderlin"/>
    <s v="RO-N-D1"/>
    <s v="PALF"/>
    <x v="7"/>
    <s v="Congo"/>
    <m/>
    <m/>
    <m/>
  </r>
  <r>
    <x v="275"/>
    <s v="Visite geôle du 04/11/2025 à la police de Madingou de NTONDELE MOUKOKO Claver/soir"/>
    <s v="Jail visits"/>
    <s v="Legal"/>
    <n v="1500"/>
    <n v="2.8116055579818666"/>
    <n v="533.50300000000004"/>
    <s v="Roderlin"/>
    <s v="RO-N-D3"/>
    <s v="PALF"/>
    <x v="7"/>
    <s v="Congo"/>
    <m/>
    <m/>
    <m/>
  </r>
  <r>
    <x v="275"/>
    <s v="Tricycle:Marché-La police "/>
    <s v="Transport"/>
    <s v="Legal"/>
    <n v="500"/>
    <n v="0.93720185266062228"/>
    <n v="533.50300000000004"/>
    <s v="Roderlin"/>
    <s v="RO-N-D1"/>
    <s v="PALF"/>
    <x v="7"/>
    <s v="Congo"/>
    <m/>
    <m/>
    <m/>
  </r>
  <r>
    <x v="275"/>
    <s v="Tricycle:La police-Hôtel"/>
    <s v="Transport"/>
    <s v="Legal"/>
    <n v="500"/>
    <n v="0.93720185266062228"/>
    <n v="533.50300000000004"/>
    <s v="Roderlin"/>
    <s v="RO-N-D1"/>
    <s v="PALF"/>
    <x v="7"/>
    <s v="Congo"/>
    <m/>
    <m/>
    <m/>
  </r>
  <r>
    <x v="275"/>
    <s v="Taxi, Domicile du Coordo PALF-Bureau PALF"/>
    <s v="Transport"/>
    <s v="Media"/>
    <n v="1000"/>
    <n v="1.8744037053212446"/>
    <n v="533.50300000000004"/>
    <s v="Evariste"/>
    <s v="EV-N-D1"/>
    <s v="PALF"/>
    <x v="7"/>
    <s v="Congo"/>
    <m/>
    <m/>
    <m/>
  </r>
  <r>
    <x v="275"/>
    <s v="Taxi, Bureau PALF-Horizon Africain"/>
    <s v="Transport"/>
    <s v="Media"/>
    <n v="1000"/>
    <n v="1.8744037053212446"/>
    <n v="533.50300000000004"/>
    <s v="Evariste"/>
    <s v="EV-N-D1"/>
    <s v="PALF"/>
    <x v="7"/>
    <s v="Congo"/>
    <m/>
    <m/>
    <m/>
  </r>
  <r>
    <x v="275"/>
    <s v="Taxi, Horizon Africain-Domicile"/>
    <s v="Transport"/>
    <s v="Media"/>
    <n v="1000"/>
    <n v="1.8744037053212446"/>
    <n v="533.50300000000004"/>
    <s v="Evariste"/>
    <s v="EV-N-D1"/>
    <s v="PALF"/>
    <x v="7"/>
    <s v="Congo"/>
    <m/>
    <m/>
    <m/>
  </r>
  <r>
    <x v="275"/>
    <s v="Bonus media portant sur l'interpellation d'un trafiquant d'un bébé chimpanzé le 28 octobre 2025 à Nkayi pièces presse Internet (https://www.panoramik-actu.com)"/>
    <s v="Bonus to media officer"/>
    <s v="Media"/>
    <n v="6000"/>
    <n v="11.246422231927466"/>
    <n v="533.50300000000004"/>
    <s v="Evariste"/>
    <s v="CA-N-D1"/>
    <s v="PALF"/>
    <x v="7"/>
    <s v="Congo"/>
    <m/>
    <m/>
    <m/>
  </r>
  <r>
    <x v="275"/>
    <s v="Bonus media portant sur l'interpellation d'un trafiquant d'un bébé chimpanzé le 28 octobre 2025 à Nkayi pièces presse Internet(https://www.tribune-eco.cg)"/>
    <s v="Bonus to media officer"/>
    <s v="Media"/>
    <n v="6000"/>
    <n v="11.246422231927466"/>
    <n v="533.50300000000004"/>
    <s v="Evariste"/>
    <s v="CA-N-D1"/>
    <s v="PALF"/>
    <x v="7"/>
    <s v="Congo"/>
    <m/>
    <m/>
    <m/>
  </r>
  <r>
    <x v="275"/>
    <s v="Bonus media portant sur l'interpellation d'un trafiquant d'un bébé chimpanzé le 28 octobre 2025 à Nkayi pièces presse Internet(https://www.groupecongomedias.com)"/>
    <s v="Bonus to media officer"/>
    <s v="Media"/>
    <n v="6000"/>
    <n v="11.246422231927466"/>
    <n v="533.50300000000004"/>
    <s v="Evariste"/>
    <s v="CA-N-D1"/>
    <s v="PALF"/>
    <x v="7"/>
    <s v="Congo"/>
    <m/>
    <m/>
    <m/>
  </r>
  <r>
    <x v="275"/>
    <s v="Bonus media portant sur l'interpellation d'un trafiquant d'un bébé chimpanzé le 28 octobre 2025 à Nkayi pièces presse Internet (https://www.labreveonline.com)"/>
    <s v="Bonus to media officer"/>
    <s v="Media"/>
    <n v="6000"/>
    <n v="11.246422231927466"/>
    <n v="533.50300000000004"/>
    <s v="Evariste"/>
    <s v="CA-N-D1"/>
    <s v="PALF"/>
    <x v="7"/>
    <s v="Congo"/>
    <m/>
    <m/>
    <m/>
  </r>
  <r>
    <x v="275"/>
    <s v="Bonus media portant sur l'interpellation d'un trafiquant d'un bébé chimpanzé le 28 octobre 2025 à Nkayi pièces presse Internet (https://www.adiac-congo.com)"/>
    <s v="Bonus to media officer"/>
    <s v="Media"/>
    <n v="6000"/>
    <n v="11.246422231927466"/>
    <n v="533.50300000000004"/>
    <s v="Evariste"/>
    <s v="CA-N-D1"/>
    <s v="PALF"/>
    <x v="7"/>
    <s v="Congo"/>
    <m/>
    <m/>
    <m/>
  </r>
  <r>
    <x v="275"/>
    <s v="Bonus media portant sur l'interpellation d'un trafiquant d'un bébé chimpanzé le 28 octobre 2025 à Nkayi pièces presse Internet (https://www.lasemaineafricaine.info)"/>
    <s v="Bonus to media officer"/>
    <s v="Media"/>
    <n v="6000"/>
    <n v="11.246422231927466"/>
    <n v="533.50300000000004"/>
    <s v="Evariste"/>
    <s v="CA-N-D1"/>
    <s v="PALF"/>
    <x v="7"/>
    <s v="Congo"/>
    <m/>
    <m/>
    <m/>
  </r>
  <r>
    <x v="275"/>
    <s v="Bonus media portant sur l'interpellation d'un trafiquant d'un bébé chimpanzé le 28 octobre 2025 à Nkayi pièces presse Internet (https://www.matinlibre.cg)"/>
    <s v="Bonus to media officer"/>
    <s v="Media"/>
    <n v="6000"/>
    <n v="11.246422231927466"/>
    <n v="533.50300000000004"/>
    <s v="Evariste"/>
    <s v="CA-N-D1"/>
    <s v="PALF"/>
    <x v="7"/>
    <s v="Congo"/>
    <m/>
    <m/>
    <m/>
  </r>
  <r>
    <x v="275"/>
    <s v="Bonus media portant sur l'interpellation d'un trafiquant d'un bébé chimpanzé le 28 octobre 2025 à Nkayi pièces presse Internet (https://www.firstmediac.com)"/>
    <s v="Bonus to media officer"/>
    <s v="Media"/>
    <n v="6000"/>
    <n v="11.246422231927466"/>
    <n v="533.50300000000004"/>
    <s v="Evariste"/>
    <s v="CA-N-D1"/>
    <s v="PALF"/>
    <x v="7"/>
    <s v="Congo"/>
    <m/>
    <m/>
    <m/>
  </r>
  <r>
    <x v="275"/>
    <s v="Bonus media portant sur l'interpellation d'un trafiquant d'un bébé chimpanzé le 28 octobre 2025 à Nkayi pièces presse Internet (https://www.journaldebrazza.com)"/>
    <s v="Bonus to media officer"/>
    <s v="Media"/>
    <n v="6000"/>
    <n v="11.246422231927466"/>
    <n v="533.50300000000004"/>
    <s v="Evariste"/>
    <s v="CA-N-D1"/>
    <s v="PALF"/>
    <x v="7"/>
    <s v="Congo"/>
    <m/>
    <m/>
    <m/>
  </r>
  <r>
    <x v="275"/>
    <s v="Bonus media portant sur l'interpellation d'un trafiquant d'un bébé chimpanzé le 28 octobre 2025 à Nkayi pièces presse Internet (https://vmmedias.info)"/>
    <s v="Bonus to media officer"/>
    <s v="Media"/>
    <n v="6000"/>
    <n v="11.246422231927466"/>
    <n v="533.50300000000004"/>
    <s v="Evariste"/>
    <s v="CA-N-D1"/>
    <s v="PALF"/>
    <x v="7"/>
    <s v="Congo"/>
    <m/>
    <m/>
    <m/>
  </r>
  <r>
    <x v="275"/>
    <s v="Bonus media portant sur l'interpellation d'un trafiquant d'un bébé chimpanzé le 28 octobre 2025 à Nkayi pièces presse Internet (https://aci.cg)"/>
    <s v="Bonus to media officer"/>
    <s v="Media"/>
    <n v="6000"/>
    <n v="11.246422231927466"/>
    <n v="533.50300000000004"/>
    <s v="Evariste"/>
    <s v="CA-N-D1"/>
    <s v="PALF"/>
    <x v="7"/>
    <s v="Congo"/>
    <m/>
    <m/>
    <m/>
  </r>
  <r>
    <x v="275"/>
    <s v="Bonus media portant sur l'interpellation d'un trafiquant d'un bébé chimpanzé le 28 octobre 2025 à Nkayi pièces presse Internet (https://lesechos-congobrazza.com/)"/>
    <s v="Bonus to media officer"/>
    <s v="Media"/>
    <n v="6000"/>
    <n v="11.246422231927466"/>
    <n v="533.50300000000004"/>
    <s v="Evariste"/>
    <s v="CA-N-D1"/>
    <s v="PALF"/>
    <x v="7"/>
    <s v="Congo"/>
    <m/>
    <m/>
    <m/>
  </r>
  <r>
    <x v="275"/>
    <s v="Bonus media portant sur l'interpellation d'un trafiquant d'un bébé chimpanzé le 28 octobre 2025 à Nkayi pièces presse Internet (https://opinionpublique.cg)"/>
    <s v="Bonus to media officer"/>
    <s v="Media"/>
    <n v="6000"/>
    <n v="11.246422231927466"/>
    <n v="533.50300000000004"/>
    <s v="Evariste"/>
    <s v="CA-N-D1"/>
    <s v="PALF"/>
    <x v="7"/>
    <s v="Congo"/>
    <m/>
    <m/>
    <m/>
  </r>
  <r>
    <x v="275"/>
    <s v="Bonus media portant sur l'interpellation d'un trafiquant d'un bébé chimpanzé le 28 octobre 2025 à Nkayi pièces presse Internet (https://www.lhorizonafricain.com)"/>
    <s v="Bonus to media officer"/>
    <s v="Media"/>
    <n v="6000"/>
    <n v="11.246422231927466"/>
    <n v="533.50300000000004"/>
    <s v="Evariste"/>
    <s v="CA-N-D1"/>
    <s v="PALF"/>
    <x v="7"/>
    <s v="Congo"/>
    <m/>
    <m/>
    <m/>
  </r>
  <r>
    <x v="275"/>
    <s v="Bonus media portant sur l'interpallation  d'un trafiquant d'un bébé chimpanzé le 28 octobre 2025 à Nkayi  pieces presse papier(les depêches de brazzaville, l'horizion africain, l'agence congolaise de l'information"/>
    <s v="Bonus to media officer"/>
    <s v="Media"/>
    <n v="10000"/>
    <n v="18.744037053212445"/>
    <n v="533.50300000000004"/>
    <s v="Evariste"/>
    <s v="CA-N-D2"/>
    <s v="PALF"/>
    <x v="7"/>
    <s v="Congo"/>
    <m/>
    <m/>
    <m/>
  </r>
  <r>
    <x v="275"/>
    <s v="Bonus media portant sur l'interpallation  d'un trafiquant d'un bébé chimpanzé le 28 octobre 2025 à Nkayi  pieces presse papier(les depêches de brazzaville)"/>
    <s v="Bonus to media officer"/>
    <s v="Media"/>
    <n v="10000"/>
    <n v="18.744037053212445"/>
    <n v="533.50300000000004"/>
    <s v="Evariste"/>
    <s v="CA-N-D2"/>
    <s v="PALF"/>
    <x v="7"/>
    <s v="Congo"/>
    <m/>
    <m/>
    <m/>
  </r>
  <r>
    <x v="275"/>
    <s v="Bonus media portant sur l'interpallation  d'un trafiquant d'un bébé chimpanzé le 28 octobre 2025 à Nkayi  pieces presse papier ( l'horizion africain)"/>
    <s v="Bonus to media officer"/>
    <s v="Media"/>
    <n v="10000"/>
    <n v="18.744037053212445"/>
    <n v="533.50300000000004"/>
    <s v="Evariste"/>
    <s v="CA-N-D2"/>
    <s v="PALF"/>
    <x v="7"/>
    <s v="Congo"/>
    <m/>
    <m/>
    <m/>
  </r>
  <r>
    <x v="275"/>
    <s v="Bonus media portant sur l'interpellation  d'un trafiquant d'un bébé chimpanzé le 28 octobre 2025 à Nkayi presse Radio citoyenne des jeunes"/>
    <s v="Bonus to media officer"/>
    <s v="Media"/>
    <n v="6000"/>
    <n v="11.246422231927466"/>
    <n v="533.50300000000004"/>
    <s v="Evariste"/>
    <s v="CA-N-D3"/>
    <s v="PALF"/>
    <x v="7"/>
    <s v="Congo"/>
    <m/>
    <m/>
    <m/>
  </r>
  <r>
    <x v="275"/>
    <s v="Bonus media portant sur l'interpellation  d'un trafiquant d'un bébé chimpanzé le 28 octobre 2025 à Nkayi presse Radio Liberté Kituba"/>
    <s v="Bonus to media officer"/>
    <s v="Media"/>
    <n v="6000"/>
    <n v="11.246422231927466"/>
    <n v="533.50300000000004"/>
    <s v="Evariste"/>
    <s v="CA-N-D3"/>
    <s v="PALF"/>
    <x v="7"/>
    <s v="Congo"/>
    <m/>
    <m/>
    <m/>
  </r>
  <r>
    <x v="275"/>
    <s v="Bonus media portant sur l'interpellation  d'un trafiquant d'un bébé chimpanzé le 28 octobre 2025 à Nkayi presse Radio Liberté Français"/>
    <s v="Bonus to media officer"/>
    <s v="Media"/>
    <n v="6000"/>
    <n v="11.246422231927466"/>
    <n v="533.50300000000004"/>
    <s v="Evariste"/>
    <s v="CA-N-D3"/>
    <s v="PALF"/>
    <x v="7"/>
    <s v="Congo"/>
    <m/>
    <m/>
    <m/>
  </r>
  <r>
    <x v="275"/>
    <s v="Bonus media portant sur l'interpellation  d'un trafiquant d'un bébé chimpanzé le 28 octobre 2025 à Nkayi presse Radio Liberté Lingala"/>
    <s v="Bonus to media officer"/>
    <s v="Media"/>
    <n v="6000"/>
    <n v="11.246422231927466"/>
    <n v="533.50300000000004"/>
    <s v="Evariste"/>
    <s v="CA-N-D3"/>
    <s v="PALF"/>
    <x v="7"/>
    <s v="Congo"/>
    <m/>
    <m/>
    <m/>
  </r>
  <r>
    <x v="275"/>
    <s v="ROMAIN-ROMAIN CONGO Frais d'Hotel à Enyelé du 03 au 04/11/2025 (01 nuitée)"/>
    <s v="Travel Subsistence"/>
    <s v="Legal"/>
    <n v="15000"/>
    <n v="28.116055579818667"/>
    <n v="533.50300000000004"/>
    <s v="Romain"/>
    <s v="RM-N-R3"/>
    <s v="PALF"/>
    <x v="7"/>
    <s v="Congo"/>
    <m/>
    <m/>
    <m/>
  </r>
  <r>
    <x v="275"/>
    <s v="Taxi moto: Hotel Paulina- Agence Océan du Nord d'Enyelé"/>
    <s v="Transport"/>
    <s v="Legal"/>
    <n v="500"/>
    <n v="0.93720185266062228"/>
    <n v="533.50300000000004"/>
    <s v="Romain"/>
    <s v="RM-N-D1"/>
    <s v="PALF"/>
    <x v="7"/>
    <s v="Congo"/>
    <m/>
    <m/>
    <m/>
  </r>
  <r>
    <x v="275"/>
    <s v="Taxi moto: Agence Océan du Nord d'Oyo-Hotel Saint Benoit"/>
    <s v="Transport"/>
    <s v="Legal"/>
    <n v="500"/>
    <n v="0.93720185266062228"/>
    <n v="533.50300000000004"/>
    <s v="Romain"/>
    <s v="RM-N-D1"/>
    <s v="PALF"/>
    <x v="7"/>
    <s v="Congo"/>
    <m/>
    <m/>
    <m/>
  </r>
  <r>
    <x v="275"/>
    <s v="Reglement loyer du mois d'octobre 2025/3655335"/>
    <s v="Rent &amp; Utilities"/>
    <s v="Office"/>
    <n v="500000"/>
    <n v="937.20185266062231"/>
    <n v="533.50300000000004"/>
    <s v="BCI"/>
    <s v="BQ-N-R2"/>
    <s v="PALF"/>
    <x v="7"/>
    <s v="Congo"/>
    <m/>
    <m/>
    <m/>
  </r>
  <r>
    <x v="276"/>
    <s v="Maison-Bureau"/>
    <s v="Transport"/>
    <s v="Management"/>
    <n v="1000"/>
    <n v="1.8744037053212446"/>
    <n v="533.50300000000004"/>
    <s v="DOVI"/>
    <s v="DH-N-D1"/>
    <s v="PALF"/>
    <x v="7"/>
    <s v="Congo"/>
    <m/>
    <m/>
    <m/>
  </r>
  <r>
    <x v="276"/>
    <s v="Bureau-Maison"/>
    <s v="Transport"/>
    <s v="Management"/>
    <n v="1000"/>
    <n v="1.8744037053212446"/>
    <n v="533.50300000000004"/>
    <s v="DOVI"/>
    <s v="DH-N-D1"/>
    <s v="PALF"/>
    <x v="7"/>
    <s v="Congo"/>
    <m/>
    <m/>
    <m/>
  </r>
  <r>
    <x v="276"/>
    <s v="Achat fourniture de bureau PALF Classeur "/>
    <s v="Office Materiels"/>
    <s v="Office"/>
    <n v="25000"/>
    <n v="46.860092633031115"/>
    <n v="533.50300000000004"/>
    <s v="Parfaite"/>
    <s v="CA-N-R6"/>
    <s v="PALF"/>
    <x v="7"/>
    <s v="Congo"/>
    <m/>
    <m/>
    <m/>
  </r>
  <r>
    <x v="276"/>
    <s v="Achat fourniture de bureau PALF  paque papier bristol"/>
    <s v="Office Materiels"/>
    <s v="Office"/>
    <n v="3500"/>
    <n v="6.5604129686243562"/>
    <n v="533.50300000000004"/>
    <s v="Parfaite"/>
    <s v="CA-N-R6"/>
    <s v="PALF"/>
    <x v="7"/>
    <s v="Congo"/>
    <m/>
    <m/>
    <m/>
  </r>
  <r>
    <x v="276"/>
    <s v="Achat fourniture de bureau PALF deux cartons de paquet RAME A4"/>
    <s v="Office Materiels"/>
    <s v="Office"/>
    <n v="34000"/>
    <n v="63.729725980922311"/>
    <n v="533.50300000000004"/>
    <s v="Parfaite"/>
    <s v="CA-N-R6"/>
    <s v="PALF"/>
    <x v="7"/>
    <s v="Congo"/>
    <m/>
    <m/>
    <m/>
  </r>
  <r>
    <x v="276"/>
    <s v="Achat fourniture de bureau PALF  Carnet reçu"/>
    <s v="Office Materiels"/>
    <s v="Office"/>
    <n v="7500"/>
    <n v="14.058027789909334"/>
    <n v="533.50300000000004"/>
    <s v="Parfaite"/>
    <s v="CA-N-R6"/>
    <s v="PALF"/>
    <x v="7"/>
    <s v="Congo"/>
    <m/>
    <m/>
    <m/>
  </r>
  <r>
    <x v="276"/>
    <s v="Achat fourniture de bureau PALF  cole en pate"/>
    <s v="Office Materiels"/>
    <s v="Office"/>
    <n v="1000"/>
    <n v="1.8744037053212446"/>
    <n v="533.50300000000004"/>
    <s v="Parfaite"/>
    <s v="CA-N-R6"/>
    <s v="PALF"/>
    <x v="7"/>
    <s v="Congo"/>
    <m/>
    <m/>
    <m/>
  </r>
  <r>
    <x v="276"/>
    <s v="Achat fourniture de bureau PALF  paquet stylo bleu"/>
    <s v="Office Materiels"/>
    <s v="Office"/>
    <n v="5000"/>
    <n v="9.3720185266062224"/>
    <n v="533.50300000000004"/>
    <s v="Parfaite"/>
    <s v="CA-N-R6"/>
    <s v="PALF"/>
    <x v="7"/>
    <s v="Congo"/>
    <m/>
    <m/>
    <m/>
  </r>
  <r>
    <x v="276"/>
    <s v="Achat fourniture de bureau PALF un  Agrafeuse"/>
    <s v="Office Materiels"/>
    <s v="Office"/>
    <n v="5000"/>
    <n v="9.3720185266062224"/>
    <n v="533.50300000000004"/>
    <s v="Parfaite"/>
    <s v="CA-N-R6"/>
    <s v="PALF"/>
    <x v="7"/>
    <s v="Congo"/>
    <m/>
    <m/>
    <m/>
  </r>
  <r>
    <x v="276"/>
    <s v="Achat fourniture de bureau PALF un desagrafeuse"/>
    <s v="Office Materiels"/>
    <s v="Office"/>
    <n v="1000"/>
    <n v="1.8744037053212446"/>
    <n v="533.50300000000004"/>
    <s v="Parfaite"/>
    <s v="CA-N-R6"/>
    <s v="PALF"/>
    <x v="7"/>
    <s v="Congo"/>
    <m/>
    <m/>
    <m/>
  </r>
  <r>
    <x v="276"/>
    <s v="Achat fourniture de bureau PALF un paquet d'intercalaire"/>
    <s v="Office Materiels"/>
    <s v="Office"/>
    <n v="3500"/>
    <n v="6.5604129686243562"/>
    <n v="533.50300000000004"/>
    <s v="Parfaite"/>
    <s v="CA-N-R6"/>
    <s v="PALF"/>
    <x v="7"/>
    <s v="Congo"/>
    <m/>
    <m/>
    <m/>
  </r>
  <r>
    <x v="276"/>
    <s v="Taxi:  Bureau- Société de gardiennage/remis de chèque du mois d'octobre 2025"/>
    <s v="Transport"/>
    <s v="Office"/>
    <n v="1000"/>
    <n v="1.8744037053212446"/>
    <n v="533.50300000000004"/>
    <s v="Parfaite"/>
    <s v="P-N-D1"/>
    <s v="PALF"/>
    <x v="7"/>
    <s v="Congo"/>
    <m/>
    <m/>
    <m/>
  </r>
  <r>
    <x v="276"/>
    <s v="Taxi:  Societé de gardiennage  - Bureau"/>
    <s v="Transport"/>
    <s v="Office"/>
    <n v="1000"/>
    <n v="1.8744037053212446"/>
    <n v="533.50300000000004"/>
    <s v="Parfaite"/>
    <s v="P-N-D1"/>
    <s v="PALF"/>
    <x v="7"/>
    <s v="Congo"/>
    <m/>
    <m/>
    <m/>
  </r>
  <r>
    <x v="276"/>
    <s v="Taxi:Bureau-Societé SDF / Achat Fourniture de bueau"/>
    <s v="Transport"/>
    <s v="Office"/>
    <n v="1000"/>
    <n v="1.8744037053212446"/>
    <n v="533.50300000000004"/>
    <s v="Parfaite"/>
    <s v="P-N-D1"/>
    <s v="PALF"/>
    <x v="7"/>
    <s v="Congo"/>
    <m/>
    <m/>
    <m/>
  </r>
  <r>
    <x v="276"/>
    <s v="Taxi:Société SDF-  Bureau"/>
    <s v="Transport"/>
    <s v="Office"/>
    <n v="1000"/>
    <n v="1.8744037053212446"/>
    <n v="533.50300000000004"/>
    <s v="Parfaite"/>
    <s v="P-N-D1"/>
    <s v="PALF"/>
    <x v="7"/>
    <s v="Congo"/>
    <m/>
    <m/>
    <m/>
  </r>
  <r>
    <x v="276"/>
    <s v="Bonus opération du 28/10/2025 à Nkayi/Evariste"/>
    <s v="Bonus"/>
    <s v="Operation"/>
    <n v="25000"/>
    <n v="46.860092633031115"/>
    <n v="533.50300000000004"/>
    <s v="Abraham"/>
    <s v="CA-N-D5"/>
    <s v="PALF"/>
    <x v="7"/>
    <s v="Congo"/>
    <m/>
    <m/>
    <m/>
  </r>
  <r>
    <x v="276"/>
    <s v="Tricycle:Hôtel- Marché pour l'achat de la ration du prevenu "/>
    <s v="Transport"/>
    <s v="Legal"/>
    <n v="500"/>
    <n v="0.93720185266062228"/>
    <n v="533.50300000000004"/>
    <s v="Roderlin"/>
    <s v="RO-N-D1"/>
    <s v="PALF"/>
    <x v="7"/>
    <s v="Congo"/>
    <m/>
    <m/>
    <m/>
  </r>
  <r>
    <x v="276"/>
    <s v="Visite geôle du 05/11/2025 à la police de Madingou de NTONDELE MOUKOKO Claver/matin"/>
    <s v="Jail visits"/>
    <s v="Legal"/>
    <n v="1500"/>
    <n v="2.8116055579818666"/>
    <n v="533.50300000000004"/>
    <s v="Roderlin"/>
    <s v="RO-N-D3"/>
    <s v="PALF"/>
    <x v="7"/>
    <s v="Congo"/>
    <m/>
    <m/>
    <m/>
  </r>
  <r>
    <x v="276"/>
    <s v="Tricycle:Marché-La police "/>
    <s v="Transport"/>
    <s v="Legal"/>
    <n v="500"/>
    <n v="0.93720185266062228"/>
    <n v="533.50300000000004"/>
    <s v="Roderlin"/>
    <s v="RO-N-D1"/>
    <s v="PALF"/>
    <x v="7"/>
    <s v="Congo"/>
    <m/>
    <m/>
    <m/>
  </r>
  <r>
    <x v="276"/>
    <s v="Tricycle:La police-Hôtel"/>
    <s v="Transport"/>
    <s v="Legal"/>
    <n v="500"/>
    <n v="0.93720185266062228"/>
    <n v="533.50300000000004"/>
    <s v="Roderlin"/>
    <s v="RO-N-D1"/>
    <s v="PALF"/>
    <x v="7"/>
    <s v="Congo"/>
    <m/>
    <m/>
    <m/>
  </r>
  <r>
    <x v="276"/>
    <s v="Tricycle:Hôtel- Marché pour l'achat de la ration du prevenu "/>
    <s v="Transport"/>
    <s v="Legal"/>
    <n v="500"/>
    <n v="0.93720185266062228"/>
    <n v="533.50300000000004"/>
    <s v="Roderlin"/>
    <s v="RO-N-D1"/>
    <s v="PALF"/>
    <x v="7"/>
    <s v="Congo"/>
    <m/>
    <m/>
    <m/>
  </r>
  <r>
    <x v="276"/>
    <s v="Visite geôle du 05/11/2025 à la police de Madingou de NTONDELE MOUKOKO Claver/soir"/>
    <s v="Jail visits"/>
    <s v="Legal"/>
    <n v="1500"/>
    <n v="2.8116055579818666"/>
    <n v="533.50300000000004"/>
    <s v="Roderlin"/>
    <s v="RO-N-D3"/>
    <s v="PALF"/>
    <x v="7"/>
    <s v="Congo"/>
    <m/>
    <m/>
    <m/>
  </r>
  <r>
    <x v="276"/>
    <s v="Tricycle:Marché-La police "/>
    <s v="Transport"/>
    <s v="Legal"/>
    <n v="500"/>
    <n v="0.93720185266062228"/>
    <n v="533.50300000000004"/>
    <s v="Roderlin"/>
    <s v="RO-N-D1"/>
    <s v="PALF"/>
    <x v="7"/>
    <s v="Congo"/>
    <m/>
    <m/>
    <m/>
  </r>
  <r>
    <x v="276"/>
    <s v="Tricycle:La police-Hôtel"/>
    <s v="Transport"/>
    <s v="Legal"/>
    <n v="500"/>
    <n v="0.93720185266062228"/>
    <n v="533.50300000000004"/>
    <s v="Roderlin"/>
    <s v="RO-N-D1"/>
    <s v="PALF"/>
    <x v="7"/>
    <s v="Congo"/>
    <m/>
    <m/>
    <m/>
  </r>
  <r>
    <x v="276"/>
    <s v="Bonus opération du 28/10/2025 à Nkayi/Evariste"/>
    <s v="Bonus"/>
    <s v="Operation"/>
    <n v="25000"/>
    <n v="46.860092633031115"/>
    <n v="533.50300000000004"/>
    <s v="Evariste"/>
    <s v="CA-N-D4"/>
    <s v="PALF"/>
    <x v="7"/>
    <s v="Congo"/>
    <m/>
    <m/>
    <m/>
  </r>
  <r>
    <x v="276"/>
    <s v="Taxi, Bureau PALF-firstmediac.com"/>
    <s v="Transport"/>
    <s v="Media"/>
    <n v="1000"/>
    <n v="1.8744037053212446"/>
    <n v="533.50300000000004"/>
    <s v="Evariste"/>
    <s v="EV-N-D1"/>
    <s v="PALF"/>
    <x v="7"/>
    <s v="Congo"/>
    <m/>
    <m/>
    <m/>
  </r>
  <r>
    <x v="276"/>
    <s v="Taxi, firstmediac.com-Radio Liberté"/>
    <s v="Transport"/>
    <s v="Media"/>
    <n v="1000"/>
    <n v="1.8744037053212446"/>
    <n v="533.50300000000004"/>
    <s v="Evariste"/>
    <s v="EV-N-D1"/>
    <s v="PALF"/>
    <x v="7"/>
    <s v="Congo"/>
    <m/>
    <m/>
    <m/>
  </r>
  <r>
    <x v="276"/>
    <s v="Taxi, Radio Liberté-panoramik-actu.com"/>
    <s v="Transport"/>
    <s v="Media"/>
    <n v="1000"/>
    <n v="1.8744037053212446"/>
    <n v="533.50300000000004"/>
    <s v="Evariste"/>
    <s v="EV-N-D1"/>
    <s v="PALF"/>
    <x v="7"/>
    <s v="Congo"/>
    <m/>
    <m/>
    <m/>
  </r>
  <r>
    <x v="276"/>
    <s v="Taxi, panoramik-actu.com-L'Agence Congolaise d'Information"/>
    <s v="Transport"/>
    <s v="Media"/>
    <n v="1000"/>
    <n v="1.8744037053212446"/>
    <n v="533.50300000000004"/>
    <s v="Evariste"/>
    <s v="EV-N-D1"/>
    <s v="PALF"/>
    <x v="7"/>
    <s v="Congo"/>
    <m/>
    <m/>
    <m/>
  </r>
  <r>
    <x v="276"/>
    <s v="Taxi, L'Agence Congolaise d'Information-lesechoscongobrazza.com"/>
    <s v="Transport"/>
    <s v="Media"/>
    <n v="1000"/>
    <n v="1.8744037053212446"/>
    <n v="533.50300000000004"/>
    <s v="Evariste"/>
    <s v="EV-N-D1"/>
    <s v="PALF"/>
    <x v="7"/>
    <s v="Congo"/>
    <m/>
    <m/>
    <m/>
  </r>
  <r>
    <x v="276"/>
    <s v="Taxi, lesechoscongobrazza.com-tribune-eco.cg"/>
    <s v="Transport"/>
    <s v="Media"/>
    <n v="1000"/>
    <n v="1.8744037053212446"/>
    <n v="533.50300000000004"/>
    <s v="Evariste"/>
    <s v="EV-N-D1"/>
    <s v="PALF"/>
    <x v="7"/>
    <s v="Congo"/>
    <m/>
    <m/>
    <m/>
  </r>
  <r>
    <x v="276"/>
    <s v="Taxi, tribune-eco.cg-Radio Citoyenne des Jeunes"/>
    <s v="Transport"/>
    <s v="Media"/>
    <n v="1000"/>
    <n v="1.8744037053212446"/>
    <n v="533.50300000000004"/>
    <s v="Evariste"/>
    <s v="EV-N-D1"/>
    <s v="PALF"/>
    <x v="7"/>
    <s v="Congo"/>
    <m/>
    <m/>
    <m/>
  </r>
  <r>
    <x v="276"/>
    <s v="Taxi, Radio Citoyenne des jeunes-groupecongomedias.com"/>
    <s v="Transport"/>
    <s v="Media"/>
    <n v="1000"/>
    <n v="1.8744037053212446"/>
    <n v="533.50300000000004"/>
    <s v="Evariste"/>
    <s v="EV-N-D1"/>
    <s v="PALF"/>
    <x v="7"/>
    <s v="Congo"/>
    <m/>
    <m/>
    <m/>
  </r>
  <r>
    <x v="276"/>
    <s v="Taxi, groupecongomedias.com-matinlibre.cg"/>
    <s v="Transport"/>
    <s v="Media"/>
    <n v="1000"/>
    <n v="1.8744037053212446"/>
    <n v="533.50300000000004"/>
    <s v="Evariste"/>
    <s v="EV-N-D1"/>
    <s v="PALF"/>
    <x v="7"/>
    <s v="Congo"/>
    <m/>
    <m/>
    <m/>
  </r>
  <r>
    <x v="276"/>
    <s v="Taxi, matinlibre.cg-La Semaine Africaine"/>
    <s v="Transport"/>
    <s v="Media"/>
    <n v="1000"/>
    <n v="1.8744037053212446"/>
    <n v="533.50300000000004"/>
    <s v="Evariste"/>
    <s v="EV-N-D1"/>
    <s v="PALF"/>
    <x v="7"/>
    <s v="Congo"/>
    <m/>
    <m/>
    <m/>
  </r>
  <r>
    <x v="276"/>
    <s v="Taxi, La Semaine Africaine-Bureau PALF"/>
    <s v="Transport"/>
    <s v="Media"/>
    <n v="1000"/>
    <n v="1.8744037053212446"/>
    <n v="533.50300000000004"/>
    <s v="Evariste"/>
    <s v="EV-N-D1"/>
    <s v="PALF"/>
    <x v="7"/>
    <s v="Congo"/>
    <m/>
    <m/>
    <m/>
  </r>
  <r>
    <x v="276"/>
    <s v="ROMAIN-CONGO: Frais d'hotel du 04 au 05/11/2025 à Oyo (01 nuitée)"/>
    <s v="Travel Subsistence"/>
    <s v="Legal"/>
    <n v="15000"/>
    <n v="28.116055579818667"/>
    <n v="533.50300000000004"/>
    <s v="Romain"/>
    <s v="RM-N-R4"/>
    <s v="PALF"/>
    <x v="7"/>
    <s v="Congo"/>
    <m/>
    <m/>
    <m/>
  </r>
  <r>
    <x v="276"/>
    <s v="Taxi moto:  Hotel saint Benoit- Agence Océan du Nord d'Oyo"/>
    <s v="Transport"/>
    <s v="Legal"/>
    <n v="500"/>
    <n v="0.93720185266062228"/>
    <n v="533.50300000000004"/>
    <s v="Romain"/>
    <s v="RM-N-D1"/>
    <s v="PALF"/>
    <x v="7"/>
    <s v="Congo"/>
    <m/>
    <m/>
    <m/>
  </r>
  <r>
    <x v="276"/>
    <s v="Taxi : Agence Océan du Nord de Talangai-Domicile"/>
    <s v="Transport"/>
    <s v="Legal"/>
    <n v="3000"/>
    <n v="5.6232111159637332"/>
    <n v="533.50300000000004"/>
    <s v="Romain"/>
    <s v="RM-N-D1"/>
    <s v="PALF"/>
    <x v="7"/>
    <s v="Congo"/>
    <m/>
    <m/>
    <m/>
  </r>
  <r>
    <x v="276"/>
    <s v="Reglement Facture Gardiennage Mois d'octobre 2025/3655347"/>
    <s v="Services"/>
    <s v="Office"/>
    <n v="260000"/>
    <n v="487.34496338352358"/>
    <n v="533.50300000000004"/>
    <s v="BCI"/>
    <s v="BQ-N-R3"/>
    <s v="PALF"/>
    <x v="7"/>
    <s v="Congo"/>
    <m/>
    <m/>
    <m/>
  </r>
  <r>
    <x v="277"/>
    <s v="Maison-Bureau"/>
    <s v="Transport"/>
    <s v="Management"/>
    <n v="1000"/>
    <n v="1.8744037053212446"/>
    <n v="533.50300000000004"/>
    <s v="DOVI"/>
    <s v="DH-N-D1"/>
    <s v="PALF"/>
    <x v="7"/>
    <s v="Congo"/>
    <m/>
    <m/>
    <m/>
  </r>
  <r>
    <x v="277"/>
    <s v="Bureau -Maison"/>
    <s v="Transport"/>
    <s v="Management"/>
    <n v="1000"/>
    <n v="1.8744037053212446"/>
    <n v="533.50300000000004"/>
    <s v="DOVI"/>
    <s v="DH-N-D1"/>
    <s v="PALF"/>
    <x v="7"/>
    <s v="Congo"/>
    <m/>
    <m/>
    <m/>
  </r>
  <r>
    <x v="277"/>
    <s v="Achat produit d'entretien  02 laits 900g  /Bureau PALF"/>
    <s v="Office Materiels"/>
    <s v="Office"/>
    <n v="11000"/>
    <n v="20.618440758533691"/>
    <n v="533.50300000000004"/>
    <s v="Parfaite"/>
    <s v="CA-N-R7"/>
    <s v="PALF"/>
    <x v="7"/>
    <s v="Congo"/>
    <m/>
    <m/>
    <m/>
  </r>
  <r>
    <x v="277"/>
    <s v="Achat produit d'entretien 02 bouteille des  javels /Bureau PALF"/>
    <s v="Office Materiels"/>
    <s v="Office"/>
    <n v="5000"/>
    <n v="9.3720185266062224"/>
    <n v="533.50300000000004"/>
    <s v="Parfaite"/>
    <s v="CA-N-R7"/>
    <s v="PALF"/>
    <x v="7"/>
    <s v="Congo"/>
    <m/>
    <m/>
    <m/>
  </r>
  <r>
    <x v="277"/>
    <s v="Achat produit d'entretien nettoyant menage/Bureau PALF"/>
    <s v="Office Materiels"/>
    <s v="Office"/>
    <n v="2750"/>
    <n v="5.1546101896334227"/>
    <n v="533.50300000000004"/>
    <s v="Parfaite"/>
    <s v="CA-N-R7"/>
    <s v="PALF"/>
    <x v="7"/>
    <s v="Congo"/>
    <m/>
    <m/>
    <m/>
  </r>
  <r>
    <x v="277"/>
    <s v="Achat produit d'entretien 06 papiers toilette/Bureau PALF"/>
    <s v="Office Materiels"/>
    <s v="Office"/>
    <n v="11700"/>
    <n v="21.930523352258561"/>
    <n v="533.50300000000004"/>
    <s v="Parfaite"/>
    <s v="CA-N-R7"/>
    <s v="PALF"/>
    <x v="7"/>
    <s v="Congo"/>
    <m/>
    <m/>
    <m/>
  </r>
  <r>
    <x v="277"/>
    <s v="Achat produit d'entretien 02 bloc wc/Bureau PALF"/>
    <s v="Office Materiels"/>
    <s v="Office"/>
    <n v="4000"/>
    <n v="7.4976148212849782"/>
    <n v="533.50300000000004"/>
    <s v="Parfaite"/>
    <s v="CA-N-R7"/>
    <s v="PALF"/>
    <x v="7"/>
    <s v="Congo"/>
    <m/>
    <m/>
    <m/>
  </r>
  <r>
    <x v="277"/>
    <s v="Achat produit d'entretien 02 bloc chasse/Bureau PALF"/>
    <s v="Office Materiels"/>
    <s v="Office"/>
    <n v="3000"/>
    <n v="5.6232111159637332"/>
    <n v="533.50300000000004"/>
    <s v="Parfaite"/>
    <s v="CA-N-R7"/>
    <s v="PALF"/>
    <x v="7"/>
    <s v="Congo"/>
    <m/>
    <m/>
    <m/>
  </r>
  <r>
    <x v="277"/>
    <s v="Achat produit d'entretien Matinal/Bureau PALF"/>
    <s v="Office Materiels"/>
    <s v="Office"/>
    <n v="2750"/>
    <n v="5.1546101896334227"/>
    <n v="533.50300000000004"/>
    <s v="Parfaite"/>
    <s v="CA-N-R7"/>
    <s v="PALF"/>
    <x v="7"/>
    <s v="Congo"/>
    <m/>
    <m/>
    <m/>
  </r>
  <r>
    <x v="277"/>
    <s v="Achat produit d'entretien liquide vaisselle/Bureau PALF"/>
    <s v="Office Materiels"/>
    <s v="Office"/>
    <n v="1500"/>
    <n v="2.8116055579818666"/>
    <n v="533.50300000000004"/>
    <s v="Parfaite"/>
    <s v="CA-N-R7"/>
    <s v="PALF"/>
    <x v="7"/>
    <s v="Congo"/>
    <m/>
    <m/>
    <m/>
  </r>
  <r>
    <x v="277"/>
    <s v="Achat produit d'entretien savon de menage/Bureau PALF"/>
    <s v="Office Materiels"/>
    <s v="Office"/>
    <n v="2000"/>
    <n v="3.7488074106424891"/>
    <n v="533.50300000000004"/>
    <s v="Parfaite"/>
    <s v="CA-N-R7"/>
    <s v="PALF"/>
    <x v="7"/>
    <s v="Congo"/>
    <m/>
    <m/>
    <m/>
  </r>
  <r>
    <x v="277"/>
    <s v="Achat produit d'entretien Proclin 1000 kg/Bureau PALF"/>
    <s v="Office Materiels"/>
    <s v="Office"/>
    <n v="3700"/>
    <n v="6.9352937096886045"/>
    <n v="533.50300000000004"/>
    <s v="Parfaite"/>
    <s v="CA-N-R7"/>
    <s v="PALF"/>
    <x v="7"/>
    <s v="Congo"/>
    <m/>
    <m/>
    <m/>
  </r>
  <r>
    <x v="277"/>
    <s v="Achat produit d'entretien sac sucre 5kg /Bureau PALF"/>
    <s v="Office Materiels"/>
    <s v="Office"/>
    <n v="3750"/>
    <n v="7.0290138949546668"/>
    <n v="533.50300000000004"/>
    <s v="Parfaite"/>
    <s v="CA-N-R7"/>
    <s v="PALF"/>
    <x v="7"/>
    <s v="Congo"/>
    <m/>
    <m/>
    <m/>
  </r>
  <r>
    <x v="277"/>
    <s v="Achat produit d'entretien sac à poubelle/Bureau PALF"/>
    <s v="Office Materiels"/>
    <s v="Office"/>
    <n v="8750"/>
    <n v="16.401032421560888"/>
    <n v="533.50300000000004"/>
    <s v="Parfaite"/>
    <s v="CA-N-R7"/>
    <s v="PALF"/>
    <x v="7"/>
    <s v="Congo"/>
    <m/>
    <m/>
    <m/>
  </r>
  <r>
    <x v="277"/>
    <s v="Achat produit d'entretien thé/Bureau PALF"/>
    <s v="Office Materiels"/>
    <s v="Office"/>
    <n v="1750"/>
    <n v="3.2802064843121781"/>
    <n v="533.50300000000004"/>
    <s v="Parfaite"/>
    <s v="CA-N-R7"/>
    <s v="PALF"/>
    <x v="7"/>
    <s v="Congo"/>
    <m/>
    <m/>
    <m/>
  </r>
  <r>
    <x v="277"/>
    <s v="Taxi:  Bureau- Super marche/Achat produit d'entretien bureau"/>
    <s v="Transport"/>
    <s v="Office"/>
    <n v="1000"/>
    <n v="1.8744037053212446"/>
    <n v="533.50300000000004"/>
    <s v="Parfaite"/>
    <s v="P-N-D1"/>
    <s v="PALF"/>
    <x v="7"/>
    <s v="Congo"/>
    <m/>
    <m/>
    <m/>
  </r>
  <r>
    <x v="277"/>
    <s v="Taxi:  Super marché  - Bureau"/>
    <s v="Transport"/>
    <s v="Office"/>
    <n v="1000"/>
    <n v="1.8744037053212446"/>
    <n v="533.50300000000004"/>
    <s v="Parfaite"/>
    <s v="P-N-D1"/>
    <s v="PALF"/>
    <x v="7"/>
    <s v="Congo"/>
    <m/>
    <m/>
    <m/>
  </r>
  <r>
    <x v="277"/>
    <s v="Taxi domicile-mapassi,prospection"/>
    <s v="Transport"/>
    <s v="Investigation"/>
    <n v="1500"/>
    <n v="2.8116055579818666"/>
    <n v="533.50300000000004"/>
    <s v="P29"/>
    <s v="P29-N-D1"/>
    <s v="PALF"/>
    <x v="7"/>
    <s v="Congo"/>
    <m/>
    <m/>
    <m/>
  </r>
  <r>
    <x v="277"/>
    <s v="Taxi mapassi-massengo,prospection"/>
    <s v="Transport"/>
    <s v="Investigation"/>
    <n v="1500"/>
    <n v="2.8116055579818666"/>
    <n v="533.50300000000004"/>
    <s v="P29"/>
    <s v="P29-N-D1"/>
    <s v="PALF"/>
    <x v="7"/>
    <s v="Congo"/>
    <m/>
    <m/>
    <m/>
  </r>
  <r>
    <x v="277"/>
    <s v="Taxi massengo-makabadilou,prospection"/>
    <s v="Transport"/>
    <s v="Investigation"/>
    <n v="1000"/>
    <n v="1.8744037053212446"/>
    <n v="533.50300000000004"/>
    <s v="P29"/>
    <s v="P29-N-D1"/>
    <s v="PALF"/>
    <x v="7"/>
    <s v="Congo"/>
    <m/>
    <m/>
    <m/>
  </r>
  <r>
    <x v="277"/>
    <s v="Taxi makabadilou-mikalou,prospection"/>
    <s v="Transport"/>
    <s v="Investigation"/>
    <n v="1500"/>
    <n v="2.8116055579818666"/>
    <n v="533.50300000000004"/>
    <s v="P29"/>
    <s v="P29-N-D1"/>
    <s v="PALF"/>
    <x v="7"/>
    <s v="Congo"/>
    <m/>
    <m/>
    <m/>
  </r>
  <r>
    <x v="277"/>
    <s v="Taxi mikalou-moungali"/>
    <s v="Transport"/>
    <s v="Investigation"/>
    <n v="1000"/>
    <n v="1.8744037053212446"/>
    <n v="533.50300000000004"/>
    <s v="P29"/>
    <s v="P29-N-D1"/>
    <s v="PALF"/>
    <x v="7"/>
    <s v="Congo"/>
    <m/>
    <m/>
    <m/>
  </r>
  <r>
    <x v="277"/>
    <s v="Taxi moungali-domicile"/>
    <s v="Transport"/>
    <s v="Investigation"/>
    <n v="1500"/>
    <n v="2.8116055579818666"/>
    <n v="533.50300000000004"/>
    <s v="P29"/>
    <s v="P29-N-D1"/>
    <s v="PALF"/>
    <x v="7"/>
    <s v="Congo"/>
    <m/>
    <m/>
    <m/>
  </r>
  <r>
    <x v="277"/>
    <s v=" Achat boisson avec une cible"/>
    <s v="Trust building"/>
    <s v="Investigation"/>
    <n v="1000"/>
    <n v="1.8401363172983856"/>
    <n v="543.43799999999999"/>
    <s v="P29"/>
    <s v="P29-N-D3"/>
    <s v="PALF"/>
    <x v="8"/>
    <s v="Congo"/>
    <m/>
    <m/>
    <m/>
  </r>
  <r>
    <x v="277"/>
    <s v="Taxi : domicile - moukondo ( prospection à Brazzaville)"/>
    <s v="transport"/>
    <s v="Investigation"/>
    <n v="1000"/>
    <n v="1.8744037053212446"/>
    <n v="533.50300000000004"/>
    <s v="T73"/>
    <s v="T73-N-D1"/>
    <s v="PALF"/>
    <x v="7"/>
    <s v="Congo"/>
    <m/>
    <m/>
    <m/>
  </r>
  <r>
    <x v="277"/>
    <s v="Taxi : moukondo - aéroport ( prospection à Brazzaville)"/>
    <s v="transport"/>
    <s v="Investigation"/>
    <n v="1000"/>
    <n v="1.8744037053212446"/>
    <n v="533.50300000000004"/>
    <s v="T73"/>
    <s v="T73-N-D1"/>
    <s v="PALF"/>
    <x v="7"/>
    <s v="Congo"/>
    <m/>
    <m/>
    <m/>
  </r>
  <r>
    <x v="277"/>
    <s v="Taxi : aéroport - poto poto ( prospection à Brazzaville)"/>
    <s v="transport"/>
    <s v="Investigation"/>
    <n v="1000"/>
    <n v="1.8744037053212446"/>
    <n v="533.50300000000004"/>
    <s v="T73"/>
    <s v="T73-N-D1"/>
    <s v="PALF"/>
    <x v="7"/>
    <s v="Congo"/>
    <m/>
    <m/>
    <m/>
  </r>
  <r>
    <x v="277"/>
    <s v="Taxi : poto poto - marché total ( prospection à Brazzaville)"/>
    <s v="transport"/>
    <s v="Investigation"/>
    <n v="1000"/>
    <n v="1.8744037053212446"/>
    <n v="533.50300000000004"/>
    <s v="T73"/>
    <s v="T73-N-D1"/>
    <s v="PALF"/>
    <x v="7"/>
    <s v="Congo"/>
    <m/>
    <m/>
    <m/>
  </r>
  <r>
    <x v="277"/>
    <s v="Taxi : marché total - domicile ( prospection à Brazzaville)"/>
    <s v="transport"/>
    <s v="Investigation"/>
    <n v="1000"/>
    <n v="1.8744037053212446"/>
    <n v="533.50300000000004"/>
    <s v="T73"/>
    <s v="T73-N-D1"/>
    <s v="PALF"/>
    <x v="7"/>
    <s v="Congo"/>
    <m/>
    <m/>
    <m/>
  </r>
  <r>
    <x v="277"/>
    <s v="achat boisson ( une cible)"/>
    <s v="Trust building"/>
    <s v="Investigation"/>
    <n v="2000"/>
    <n v="3.6802726345967711"/>
    <n v="543.43799999999999"/>
    <s v="T73"/>
    <s v="T73-N-D2"/>
    <s v="PALF"/>
    <x v="8"/>
    <s v="Congo"/>
    <m/>
    <m/>
    <m/>
  </r>
  <r>
    <x v="277"/>
    <s v="Taxi : Domicile - Port ATC de Brzazzaville/ Prospection"/>
    <s v="Transport"/>
    <s v="Investigation"/>
    <n v="2500"/>
    <n v="4.6860092633031112"/>
    <n v="533.50300000000004"/>
    <s v="IT87"/>
    <s v="IT87-N-D1"/>
    <s v="PALF"/>
    <x v="7"/>
    <s v="Congo"/>
    <m/>
    <m/>
    <m/>
  </r>
  <r>
    <x v="277"/>
    <s v="Taxi : Port ATC de Brazzaville - Poto poto/ Prospection"/>
    <s v="Transport"/>
    <s v="Investigation"/>
    <n v="1000"/>
    <n v="1.8744037053212446"/>
    <n v="533.50300000000004"/>
    <s v="IT87"/>
    <s v="IT87-N-D1"/>
    <s v="PALF"/>
    <x v="7"/>
    <s v="Congo"/>
    <m/>
    <m/>
    <m/>
  </r>
  <r>
    <x v="277"/>
    <s v="Taxi : Poto-Poto - Mampassi/ Prospection"/>
    <s v="Transport"/>
    <s v="Investigation"/>
    <n v="1000"/>
    <n v="1.8744037053212446"/>
    <n v="533.50300000000004"/>
    <s v="IT87"/>
    <s v="IT87-N-D1"/>
    <s v="PALF"/>
    <x v="7"/>
    <s v="Congo"/>
    <m/>
    <m/>
    <m/>
  </r>
  <r>
    <x v="277"/>
    <s v="Taxi : Mampassi - Domicile/ Retour de prospection"/>
    <s v="Transport"/>
    <s v="Investigation"/>
    <n v="2000"/>
    <n v="3.7488074106424891"/>
    <n v="533.50300000000004"/>
    <s v="IT87"/>
    <s v="IT87-N-D1"/>
    <s v="PALF"/>
    <x v="7"/>
    <s v="Congo"/>
    <m/>
    <m/>
    <m/>
  </r>
  <r>
    <x v="277"/>
    <s v="Taxi: Domicile - kisoundi/prospection"/>
    <s v="Transport"/>
    <s v="Investigation"/>
    <n v="1000"/>
    <n v="1.8744037053212446"/>
    <n v="533.50300000000004"/>
    <s v="G12"/>
    <s v="G12-N-D1"/>
    <s v="PALF"/>
    <x v="7"/>
    <s v="Congo"/>
    <m/>
    <m/>
    <m/>
  </r>
  <r>
    <x v="277"/>
    <s v="Taxi: Kisoundi - bureau"/>
    <s v="Transport"/>
    <s v="Investigation"/>
    <n v="1000"/>
    <n v="1.8744037053212446"/>
    <n v="533.50300000000004"/>
    <s v="G12"/>
    <s v="G12-N-D1"/>
    <s v="PALF"/>
    <x v="7"/>
    <s v="Congo"/>
    <m/>
    <m/>
    <m/>
  </r>
  <r>
    <x v="277"/>
    <s v="Taxi: Bureau - pk /prospection"/>
    <s v="Transport"/>
    <s v="Investigation"/>
    <n v="1000"/>
    <n v="1.8744037053212446"/>
    <n v="533.50300000000004"/>
    <s v="G12"/>
    <s v="G12-N-D1"/>
    <s v="PALF"/>
    <x v="7"/>
    <s v="Congo"/>
    <m/>
    <m/>
    <m/>
  </r>
  <r>
    <x v="277"/>
    <s v="Taxi: Pk - mfilou/ prospection"/>
    <s v="Transport"/>
    <s v="Investigation"/>
    <n v="1000"/>
    <n v="1.8744037053212446"/>
    <n v="533.50300000000004"/>
    <s v="G12"/>
    <s v="G12-N-D1"/>
    <s v="PALF"/>
    <x v="7"/>
    <s v="Congo"/>
    <m/>
    <m/>
    <m/>
  </r>
  <r>
    <x v="277"/>
    <s v="Taxi: Mfilou - domicile"/>
    <s v="Transport"/>
    <s v="Investigation"/>
    <n v="1000"/>
    <n v="1.8744037053212446"/>
    <n v="533.50300000000004"/>
    <s v="G12"/>
    <s v="G12-N-D1"/>
    <s v="PALF"/>
    <x v="7"/>
    <s v="Congo"/>
    <m/>
    <m/>
    <m/>
  </r>
  <r>
    <x v="277"/>
    <s v="Tricycle:Hôtel- Marché pour l'achat de la ration du prevenu "/>
    <s v="Transport"/>
    <s v="Legal"/>
    <n v="500"/>
    <n v="0.93720185266062228"/>
    <n v="533.50300000000004"/>
    <s v="Roderlin"/>
    <s v="RO-N-D1"/>
    <s v="PALF"/>
    <x v="7"/>
    <s v="Congo"/>
    <m/>
    <m/>
    <m/>
  </r>
  <r>
    <x v="277"/>
    <s v="Visite geôle du 06/11/2025 à la police de Madingou de NTONDELE MOUKOKO Claver/matin"/>
    <s v="Jail visits"/>
    <s v="Legal"/>
    <n v="1500"/>
    <n v="2.8116055579818666"/>
    <n v="533.50300000000004"/>
    <s v="Roderlin"/>
    <s v="RO-N-D3"/>
    <s v="PALF"/>
    <x v="7"/>
    <s v="Congo"/>
    <m/>
    <m/>
    <m/>
  </r>
  <r>
    <x v="277"/>
    <s v="Tricycle:Marché-La police "/>
    <s v="Transport"/>
    <s v="Legal"/>
    <n v="500"/>
    <n v="0.93720185266062228"/>
    <n v="533.50300000000004"/>
    <s v="Roderlin"/>
    <s v="RO-N-D1"/>
    <s v="PALF"/>
    <x v="7"/>
    <s v="Congo"/>
    <m/>
    <m/>
    <m/>
  </r>
  <r>
    <x v="277"/>
    <s v="Tricycle:La police-Hôtel"/>
    <s v="Transport"/>
    <s v="Legal"/>
    <n v="500"/>
    <n v="0.93720185266062228"/>
    <n v="533.50300000000004"/>
    <s v="Roderlin"/>
    <s v="RO-N-D1"/>
    <s v="PALF"/>
    <x v="7"/>
    <s v="Congo"/>
    <m/>
    <m/>
    <m/>
  </r>
  <r>
    <x v="277"/>
    <s v="Tricycle:Hôtel-Parquet "/>
    <s v="Transport"/>
    <s v="Legal"/>
    <n v="500"/>
    <n v="0.93720185266062228"/>
    <n v="533.50300000000004"/>
    <s v="Roderlin"/>
    <s v="RO-N-D1"/>
    <s v="PALF"/>
    <x v="7"/>
    <s v="Congo"/>
    <m/>
    <m/>
    <m/>
  </r>
  <r>
    <x v="277"/>
    <s v="Tricycle:Parquet-Agence Océan du nord"/>
    <s v="Transport"/>
    <s v="Legal"/>
    <n v="500"/>
    <n v="0.93720185266062228"/>
    <n v="533.50300000000004"/>
    <s v="Roderlin"/>
    <s v="RO-N-D1"/>
    <s v="PALF"/>
    <x v="7"/>
    <s v="Congo"/>
    <m/>
    <m/>
    <m/>
  </r>
  <r>
    <x v="277"/>
    <s v="Achat biellt Madingou-Brazzaville /Roderlin"/>
    <s v="Transport"/>
    <s v="Legal"/>
    <n v="7000"/>
    <n v="13.120825937248712"/>
    <n v="533.50300000000004"/>
    <s v="Roderlin"/>
    <s v="RO-N-R2"/>
    <s v="PALF"/>
    <x v="7"/>
    <s v="Congo"/>
    <m/>
    <m/>
    <m/>
  </r>
  <r>
    <x v="277"/>
    <s v="Tricycle:Agence Océan du nord-Hôtel"/>
    <s v="Transport"/>
    <s v="Legal"/>
    <n v="500"/>
    <n v="0.93720185266062228"/>
    <n v="533.50300000000004"/>
    <s v="Roderlin"/>
    <s v="RO-N-D1"/>
    <s v="PALF"/>
    <x v="7"/>
    <s v="Congo"/>
    <m/>
    <m/>
    <m/>
  </r>
  <r>
    <x v="277"/>
    <s v="Tricycle:Hôtel- Marché pour l'achat de la ration du prevenu "/>
    <s v="Transport"/>
    <s v="Legal"/>
    <n v="500"/>
    <n v="0.93720185266062228"/>
    <n v="533.50300000000004"/>
    <s v="Roderlin"/>
    <s v="RO-N-D1"/>
    <s v="PALF"/>
    <x v="7"/>
    <s v="Congo"/>
    <m/>
    <m/>
    <m/>
  </r>
  <r>
    <x v="277"/>
    <s v="Visite geôle du 06/11/2025 à la police de Madingou de NTONDELE MOUKOKO Claver/soir"/>
    <s v="Jail visits"/>
    <s v="Legal"/>
    <n v="1500"/>
    <n v="2.8116055579818666"/>
    <n v="533.50300000000004"/>
    <s v="Roderlin"/>
    <s v="RO-N-D3"/>
    <s v="PALF"/>
    <x v="7"/>
    <s v="Congo"/>
    <m/>
    <m/>
    <m/>
  </r>
  <r>
    <x v="277"/>
    <s v="Tricycle:Marché-La police "/>
    <s v="Transport"/>
    <s v="Legal"/>
    <n v="500"/>
    <n v="0.93720185266062228"/>
    <n v="533.50300000000004"/>
    <s v="Roderlin"/>
    <s v="RO-N-D1"/>
    <s v="PALF"/>
    <x v="7"/>
    <s v="Congo"/>
    <m/>
    <m/>
    <m/>
  </r>
  <r>
    <x v="277"/>
    <s v="Tricycle:La police-Hôtel"/>
    <s v="Transport"/>
    <s v="Legal"/>
    <n v="500"/>
    <n v="0.93720185266062228"/>
    <n v="533.50300000000004"/>
    <s v="Roderlin"/>
    <s v="RO-N-D1"/>
    <s v="PALF"/>
    <x v="7"/>
    <s v="Congo"/>
    <m/>
    <m/>
    <m/>
  </r>
  <r>
    <x v="277"/>
    <s v="Taxi: Bureau-Cabinet de maitre BANZOUZI pour retirer le rapport de mission"/>
    <s v="Transport"/>
    <s v="Legal"/>
    <n v="1000"/>
    <n v="1.8744037053212446"/>
    <n v="533.50300000000004"/>
    <s v="Romain"/>
    <s v="RM-N-D1"/>
    <s v="PALF"/>
    <x v="7"/>
    <s v="Congo"/>
    <m/>
    <m/>
    <m/>
  </r>
  <r>
    <x v="277"/>
    <s v="Taxi: Cabinet de maitre BANZOUZI-Domicile"/>
    <s v="Transport"/>
    <s v="Legal"/>
    <n v="2500"/>
    <n v="4.6860092633031112"/>
    <n v="533.50300000000004"/>
    <s v="Romain"/>
    <s v="RM-N-D1"/>
    <s v="PALF"/>
    <x v="7"/>
    <s v="Congo"/>
    <m/>
    <m/>
    <m/>
  </r>
  <r>
    <x v="278"/>
    <s v="Règlement Loyer du mois  d'octobre 2025 coordinateur PALF"/>
    <s v="Personnel"/>
    <s v="Management"/>
    <n v="174625"/>
    <n v="327.31774704172233"/>
    <n v="533.50300000000004"/>
    <s v="DOVI"/>
    <s v="DH-N-R2"/>
    <s v="PALF"/>
    <x v="7"/>
    <s v="Congo"/>
    <m/>
    <m/>
    <m/>
  </r>
  <r>
    <x v="278"/>
    <s v="Maison-Bureau"/>
    <s v="Transport"/>
    <s v="Management"/>
    <n v="1000"/>
    <n v="1.8744037053212446"/>
    <n v="533.50300000000004"/>
    <s v="DOVI"/>
    <s v="DH-N-D1"/>
    <s v="PALF"/>
    <x v="7"/>
    <s v="Congo"/>
    <m/>
    <m/>
    <m/>
  </r>
  <r>
    <x v="278"/>
    <s v="Frais d'hôtel Crépin/Congo, 10 Nuitées du 28/10/ au 07/11/2025 à Madingou"/>
    <s v="Travel subsistence"/>
    <s v="Legal"/>
    <n v="150000"/>
    <n v="281.16055579818669"/>
    <n v="533.50300000000004"/>
    <s v="Crépin"/>
    <s v="CR-N-R2"/>
    <s v="PALF"/>
    <x v="7"/>
    <s v="Congo"/>
    <m/>
    <m/>
    <m/>
  </r>
  <r>
    <x v="278"/>
    <s v="Taxi moto: Hôtel-Agence Océan du Nord Madingou"/>
    <s v="Transport"/>
    <s v="Legal"/>
    <n v="500"/>
    <n v="0.93720185266062228"/>
    <n v="533.50300000000004"/>
    <s v="Crépin"/>
    <s v="CR-N-D2"/>
    <s v="PALF"/>
    <x v="7"/>
    <s v="Congo"/>
    <m/>
    <m/>
    <m/>
  </r>
  <r>
    <x v="278"/>
    <s v="Billet: Madingou-Brazzaville/Crepin"/>
    <s v="Transport"/>
    <s v="Legal"/>
    <n v="7000"/>
    <n v="13.120825937248712"/>
    <n v="533.50300000000004"/>
    <s v="Crépin"/>
    <s v="CR-N-R3"/>
    <s v="PALF"/>
    <x v="7"/>
    <s v="Congo"/>
    <m/>
    <m/>
    <m/>
  </r>
  <r>
    <x v="278"/>
    <s v="Taxi: Agence Océan du Nord Diata-Domicile Mfilou Camp Militaire"/>
    <s v="Transport"/>
    <s v="Legal"/>
    <n v="2000"/>
    <n v="3.7488074106424891"/>
    <n v="533.50300000000004"/>
    <s v="Crépin"/>
    <s v="CR-N-D2"/>
    <s v="PALF"/>
    <x v="7"/>
    <s v="Congo"/>
    <m/>
    <m/>
    <m/>
  </r>
  <r>
    <x v="278"/>
    <s v="Taxi:Bureau-Domicile / Travail sur les pièces comptables octobre 2025/ heure 19h 30"/>
    <s v="Transport"/>
    <s v="Office"/>
    <n v="1000"/>
    <n v="1.8744037053212446"/>
    <n v="533.50300000000004"/>
    <s v="Parfaite"/>
    <s v="P-N-D1"/>
    <s v="PALF"/>
    <x v="7"/>
    <s v="Congo"/>
    <m/>
    <m/>
    <m/>
  </r>
  <r>
    <x v="278"/>
    <s v="Taxi domicile-plateau"/>
    <s v="Transport"/>
    <s v="Investigation"/>
    <n v="1500"/>
    <n v="2.8116055579818666"/>
    <n v="533.50300000000004"/>
    <s v="P29"/>
    <s v="P29-N-D1"/>
    <s v="PALF"/>
    <x v="7"/>
    <s v="Congo"/>
    <m/>
    <m/>
    <m/>
  </r>
  <r>
    <x v="278"/>
    <s v="Taxi plateau-kintele,prospection"/>
    <s v="Transport"/>
    <s v="Investigation"/>
    <n v="3000"/>
    <n v="5.6232111159637332"/>
    <n v="533.50300000000004"/>
    <s v="P29"/>
    <s v="P29-N-D1"/>
    <s v="PALF"/>
    <x v="7"/>
    <s v="Congo"/>
    <m/>
    <m/>
    <m/>
  </r>
  <r>
    <x v="278"/>
    <s v="Taxi kintele-ignie,prospection"/>
    <s v="Transport"/>
    <s v="Investigation"/>
    <n v="2000"/>
    <n v="3.7488074106424891"/>
    <n v="533.50300000000004"/>
    <s v="P29"/>
    <s v="P29-N-D1"/>
    <s v="PALF"/>
    <x v="7"/>
    <s v="Congo"/>
    <m/>
    <m/>
    <m/>
  </r>
  <r>
    <x v="278"/>
    <s v="Taxi ignie-kintele"/>
    <s v="Transport"/>
    <s v="Investigation"/>
    <n v="2000"/>
    <n v="3.7488074106424891"/>
    <n v="533.50300000000004"/>
    <s v="P29"/>
    <s v="P29-N-D1"/>
    <s v="PALF"/>
    <x v="7"/>
    <s v="Congo"/>
    <m/>
    <m/>
    <m/>
  </r>
  <r>
    <x v="278"/>
    <s v="Taxi kintele-moungali"/>
    <s v="Transport"/>
    <s v="Investigation"/>
    <n v="3000"/>
    <n v="5.6232111159637332"/>
    <n v="533.50300000000004"/>
    <s v="P29"/>
    <s v="P29-N-D1"/>
    <s v="PALF"/>
    <x v="7"/>
    <s v="Congo"/>
    <m/>
    <m/>
    <m/>
  </r>
  <r>
    <x v="278"/>
    <s v="Taxi moungali-domicile"/>
    <s v="Transport"/>
    <s v="Investigation"/>
    <n v="1500"/>
    <n v="2.8116055579818666"/>
    <n v="533.50300000000004"/>
    <s v="P29"/>
    <s v="P29-N-D1"/>
    <s v="PALF"/>
    <x v="7"/>
    <s v="Congo"/>
    <m/>
    <m/>
    <m/>
  </r>
  <r>
    <x v="278"/>
    <s v=" Achat boisson avec une cible"/>
    <s v="Trust building"/>
    <s v="Investigation"/>
    <n v="900"/>
    <n v="1.6561226855685469"/>
    <n v="543.43799999999999"/>
    <s v="P29"/>
    <s v="P29-N-D3"/>
    <s v="PALF"/>
    <x v="8"/>
    <s v="Congo"/>
    <m/>
    <m/>
    <m/>
  </r>
  <r>
    <x v="278"/>
    <s v="Taxi : bureau - djiri (  prospection à djiri)"/>
    <s v="transport"/>
    <s v="Investigation"/>
    <n v="2500"/>
    <n v="4.6860092633031112"/>
    <n v="533.50300000000004"/>
    <s v="T73"/>
    <s v="T73-N-D1"/>
    <s v="PALF"/>
    <x v="7"/>
    <s v="Congo"/>
    <m/>
    <m/>
    <m/>
  </r>
  <r>
    <x v="278"/>
    <s v="Taxi : djiri - domicile ( fin de journée)"/>
    <s v="transport"/>
    <s v="Investigation"/>
    <n v="2500"/>
    <n v="4.6860092633031112"/>
    <n v="533.50300000000004"/>
    <s v="T73"/>
    <s v="T73-N-D1"/>
    <s v="PALF"/>
    <x v="7"/>
    <s v="Congo"/>
    <m/>
    <m/>
    <m/>
  </r>
  <r>
    <x v="278"/>
    <s v="Taxi : Bureau - Nganga Lingolo/ Prospection"/>
    <s v="Transport"/>
    <s v="Investigation"/>
    <n v="3000"/>
    <n v="5.6232111159637332"/>
    <n v="533.50300000000004"/>
    <s v="IT87"/>
    <s v="IT87-N-D1"/>
    <s v="PALF"/>
    <x v="7"/>
    <s v="Congo"/>
    <m/>
    <m/>
    <m/>
  </r>
  <r>
    <x v="278"/>
    <s v="Taxi : Nganga Lingolo - Madibou/ Prospection"/>
    <s v="Transport"/>
    <s v="Investigation"/>
    <n v="1000"/>
    <n v="1.8744037053212446"/>
    <n v="533.50300000000004"/>
    <s v="IT87"/>
    <s v="IT87-N-D1"/>
    <s v="PALF"/>
    <x v="7"/>
    <s v="Congo"/>
    <m/>
    <m/>
    <m/>
  </r>
  <r>
    <x v="278"/>
    <s v="Taxi : Madibou - Djoué/ Prospection"/>
    <s v="Transport"/>
    <s v="Investigation"/>
    <n v="1500"/>
    <n v="2.8116055579818666"/>
    <n v="533.50300000000004"/>
    <s v="IT87"/>
    <s v="IT87-N-D1"/>
    <s v="PALF"/>
    <x v="7"/>
    <s v="Congo"/>
    <m/>
    <m/>
    <m/>
  </r>
  <r>
    <x v="278"/>
    <s v="Taxi : Djoué - Domicile/ Retour de prospection"/>
    <s v="Transport"/>
    <s v="Investigation"/>
    <n v="2500"/>
    <n v="4.6860092633031112"/>
    <n v="533.50300000000004"/>
    <s v="IT87"/>
    <s v="IT87-N-D1"/>
    <s v="PALF"/>
    <x v="7"/>
    <s v="Congo"/>
    <m/>
    <m/>
    <m/>
  </r>
  <r>
    <x v="278"/>
    <s v="Taxi: Domicile- lycée/prospection"/>
    <s v="Transport"/>
    <s v="Investigation"/>
    <n v="2000"/>
    <n v="3.7488074106424891"/>
    <n v="533.50300000000004"/>
    <s v="G12"/>
    <s v="G12-N-D1"/>
    <s v="PALF"/>
    <x v="7"/>
    <s v="Congo"/>
    <m/>
    <m/>
    <m/>
  </r>
  <r>
    <x v="278"/>
    <s v="Taxi: Lycée - mikalou/prospection"/>
    <s v="Transport"/>
    <s v="Investigation"/>
    <n v="1000"/>
    <n v="1.8744037053212446"/>
    <n v="533.50300000000004"/>
    <s v="G12"/>
    <s v="G12-N-D1"/>
    <s v="PALF"/>
    <x v="7"/>
    <s v="Congo"/>
    <m/>
    <m/>
    <m/>
  </r>
  <r>
    <x v="278"/>
    <s v="Taxi: Mikalou - talangai / prospection"/>
    <s v="Transport"/>
    <s v="Investigation"/>
    <n v="1000"/>
    <n v="1.8744037053212446"/>
    <n v="533.50300000000004"/>
    <s v="G12"/>
    <s v="G12-N-D1"/>
    <s v="PALF"/>
    <x v="7"/>
    <s v="Congo"/>
    <m/>
    <m/>
    <m/>
  </r>
  <r>
    <x v="278"/>
    <s v="Taxi: Talangai - domicile  "/>
    <s v="Transport"/>
    <s v="Investigation"/>
    <n v="1500"/>
    <n v="2.8116055579818666"/>
    <n v="533.50300000000004"/>
    <s v="G12"/>
    <s v="G12-N-D1"/>
    <s v="PALF"/>
    <x v="7"/>
    <s v="Congo"/>
    <m/>
    <m/>
    <m/>
  </r>
  <r>
    <x v="278"/>
    <s v="RODERLIN-CONGO frais d'hôtel du 28/10 au 07/11/ 2025à  Madingou (10 nuitées)"/>
    <s v="Travel Subsistence"/>
    <s v="Legal"/>
    <n v="150000"/>
    <n v="281.16055579818669"/>
    <n v="533.50300000000004"/>
    <s v="Roderlin"/>
    <s v="RO-N-R3"/>
    <s v="PALF"/>
    <x v="7"/>
    <s v="Congo"/>
    <m/>
    <m/>
    <m/>
  </r>
  <r>
    <x v="278"/>
    <s v="Taxi:Agence Océan du nord- Domicile"/>
    <s v="Transport"/>
    <s v="Legal"/>
    <n v="1000"/>
    <n v="1.8744037053212446"/>
    <n v="533.50300000000004"/>
    <s v="Roderlin"/>
    <s v="RO-N-D1"/>
    <s v="PALF"/>
    <x v="7"/>
    <s v="Congo"/>
    <m/>
    <m/>
    <m/>
  </r>
  <r>
    <x v="278"/>
    <s v="Taxi: Bureau-DGEF(pour le retrait du contrat de l'avocat) "/>
    <s v="Transport"/>
    <s v="Legal"/>
    <n v="1000"/>
    <n v="1.8744037053212446"/>
    <n v="533.50300000000004"/>
    <s v="Romain"/>
    <s v="RM-N-D1"/>
    <s v="PALF"/>
    <x v="7"/>
    <s v="Congo"/>
    <m/>
    <m/>
    <m/>
  </r>
  <r>
    <x v="278"/>
    <s v="Taxi: DGEF-Bureau"/>
    <s v="Transport"/>
    <s v="Legal"/>
    <n v="1000"/>
    <n v="1.8744037053212446"/>
    <n v="533.50300000000004"/>
    <s v="Romain"/>
    <s v="RM-N-D1"/>
    <s v="PALF"/>
    <x v="7"/>
    <s v="Congo"/>
    <m/>
    <m/>
    <m/>
  </r>
  <r>
    <x v="278"/>
    <s v="Taxi:Bureau-Cabinet de maitre BANZOUZI pour la signaure du contrat"/>
    <s v="Transport"/>
    <s v="Legal"/>
    <n v="1000"/>
    <n v="1.8744037053212446"/>
    <n v="533.50300000000004"/>
    <s v="Romain"/>
    <s v="RM-N-D1"/>
    <s v="PALF"/>
    <x v="7"/>
    <s v="Congo"/>
    <m/>
    <m/>
    <m/>
  </r>
  <r>
    <x v="278"/>
    <s v="Taxi: Cabinet de maitre BANZOUZI-Domicile"/>
    <s v="Transport"/>
    <s v="Legal"/>
    <n v="2500"/>
    <n v="4.6860092633031112"/>
    <n v="533.50300000000004"/>
    <s v="Romain"/>
    <s v="RM-N-D1"/>
    <s v="PALF"/>
    <x v="7"/>
    <s v="Congo"/>
    <m/>
    <m/>
    <m/>
  </r>
  <r>
    <x v="279"/>
    <s v="Taxi:Domicile-Bureau /Scannage des pièces comptables octobre 2025/Week-end"/>
    <s v="Transport"/>
    <s v="Office"/>
    <n v="1000"/>
    <n v="1.8744037053212446"/>
    <n v="533.50300000000004"/>
    <s v="Parfaite"/>
    <s v="P-N-D1"/>
    <s v="PALF"/>
    <x v="7"/>
    <s v="Congo"/>
    <m/>
    <m/>
    <m/>
  </r>
  <r>
    <x v="279"/>
    <s v="Taxi:Bureau-Domicile"/>
    <s v="Transport"/>
    <s v="Office"/>
    <n v="1000"/>
    <n v="1.8744037053212446"/>
    <n v="533.50300000000004"/>
    <s v="Parfaite"/>
    <s v="P-N-D1"/>
    <s v="PALF"/>
    <x v="7"/>
    <s v="Congo"/>
    <m/>
    <m/>
    <m/>
  </r>
  <r>
    <x v="279"/>
    <s v="Taxi: Domicile-Bureau"/>
    <s v="Transport"/>
    <s v="Legal"/>
    <n v="1500"/>
    <n v="2.8116055579818666"/>
    <n v="533.50300000000004"/>
    <s v="Abraham"/>
    <s v="AB-N-D1"/>
    <s v="PALF"/>
    <x v="7"/>
    <s v="Congo"/>
    <m/>
    <m/>
    <m/>
  </r>
  <r>
    <x v="279"/>
    <s v="Taxi: Bureau-Domicile"/>
    <s v="Transport"/>
    <s v="Legal"/>
    <n v="1500"/>
    <n v="2.8116055579818666"/>
    <n v="533.50300000000004"/>
    <s v="Abraham"/>
    <s v="AB-N-D1"/>
    <s v="PALF"/>
    <x v="7"/>
    <s v="Congo"/>
    <m/>
    <m/>
    <m/>
  </r>
  <r>
    <x v="280"/>
    <s v="Maison-Cabinet d'huissier"/>
    <s v="Transport"/>
    <s v="Management"/>
    <n v="1000"/>
    <n v="1.8744037053212446"/>
    <n v="533.50300000000004"/>
    <s v="DOVI"/>
    <s v="DH-N-D1"/>
    <s v="PALF"/>
    <x v="7"/>
    <s v="Congo"/>
    <m/>
    <m/>
    <m/>
  </r>
  <r>
    <x v="280"/>
    <s v="Cabinet - Bureau"/>
    <s v="Transport"/>
    <s v="Management"/>
    <n v="1000"/>
    <n v="1.8744037053212446"/>
    <n v="533.50300000000004"/>
    <s v="DOVI"/>
    <s v="DH-N-D1"/>
    <s v="PALF"/>
    <x v="7"/>
    <s v="Congo"/>
    <m/>
    <m/>
    <m/>
  </r>
  <r>
    <x v="280"/>
    <s v="Bureau-Maison"/>
    <s v="Transport"/>
    <s v="Management"/>
    <n v="1000"/>
    <n v="1.8744037053212446"/>
    <n v="533.50300000000004"/>
    <s v="DOVI"/>
    <s v="DH-N-D1"/>
    <s v="PALF"/>
    <x v="7"/>
    <s v="Congo"/>
    <m/>
    <m/>
    <m/>
  </r>
  <r>
    <x v="280"/>
    <s v="Credit telephonique MTN/PALF/ du 10 au 16 novembre 2025/ DOVI"/>
    <s v="Telephone"/>
    <s v="Management"/>
    <n v="12500"/>
    <n v="23.430046316515558"/>
    <n v="533.50300000000004"/>
    <s v="DOVI"/>
    <s v="DH-N-R3"/>
    <s v="PALF"/>
    <x v="7"/>
    <s v="Congo"/>
    <m/>
    <m/>
    <m/>
  </r>
  <r>
    <x v="280"/>
    <s v="Credit telephonique MTN PALF/du 10   au 16 novembre 2025/ crepin"/>
    <s v="Telephone"/>
    <s v="Legal"/>
    <n v="10000"/>
    <n v="18.744037053212445"/>
    <n v="533.50300000000004"/>
    <s v="Crépin"/>
    <s v="CR-N-R4"/>
    <s v="PALF"/>
    <x v="7"/>
    <s v="Congo"/>
    <m/>
    <m/>
    <m/>
  </r>
  <r>
    <x v="280"/>
    <s v="Bonus opération du 28/10/2025 à Nkayi/Crepin"/>
    <s v="Bonus"/>
    <s v="Operation"/>
    <n v="30000"/>
    <n v="56.232111159637334"/>
    <n v="533.50300000000004"/>
    <s v="Crépin"/>
    <s v="CA-N-D6"/>
    <s v="PALF"/>
    <x v="7"/>
    <s v="Congo"/>
    <m/>
    <m/>
    <m/>
  </r>
  <r>
    <x v="280"/>
    <s v="Taxi: Banque BCI-Direction MTN/ achat credit telephonique "/>
    <s v="Transport"/>
    <s v="Office"/>
    <n v="1000"/>
    <n v="1.8744037053212446"/>
    <n v="533.50300000000004"/>
    <s v="Parfaite"/>
    <s v="P-N-D1"/>
    <s v="PALF"/>
    <x v="7"/>
    <s v="Congo"/>
    <m/>
    <m/>
    <m/>
  </r>
  <r>
    <x v="280"/>
    <s v="Taxi:   Direction MTN-Bureau"/>
    <s v="Transport"/>
    <s v="Office"/>
    <n v="1000"/>
    <n v="1.8744037053212446"/>
    <n v="533.50300000000004"/>
    <s v="Parfaite"/>
    <s v="P-N-D1"/>
    <s v="PALF"/>
    <x v="7"/>
    <s v="Congo"/>
    <m/>
    <m/>
    <m/>
  </r>
  <r>
    <x v="280"/>
    <s v="Taxi:Bureau-Domicile / Travail sur les pièces comptables octobre 2025/ heure 20h 50"/>
    <s v="Transport"/>
    <s v="Office"/>
    <n v="1000"/>
    <n v="1.8744037053212446"/>
    <n v="533.50300000000004"/>
    <s v="Parfaite"/>
    <s v="P-N-D1"/>
    <s v="PALF"/>
    <x v="7"/>
    <s v="Congo"/>
    <m/>
    <m/>
    <m/>
  </r>
  <r>
    <x v="280"/>
    <s v="Credit teléphonique MTN PALF/ du 10 au 16 novembre 2025/ Parfaite"/>
    <s v="Telephone"/>
    <s v="Management"/>
    <n v="7500"/>
    <n v="14.058027789909334"/>
    <n v="533.50300000000004"/>
    <s v="Parfaite"/>
    <s v="P-N-R2"/>
    <s v="PALF"/>
    <x v="7"/>
    <s v="Congo"/>
    <m/>
    <m/>
    <m/>
  </r>
  <r>
    <x v="280"/>
    <s v="Credit telephonique MTN PALF/ du 10 au 16 novembre 2025/ Investigation/P29"/>
    <s v="Telephone"/>
    <s v="Investigation"/>
    <n v="10000"/>
    <n v="18.744037053212445"/>
    <n v="533.50300000000004"/>
    <s v="P29"/>
    <s v="P29-N-R2"/>
    <s v="PALF"/>
    <x v="7"/>
    <s v="Congo"/>
    <m/>
    <m/>
    <m/>
  </r>
  <r>
    <x v="280"/>
    <s v="Credit telephonique MTN PALF/ du 10 au 16 novembre 2025/ Investigation/T73"/>
    <s v="Telephone"/>
    <s v="Investigation"/>
    <n v="10000"/>
    <n v="18.744037053212445"/>
    <n v="533.50300000000004"/>
    <s v="T73"/>
    <s v="T73-N-R2"/>
    <s v="PALF"/>
    <x v="7"/>
    <s v="Congo"/>
    <m/>
    <m/>
    <m/>
  </r>
  <r>
    <x v="280"/>
    <s v="Credit telephonique MTN PALF/du 10 au 16 novembre 2025/IT87"/>
    <s v="Telephone"/>
    <s v="Investigation"/>
    <n v="10000"/>
    <n v="18.744037053212445"/>
    <n v="533.50300000000004"/>
    <s v="IT87"/>
    <s v="IT87-N-R2"/>
    <s v="PALF"/>
    <x v="7"/>
    <s v="Congo"/>
    <m/>
    <m/>
    <m/>
  </r>
  <r>
    <x v="280"/>
    <s v="Credit telephonique MTN PALF/du  10 au 16 novembre 2025/G12"/>
    <s v="Telephone"/>
    <s v="Investigation"/>
    <n v="10000"/>
    <n v="18.744037053212445"/>
    <n v="533.50300000000004"/>
    <s v="G12"/>
    <s v="G12-N-R2"/>
    <s v="PALF"/>
    <x v="7"/>
    <s v="Congo"/>
    <m/>
    <m/>
    <m/>
  </r>
  <r>
    <x v="280"/>
    <s v="Achat billet Brazzaville-Owando/Abraham"/>
    <s v="Transport"/>
    <s v="Legal"/>
    <n v="8000"/>
    <n v="14.995229642569956"/>
    <n v="533.50300000000004"/>
    <s v="Abraham"/>
    <s v="AB-N-R2"/>
    <s v="PALF"/>
    <x v="7"/>
    <s v="Congo"/>
    <m/>
    <m/>
    <m/>
  </r>
  <r>
    <x v="280"/>
    <s v="Taxi: Bureau-Domicile"/>
    <s v="Transport"/>
    <s v="Legal"/>
    <n v="1000"/>
    <n v="1.8744037053212446"/>
    <n v="533.50300000000004"/>
    <s v="Abraham"/>
    <s v="AB-N-D1"/>
    <s v="PALF"/>
    <x v="7"/>
    <s v="Congo"/>
    <m/>
    <m/>
    <m/>
  </r>
  <r>
    <x v="280"/>
    <s v="Credit telephonique MTN PALF/ du 10 au 16 novembre 2025/Abraham"/>
    <s v="Telephone"/>
    <s v="Legal"/>
    <n v="7500"/>
    <n v="14.058027789909334"/>
    <n v="533.50300000000004"/>
    <s v="Abraham"/>
    <s v="AB-N-R3"/>
    <s v="PALF"/>
    <x v="7"/>
    <s v="Congo"/>
    <m/>
    <m/>
    <m/>
  </r>
  <r>
    <x v="280"/>
    <s v="Credit telephonique MTN PALF/du 10 au 16 novembre 2025/Roderlin"/>
    <s v="Telephone"/>
    <s v="Legal"/>
    <n v="7500"/>
    <n v="14.058027789909334"/>
    <n v="533.50300000000004"/>
    <s v="Roderlin"/>
    <s v="RO-N-R4"/>
    <s v="PALF"/>
    <x v="7"/>
    <s v="Congo"/>
    <m/>
    <m/>
    <m/>
  </r>
  <r>
    <x v="280"/>
    <s v="Bonus opération du 28/10/2025 à Nkayi/Roderlin"/>
    <s v="Bonus"/>
    <s v="Operation"/>
    <n v="25000"/>
    <n v="46.860092633031115"/>
    <n v="533.50300000000004"/>
    <s v="Roderlin"/>
    <s v="CA-N-D7"/>
    <s v="PALF"/>
    <x v="7"/>
    <s v="Congo"/>
    <m/>
    <m/>
    <m/>
  </r>
  <r>
    <x v="280"/>
    <s v="Credit telephonique MTN PALF/ du 10 au 18 novembre 2025/Donald-Roméo"/>
    <s v="Telephone"/>
    <s v="Legal"/>
    <n v="10000"/>
    <n v="18.744037053212445"/>
    <n v="533.50300000000004"/>
    <s v="Donald-Romeo"/>
    <s v="DR-N-R2"/>
    <s v="PALF"/>
    <x v="7"/>
    <s v="Congo"/>
    <m/>
    <m/>
    <m/>
  </r>
  <r>
    <x v="280"/>
    <s v="Credit telephonique MTN PALF/du 10  au 16 Novembre 2025/ Evariste"/>
    <s v="Telephone"/>
    <s v="Media"/>
    <n v="10000"/>
    <n v="18.744037053212445"/>
    <n v="533.50300000000004"/>
    <s v="Evariste"/>
    <s v="EV-N-R2"/>
    <s v="PALF"/>
    <x v="7"/>
    <s v="Congo"/>
    <m/>
    <m/>
    <m/>
  </r>
  <r>
    <x v="280"/>
    <s v="Frais de transport mission Maitre Helene à Owando du 11 au 13/11/2025"/>
    <s v="Transport"/>
    <s v="Legal"/>
    <n v="22000"/>
    <n v="41.236881517067381"/>
    <n v="533.50300000000004"/>
    <s v="Romain"/>
    <s v="CA-N-R8"/>
    <s v="PALF"/>
    <x v="7"/>
    <s v="Congo"/>
    <m/>
    <m/>
    <m/>
  </r>
  <r>
    <x v="280"/>
    <s v="Ration et frais d'hotel mission maitre Helène à Owando du 11 au 13/11/2025"/>
    <s v="Travel Subsistence"/>
    <s v="Legal"/>
    <n v="50000"/>
    <n v="93.720185266062231"/>
    <n v="533.50300000000004"/>
    <s v="Romain"/>
    <s v="CA-N-R9"/>
    <s v="PALF"/>
    <x v="7"/>
    <s v="Congo"/>
    <m/>
    <m/>
    <m/>
  </r>
  <r>
    <x v="280"/>
    <s v="Taxi: Bureau-DGEF: pour deposer le contrat à la signaure"/>
    <s v="Transport"/>
    <s v="Legal"/>
    <n v="1000"/>
    <n v="1.8744037053212446"/>
    <n v="533.50300000000004"/>
    <s v="Romain"/>
    <s v="RM-N-D1"/>
    <s v="PALF"/>
    <x v="7"/>
    <s v="Congo"/>
    <m/>
    <m/>
    <m/>
  </r>
  <r>
    <x v="280"/>
    <s v="Taxi: DGEF-Bureau"/>
    <s v="Transport"/>
    <s v="Legal"/>
    <n v="1000"/>
    <n v="1.8744037053212446"/>
    <n v="533.50300000000004"/>
    <s v="Romain"/>
    <s v="RM-N-D1"/>
    <s v="PALF"/>
    <x v="7"/>
    <s v="Congo"/>
    <m/>
    <m/>
    <m/>
  </r>
  <r>
    <x v="280"/>
    <s v="Taxi: Bureau-Agence Trans Bony de la Frontière"/>
    <s v="Transport"/>
    <s v="Legal"/>
    <n v="1000"/>
    <n v="1.8744037053212446"/>
    <n v="533.50300000000004"/>
    <s v="Romain"/>
    <s v="RM-N-D1"/>
    <s v="PALF"/>
    <x v="7"/>
    <s v="Congo"/>
    <m/>
    <m/>
    <m/>
  </r>
  <r>
    <x v="280"/>
    <s v="Taxi: Agence Trans bony de la Frontière-Bureau"/>
    <s v="Transport"/>
    <s v="Legal"/>
    <n v="1000"/>
    <n v="1.8744037053212446"/>
    <n v="533.50300000000004"/>
    <s v="Romain"/>
    <s v="RM-N-D1"/>
    <s v="PALF"/>
    <x v="7"/>
    <s v="Congo"/>
    <m/>
    <m/>
    <m/>
  </r>
  <r>
    <x v="280"/>
    <s v="Taxi: Bureau-Rond point MAZALA(pour aller rencontrer maitre Hélène)"/>
    <s v="Transport"/>
    <s v="Legal"/>
    <n v="1000"/>
    <n v="1.8744037053212446"/>
    <n v="533.50300000000004"/>
    <s v="Romain"/>
    <s v="RM-N-D1"/>
    <s v="PALF"/>
    <x v="7"/>
    <s v="Congo"/>
    <m/>
    <m/>
    <m/>
  </r>
  <r>
    <x v="280"/>
    <s v="Taxi: Rond point MAZALA- Bureau"/>
    <s v="Transport"/>
    <s v="Legal"/>
    <n v="1000"/>
    <n v="1.8744037053212446"/>
    <n v="533.50300000000004"/>
    <s v="Romain"/>
    <s v="RM-N-D1"/>
    <s v="PALF"/>
    <x v="7"/>
    <s v="Congo"/>
    <m/>
    <m/>
    <m/>
  </r>
  <r>
    <x v="280"/>
    <s v="Credit telephonique MTN PALF/du 10 au 16 novembre 2025/Romain"/>
    <s v="Telephone"/>
    <s v="Legal"/>
    <n v="7500"/>
    <n v="14.058027789909334"/>
    <n v="533.50300000000004"/>
    <s v="Romain"/>
    <s v="RM-N-R5"/>
    <s v="PALF"/>
    <x v="7"/>
    <s v="Congo"/>
    <m/>
    <m/>
    <m/>
  </r>
  <r>
    <x v="281"/>
    <s v="Maison-Bureau"/>
    <s v="Transport"/>
    <s v="Management"/>
    <n v="1000"/>
    <n v="1.8744037053212446"/>
    <n v="533.50300000000004"/>
    <s v="DOVI"/>
    <s v="DH-N-D1"/>
    <s v="PALF"/>
    <x v="7"/>
    <s v="Congo"/>
    <m/>
    <m/>
    <m/>
  </r>
  <r>
    <x v="281"/>
    <s v="Bureau - Maison"/>
    <s v="Transport"/>
    <s v="Management"/>
    <n v="1000"/>
    <n v="1.8744037053212446"/>
    <n v="533.50300000000004"/>
    <s v="DOVI"/>
    <s v="DH-N-D1"/>
    <s v="PALF"/>
    <x v="7"/>
    <s v="Congo"/>
    <m/>
    <m/>
    <m/>
  </r>
  <r>
    <x v="281"/>
    <s v="Taxi domicile-makana,prospection"/>
    <s v="Transport"/>
    <s v="Investigation"/>
    <n v="3500"/>
    <n v="6.5604129686243562"/>
    <n v="533.50300000000004"/>
    <s v="P29"/>
    <s v="P29-N-D1"/>
    <s v="PALF"/>
    <x v="7"/>
    <s v="Congo"/>
    <m/>
    <m/>
    <m/>
  </r>
  <r>
    <x v="281"/>
    <s v="Taxi makabana-wayako,prospection"/>
    <s v="Transport"/>
    <s v="Investigation"/>
    <n v="2000"/>
    <n v="3.7488074106424891"/>
    <n v="533.50300000000004"/>
    <s v="P29"/>
    <s v="P29-N-D1"/>
    <s v="PALF"/>
    <x v="7"/>
    <s v="Congo"/>
    <m/>
    <m/>
    <m/>
  </r>
  <r>
    <x v="281"/>
    <s v="Taxi wayako-madibou,prospection"/>
    <s v="Transport"/>
    <s v="Investigation"/>
    <n v="1500"/>
    <n v="2.8116055579818666"/>
    <n v="533.50300000000004"/>
    <s v="P29"/>
    <s v="P29-N-D1"/>
    <s v="PALF"/>
    <x v="7"/>
    <s v="Congo"/>
    <m/>
    <m/>
    <m/>
  </r>
  <r>
    <x v="281"/>
    <s v="Taxi madibou-domicile"/>
    <s v="Transport"/>
    <s v="Investigation"/>
    <n v="1500"/>
    <n v="2.8116055579818666"/>
    <n v="533.50300000000004"/>
    <s v="P29"/>
    <s v="P29-N-D1"/>
    <s v="PALF"/>
    <x v="7"/>
    <s v="Congo"/>
    <m/>
    <m/>
    <m/>
  </r>
  <r>
    <x v="281"/>
    <s v=" Achat boisson avec une cible"/>
    <s v="Trust building"/>
    <s v="Investigation"/>
    <n v="1000"/>
    <n v="1.8401363172983856"/>
    <n v="543.43799999999999"/>
    <s v="P29"/>
    <s v="P29-N-D3"/>
    <s v="PALF"/>
    <x v="8"/>
    <s v="Congo"/>
    <m/>
    <m/>
    <m/>
  </r>
  <r>
    <x v="281"/>
    <s v="Taxi : domicile - cité de 17 (prospection à Brazzaville)"/>
    <s v="transport"/>
    <s v="Investigation"/>
    <n v="2000"/>
    <n v="3.7488074106424891"/>
    <n v="533.50300000000004"/>
    <s v="T73"/>
    <s v="T73-N-D1"/>
    <s v="PALF"/>
    <x v="7"/>
    <s v="Congo"/>
    <m/>
    <m/>
    <m/>
  </r>
  <r>
    <x v="281"/>
    <s v="Taxi : cité de 17 - diata (rendez - vous avec le coordeau)"/>
    <s v="transport"/>
    <s v="Investigation"/>
    <n v="2000"/>
    <n v="3.7488074106424891"/>
    <n v="533.50300000000004"/>
    <s v="T73"/>
    <s v="T73-N-D1"/>
    <s v="PALF"/>
    <x v="7"/>
    <s v="Congo"/>
    <m/>
    <m/>
    <m/>
  </r>
  <r>
    <x v="281"/>
    <s v="Taxi : diata - cité de 17 (retour sur le terrain)"/>
    <s v="transport"/>
    <s v="Investigation"/>
    <n v="2000"/>
    <n v="3.7488074106424891"/>
    <n v="533.50300000000004"/>
    <s v="T73"/>
    <s v="T73-N-D1"/>
    <s v="PALF"/>
    <x v="7"/>
    <s v="Congo"/>
    <m/>
    <m/>
    <m/>
  </r>
  <r>
    <x v="281"/>
    <s v="Taxi : cité de 17 - sadelmi (prospection à brazzaville)"/>
    <s v="transport"/>
    <s v="Investigation"/>
    <n v="1000"/>
    <n v="1.8744037053212446"/>
    <n v="533.50300000000004"/>
    <s v="T73"/>
    <s v="T73-N-D1"/>
    <s v="PALF"/>
    <x v="7"/>
    <s v="Congo"/>
    <m/>
    <m/>
    <m/>
  </r>
  <r>
    <x v="281"/>
    <s v="Taxi : sadelmi- domicile  (prospection à brazzaville)"/>
    <s v="transport"/>
    <s v="Investigation"/>
    <n v="2000"/>
    <n v="3.7488074106424891"/>
    <n v="533.50300000000004"/>
    <s v="T73"/>
    <s v="T73-N-D1"/>
    <s v="PALF"/>
    <x v="7"/>
    <s v="Congo"/>
    <m/>
    <m/>
    <m/>
  </r>
  <r>
    <x v="281"/>
    <s v="achat boisson ( une cible)"/>
    <s v="Trust building"/>
    <s v="Investigation"/>
    <n v="2000"/>
    <n v="3.6802726345967711"/>
    <n v="543.43799999999999"/>
    <s v="T73"/>
    <s v="T73-N-D2"/>
    <s v="PALF"/>
    <x v="8"/>
    <s v="Congo"/>
    <m/>
    <m/>
    <m/>
  </r>
  <r>
    <x v="281"/>
    <s v="Taxi : Domicile - Kinsoundi/ Prospection"/>
    <s v="Transport"/>
    <s v="Investigation"/>
    <n v="1500"/>
    <n v="2.8116055579818666"/>
    <n v="533.50300000000004"/>
    <s v="IT87"/>
    <s v="IT87-N-D1"/>
    <s v="PALF"/>
    <x v="7"/>
    <s v="Congo"/>
    <m/>
    <m/>
    <m/>
  </r>
  <r>
    <x v="281"/>
    <s v="Taxi : Kinsoundi - Barrage/ Prospection"/>
    <s v="Transport"/>
    <s v="Investigation"/>
    <n v="1000"/>
    <n v="1.8744037053212446"/>
    <n v="533.50300000000004"/>
    <s v="IT87"/>
    <s v="IT87-N-D1"/>
    <s v="PALF"/>
    <x v="7"/>
    <s v="Congo"/>
    <m/>
    <m/>
    <m/>
  </r>
  <r>
    <x v="281"/>
    <s v="Achat Boissons avec la cible"/>
    <s v="Trust Building"/>
    <s v="Investigation"/>
    <n v="2000"/>
    <n v="3.6802726345967711"/>
    <n v="543.43799999999999"/>
    <s v="IT87"/>
    <s v="IT87-N-D2"/>
    <s v="PALF"/>
    <x v="8"/>
    <s v="Congo"/>
    <m/>
    <m/>
    <m/>
  </r>
  <r>
    <x v="281"/>
    <s v="Taxi : Barrage - Château d'eau/ Prospection"/>
    <s v="Transport"/>
    <s v="Investigation"/>
    <n v="1500"/>
    <n v="2.8116055579818666"/>
    <n v="533.50300000000004"/>
    <s v="IT87"/>
    <s v="IT87-N-D1"/>
    <s v="PALF"/>
    <x v="7"/>
    <s v="Congo"/>
    <m/>
    <m/>
    <m/>
  </r>
  <r>
    <x v="281"/>
    <s v="Taxi : Château d'eau - Domicile/ Retour de prospection"/>
    <s v="Transport"/>
    <s v="Investigation"/>
    <n v="1500"/>
    <n v="2.8116055579818666"/>
    <n v="533.50300000000004"/>
    <s v="IT87"/>
    <s v="IT87-N-D1"/>
    <s v="PALF"/>
    <x v="7"/>
    <s v="Congo"/>
    <m/>
    <m/>
    <m/>
  </r>
  <r>
    <x v="281"/>
    <s v="Taxi: Domicile - port yoro / prospection"/>
    <s v="Transport"/>
    <s v="Investigation"/>
    <n v="1500"/>
    <n v="2.8116055579818666"/>
    <n v="533.50300000000004"/>
    <s v="G12"/>
    <s v="G12-N-D1"/>
    <s v="PALF"/>
    <x v="7"/>
    <s v="Congo"/>
    <m/>
    <m/>
    <m/>
  </r>
  <r>
    <x v="281"/>
    <s v="Taxi : Port yoro - poto -poto /prospection"/>
    <s v="Transport"/>
    <s v="Investigation"/>
    <n v="1000"/>
    <n v="1.8744037053212446"/>
    <n v="533.50300000000004"/>
    <s v="G12"/>
    <s v="G12-N-D1"/>
    <s v="PALF"/>
    <x v="7"/>
    <s v="Congo"/>
    <m/>
    <m/>
    <m/>
  </r>
  <r>
    <x v="281"/>
    <s v="Taxi : Poto-poto - ouenze /prospection"/>
    <s v="Transport"/>
    <s v="Investigation"/>
    <n v="1000"/>
    <n v="1.8744037053212446"/>
    <n v="533.50300000000004"/>
    <s v="G12"/>
    <s v="G12-N-D1"/>
    <s v="PALF"/>
    <x v="7"/>
    <s v="Congo"/>
    <m/>
    <m/>
    <m/>
  </r>
  <r>
    <x v="281"/>
    <s v="Taxi : Ouenze - domicile"/>
    <s v="Transport"/>
    <s v="Investigation"/>
    <n v="1500"/>
    <n v="2.8116055579818666"/>
    <n v="533.50300000000004"/>
    <s v="G12"/>
    <s v="G12-N-D1"/>
    <s v="PALF"/>
    <x v="7"/>
    <s v="Congo"/>
    <m/>
    <m/>
    <m/>
  </r>
  <r>
    <x v="281"/>
    <s v="ABRAHAM - CONGO Ration du 11 au 13/11/2025 à Dolisie et à Owando (02 Nuitées)"/>
    <s v="Travel subsistence"/>
    <s v="Legal"/>
    <n v="20000"/>
    <n v="37.488074106424889"/>
    <n v="533.50300000000004"/>
    <s v="Abraham"/>
    <s v="AB-N-D3"/>
    <s v="PALF"/>
    <x v="7"/>
    <s v="Congo"/>
    <m/>
    <m/>
    <m/>
  </r>
  <r>
    <x v="281"/>
    <s v="Taxi:Domicile-Agence Tranbony de La frontière"/>
    <s v="Transport"/>
    <s v="Legal"/>
    <n v="1000"/>
    <n v="1.8744037053212446"/>
    <n v="533.50300000000004"/>
    <s v="Abraham"/>
    <s v="AB-N-D1"/>
    <s v="PALF"/>
    <x v="7"/>
    <s v="Congo"/>
    <m/>
    <m/>
    <m/>
  </r>
  <r>
    <x v="281"/>
    <s v="Taxi-moto: Agence Tranbony d'Owando-Hôtel Case Mbali"/>
    <s v="Transport"/>
    <s v="Legal"/>
    <n v="500"/>
    <n v="0.93720185266062228"/>
    <n v="533.50300000000004"/>
    <s v="Abraham"/>
    <s v="AB-N-D1"/>
    <s v="PALF"/>
    <x v="7"/>
    <s v="Congo"/>
    <m/>
    <m/>
    <m/>
  </r>
  <r>
    <x v="281"/>
    <s v="Taxi-moto: Hôtel Case Mbali-Marché d'owando"/>
    <s v="Transport"/>
    <s v="Legal"/>
    <n v="500"/>
    <n v="0.93720185266062228"/>
    <n v="533.50300000000004"/>
    <s v="Abraham"/>
    <s v="AB-N-D1"/>
    <s v="PALF"/>
    <x v="7"/>
    <s v="Congo"/>
    <m/>
    <m/>
    <m/>
  </r>
  <r>
    <x v="281"/>
    <s v="Ration  des 02 détenus à la maison d'arrêt d'Owando/ détenus visités: NGASSAKI Dany et ELOMBO Lévy/soir "/>
    <s v="Jail visits"/>
    <s v="Legal"/>
    <n v="3000"/>
    <n v="5.6232111159637332"/>
    <n v="533.50300000000004"/>
    <s v="Abraham"/>
    <s v="AB-N-D2"/>
    <s v="PALF"/>
    <x v="7"/>
    <s v="Congo"/>
    <m/>
    <m/>
    <m/>
  </r>
  <r>
    <x v="281"/>
    <s v="Taxi-moto: Marché d'owando-Maison d'arrêt d'Owando"/>
    <s v="Transport"/>
    <s v="Legal"/>
    <n v="250"/>
    <n v="0.46860092633031114"/>
    <n v="533.50300000000004"/>
    <s v="Abraham"/>
    <s v="AB-N-D1"/>
    <s v="PALF"/>
    <x v="7"/>
    <s v="Congo"/>
    <m/>
    <m/>
    <m/>
  </r>
  <r>
    <x v="281"/>
    <s v="Taxi-moto:Maison d'arrêt d'Owando-Hôtel Case Mbali"/>
    <s v="Transport"/>
    <s v="Legal"/>
    <n v="500"/>
    <n v="0.93720185266062228"/>
    <n v="533.50300000000004"/>
    <s v="Abraham"/>
    <s v="AB-N-D1"/>
    <s v="PALF"/>
    <x v="7"/>
    <s v="Congo"/>
    <m/>
    <m/>
    <m/>
  </r>
  <r>
    <x v="281"/>
    <s v="Réglement facture électricité periode Septembre-Octobre 2025/bureau PALF"/>
    <s v="Rent &amp; Utilities"/>
    <s v="Office"/>
    <n v="31187"/>
    <n v="58.457028357853652"/>
    <n v="533.50300000000004"/>
    <s v="Romain"/>
    <s v="CA-N-R10"/>
    <s v="PALF"/>
    <x v="7"/>
    <s v="Congo"/>
    <m/>
    <m/>
    <m/>
  </r>
  <r>
    <x v="281"/>
    <s v="Taxi: Burea-DGEF pour aller deposer le contrat d'avocat à la signature"/>
    <s v="Transport"/>
    <s v="Legal"/>
    <n v="1000"/>
    <n v="1.8744037053212446"/>
    <n v="533.50300000000004"/>
    <s v="Romain"/>
    <s v="RM-N-D1"/>
    <s v="PALF"/>
    <x v="7"/>
    <s v="Congo"/>
    <m/>
    <m/>
    <m/>
  </r>
  <r>
    <x v="281"/>
    <s v="Taxi: DGEF-Bureau"/>
    <s v="Transport"/>
    <s v="Legal"/>
    <n v="1000"/>
    <n v="1.8744037053212446"/>
    <n v="533.50300000000004"/>
    <s v="Romain"/>
    <s v="RM-N-D1"/>
    <s v="PALF"/>
    <x v="7"/>
    <s v="Congo"/>
    <m/>
    <m/>
    <m/>
  </r>
  <r>
    <x v="281"/>
    <s v="Taxi: Bureau-Agence Energie Eléctrique du Congo pour payer la facture"/>
    <s v="Transport"/>
    <s v="Legal"/>
    <n v="1000"/>
    <n v="1.8744037053212446"/>
    <n v="533.50300000000004"/>
    <s v="Romain"/>
    <s v="RM-N-D1"/>
    <s v="PALF"/>
    <x v="7"/>
    <s v="Congo"/>
    <m/>
    <m/>
    <m/>
  </r>
  <r>
    <x v="281"/>
    <s v="Taxi: Agence Energie Electrique du Congo-Bureau"/>
    <s v="Transport"/>
    <s v="Legal"/>
    <n v="1000"/>
    <n v="1.8744037053212446"/>
    <n v="533.50300000000004"/>
    <s v="Romain"/>
    <s v="RM-N-D1"/>
    <s v="PALF"/>
    <x v="7"/>
    <s v="Congo"/>
    <m/>
    <m/>
    <m/>
  </r>
  <r>
    <x v="282"/>
    <s v="Maison-Bureau"/>
    <s v="Transport"/>
    <s v="Management"/>
    <n v="1000"/>
    <n v="1.8744037053212446"/>
    <n v="533.50300000000004"/>
    <s v="DOVI"/>
    <s v="DH-N-D1"/>
    <s v="PALF"/>
    <x v="7"/>
    <s v="Congo"/>
    <m/>
    <m/>
    <m/>
  </r>
  <r>
    <x v="282"/>
    <s v="Bureau-Maison"/>
    <s v="Transport"/>
    <s v="Management"/>
    <n v="1000"/>
    <n v="1.8744037053212446"/>
    <n v="533.50300000000004"/>
    <s v="DOVI"/>
    <s v="DH-N-D1"/>
    <s v="PALF"/>
    <x v="7"/>
    <s v="Congo"/>
    <m/>
    <m/>
    <m/>
  </r>
  <r>
    <x v="282"/>
    <s v="Taxi domicile-météo,prospection"/>
    <s v="Transport"/>
    <s v="Investigation"/>
    <n v="1500"/>
    <n v="2.8116055579818666"/>
    <n v="533.50300000000004"/>
    <s v="P29"/>
    <s v="P29-N-D1"/>
    <s v="PALF"/>
    <x v="7"/>
    <s v="Congo"/>
    <m/>
    <m/>
    <m/>
  </r>
  <r>
    <x v="282"/>
    <s v="Taxi météo-moukoudjigouaka,propspection"/>
    <s v="Transport"/>
    <s v="Investigation"/>
    <n v="1000"/>
    <n v="1.8744037053212446"/>
    <n v="533.50300000000004"/>
    <s v="P29"/>
    <s v="P29-N-D1"/>
    <s v="PALF"/>
    <x v="7"/>
    <s v="Congo"/>
    <m/>
    <m/>
    <m/>
  </r>
  <r>
    <x v="282"/>
    <s v="Taxi moukoudjigouaka-diata,prospection"/>
    <s v="Transport"/>
    <s v="Investigation"/>
    <n v="1000"/>
    <n v="1.8744037053212446"/>
    <n v="533.50300000000004"/>
    <s v="P29"/>
    <s v="P29-N-D1"/>
    <s v="PALF"/>
    <x v="7"/>
    <s v="Congo"/>
    <m/>
    <m/>
    <m/>
  </r>
  <r>
    <x v="282"/>
    <s v="Taxi diata-domicile"/>
    <s v="Transport"/>
    <s v="Investigation"/>
    <n v="1500"/>
    <n v="2.8116055579818666"/>
    <n v="533.50300000000004"/>
    <s v="P29"/>
    <s v="P29-N-D1"/>
    <s v="PALF"/>
    <x v="7"/>
    <s v="Congo"/>
    <m/>
    <m/>
    <m/>
  </r>
  <r>
    <x v="282"/>
    <s v=" Achat boisson avec une cible"/>
    <s v="Trust building"/>
    <s v="Investigation"/>
    <n v="1000"/>
    <n v="1.8401363172983856"/>
    <n v="543.43799999999999"/>
    <s v="P29"/>
    <s v="P29-N-D3"/>
    <s v="PALF"/>
    <x v="8"/>
    <s v="Congo"/>
    <m/>
    <m/>
    <m/>
  </r>
  <r>
    <x v="282"/>
    <s v="Taxi : domicile - château d'eau (prospection à brazzaville)"/>
    <s v="transport"/>
    <s v="Investigation"/>
    <n v="1000"/>
    <n v="1.8744037053212446"/>
    <n v="533.50300000000004"/>
    <s v="T73"/>
    <s v="T73-N-D1"/>
    <s v="PALF"/>
    <x v="7"/>
    <s v="Congo"/>
    <m/>
    <m/>
    <m/>
  </r>
  <r>
    <x v="282"/>
    <s v="Taxi : château d'eau - kisoundji (prospection à brazzaville)"/>
    <s v="transport"/>
    <s v="Investigation"/>
    <n v="1000"/>
    <n v="1.8744037053212446"/>
    <n v="533.50300000000004"/>
    <s v="T73"/>
    <s v="T73-N-D1"/>
    <s v="PALF"/>
    <x v="7"/>
    <s v="Congo"/>
    <m/>
    <m/>
    <m/>
  </r>
  <r>
    <x v="282"/>
    <s v="Taxi : kisoundji - PK (prospection à brazzaville)"/>
    <s v="transport"/>
    <s v="Investigation"/>
    <n v="1500"/>
    <n v="2.8116055579818666"/>
    <n v="533.50300000000004"/>
    <s v="T73"/>
    <s v="T73-N-D1"/>
    <s v="PALF"/>
    <x v="7"/>
    <s v="Congo"/>
    <m/>
    <m/>
    <m/>
  </r>
  <r>
    <x v="282"/>
    <s v="Taxi :  PK - marché Diata (prospection à brazzaville)"/>
    <s v="transport"/>
    <s v="Investigation"/>
    <n v="1000"/>
    <n v="1.8744037053212446"/>
    <n v="533.50300000000004"/>
    <s v="T73"/>
    <s v="T73-N-D1"/>
    <s v="PALF"/>
    <x v="7"/>
    <s v="Congo"/>
    <m/>
    <m/>
    <m/>
  </r>
  <r>
    <x v="282"/>
    <s v="Taxi :  marché Diata - domicile (prospection à brazzaville)"/>
    <s v="transport"/>
    <s v="Investigation"/>
    <n v="1000"/>
    <n v="1.8744037053212446"/>
    <n v="533.50300000000004"/>
    <s v="T73"/>
    <s v="T73-N-D1"/>
    <s v="PALF"/>
    <x v="7"/>
    <s v="Congo"/>
    <m/>
    <m/>
    <m/>
  </r>
  <r>
    <x v="282"/>
    <s v="achat boisson ( une cible)"/>
    <s v="Trust building"/>
    <s v="Investigation"/>
    <n v="2000"/>
    <n v="3.6802726345967711"/>
    <n v="543.43799999999999"/>
    <s v="T73"/>
    <s v="T73-N-D2"/>
    <s v="PALF"/>
    <x v="8"/>
    <s v="Congo"/>
    <m/>
    <m/>
    <m/>
  </r>
  <r>
    <x v="282"/>
    <s v="Taxi : Bureau - Port ATC/ Prospection"/>
    <s v="Transport"/>
    <s v="Investigation"/>
    <n v="1500"/>
    <m/>
    <n v="533.50300000000004"/>
    <s v="IT87"/>
    <s v="IT87-N-D1"/>
    <s v="PALF"/>
    <x v="7"/>
    <s v="Congo"/>
    <m/>
    <m/>
    <m/>
  </r>
  <r>
    <x v="282"/>
    <s v="Taxi : Port ATC - Mpila/ Prospection"/>
    <s v="Transport"/>
    <s v="Investigation"/>
    <n v="1000"/>
    <m/>
    <n v="533.50300000000004"/>
    <s v="IT87"/>
    <s v="IT87-N-D1"/>
    <s v="PALF"/>
    <x v="7"/>
    <s v="Congo"/>
    <m/>
    <m/>
    <m/>
  </r>
  <r>
    <x v="282"/>
    <s v="Taxi : Mpila - Talangaï/ Prospection"/>
    <s v="Transport"/>
    <s v="Investigation"/>
    <n v="2000"/>
    <n v="3.7488074106424891"/>
    <n v="533.50300000000004"/>
    <s v="IT87"/>
    <s v="IT87-N-D1"/>
    <s v="PALF"/>
    <x v="7"/>
    <s v="Congo"/>
    <m/>
    <m/>
    <m/>
  </r>
  <r>
    <x v="282"/>
    <s v="Taxi : Talangaï - Domicile/ Retour de prospection"/>
    <s v="Transport"/>
    <s v="Investigation"/>
    <n v="3500"/>
    <n v="6.5604129686243562"/>
    <n v="533.50300000000004"/>
    <s v="IT87"/>
    <s v="IT87-N-D1"/>
    <s v="PALF"/>
    <x v="7"/>
    <s v="Congo"/>
    <m/>
    <m/>
    <m/>
  </r>
  <r>
    <x v="282"/>
    <s v="Taxi : Domicile - aéroport / prospection"/>
    <s v="Transport"/>
    <s v="Investigation"/>
    <n v="1000"/>
    <n v="1.8744037053212446"/>
    <n v="533.50300000000004"/>
    <s v="G12"/>
    <s v="G12-N-D1"/>
    <s v="PALF"/>
    <x v="7"/>
    <s v="Congo"/>
    <m/>
    <m/>
    <m/>
  </r>
  <r>
    <x v="282"/>
    <s v="Taxi: Aéroport - moukondo /prospection "/>
    <s v="Transport"/>
    <s v="Investigation"/>
    <n v="1000"/>
    <n v="1.8744037053212446"/>
    <n v="533.50300000000004"/>
    <s v="G12"/>
    <s v="G12-N-D1"/>
    <s v="PALF"/>
    <x v="7"/>
    <s v="Congo"/>
    <m/>
    <m/>
    <m/>
  </r>
  <r>
    <x v="282"/>
    <s v="Taxi: Moukondo - la  base / prospection"/>
    <s v="Transport"/>
    <s v="Investigation"/>
    <n v="1000"/>
    <n v="1.8744037053212446"/>
    <n v="533.50300000000004"/>
    <s v="G12"/>
    <s v="G12-N-D1"/>
    <s v="PALF"/>
    <x v="7"/>
    <s v="Congo"/>
    <m/>
    <m/>
    <m/>
  </r>
  <r>
    <x v="282"/>
    <s v="Taxi : La base - domicile"/>
    <s v="Transport"/>
    <s v="Investigation"/>
    <n v="1500"/>
    <n v="2.8116055579818666"/>
    <n v="533.50300000000004"/>
    <s v="G12"/>
    <s v="G12-N-D1"/>
    <s v="PALF"/>
    <x v="7"/>
    <s v="Congo"/>
    <m/>
    <m/>
    <m/>
  </r>
  <r>
    <x v="282"/>
    <s v="Taxi-moto: Hôtel Case Mbali-Boutique/Achat de la ration des prévenus"/>
    <s v="Transport"/>
    <s v="Legal"/>
    <n v="500"/>
    <n v="0.93720185266062228"/>
    <n v="533.50300000000004"/>
    <s v="Abraham"/>
    <s v="AB-N-D1"/>
    <s v="PALF"/>
    <x v="7"/>
    <s v="Congo"/>
    <m/>
    <m/>
    <m/>
  </r>
  <r>
    <x v="282"/>
    <s v="Ration des 0 2 détenus à la maison d'arrêt d'Owando/ détenus visités: NGASSAKI Dany et ELOMBO Lévy/matin"/>
    <s v="Jail visits"/>
    <s v="Legal"/>
    <n v="3000"/>
    <n v="5.6232111159637332"/>
    <n v="533.50300000000004"/>
    <s v="Abraham"/>
    <s v="AB-N-D2"/>
    <s v="PALF"/>
    <x v="7"/>
    <s v="Congo"/>
    <m/>
    <m/>
    <m/>
  </r>
  <r>
    <x v="282"/>
    <s v="Taxi-moto: Boutique-Maison d'arrêt d'Owando"/>
    <s v="Transport"/>
    <s v="Legal"/>
    <n v="250"/>
    <n v="0.46860092633031114"/>
    <n v="533.50300000000004"/>
    <s v="Abraham"/>
    <s v="AB-N-D1"/>
    <s v="PALF"/>
    <x v="7"/>
    <s v="Congo"/>
    <m/>
    <m/>
    <m/>
  </r>
  <r>
    <x v="282"/>
    <s v="Taxi-moto:Palais de justice d'Owando-Agence transbony d'Owando/ Réservation du billet"/>
    <s v="Transport"/>
    <s v="Legal"/>
    <n v="250"/>
    <n v="0.46860092633031114"/>
    <n v="533.50300000000004"/>
    <s v="Abraham"/>
    <s v="AB-N-D1"/>
    <s v="PALF"/>
    <x v="7"/>
    <s v="Congo"/>
    <m/>
    <m/>
    <m/>
  </r>
  <r>
    <x v="282"/>
    <s v="Achat billet Brazzaville-Owando/Abraham"/>
    <s v="Transport"/>
    <s v="Legal"/>
    <n v="7000"/>
    <n v="13.120825937248712"/>
    <n v="533.50300000000004"/>
    <s v="Abraham"/>
    <s v="AB-N-R4"/>
    <s v="PALF"/>
    <x v="7"/>
    <s v="Congo"/>
    <m/>
    <m/>
    <m/>
  </r>
  <r>
    <x v="282"/>
    <s v="Taxi-moto: Agence Tranbony d'Owando-Hôtel Case Mbali"/>
    <s v="Transport"/>
    <s v="Legal"/>
    <n v="500"/>
    <n v="0.93720185266062228"/>
    <n v="533.50300000000004"/>
    <s v="Abraham"/>
    <s v="AB-N-D1"/>
    <s v="PALF"/>
    <x v="7"/>
    <s v="Congo"/>
    <m/>
    <m/>
    <m/>
  </r>
  <r>
    <x v="282"/>
    <s v="Taxi-moto: Hôtel Case Mbali-Marché d'owando"/>
    <s v="Transport"/>
    <s v="Legal"/>
    <n v="500"/>
    <n v="0.93720185266062228"/>
    <n v="533.50300000000004"/>
    <s v="Abraham"/>
    <s v="AB-N-D1"/>
    <s v="PALF"/>
    <x v="7"/>
    <s v="Congo"/>
    <m/>
    <m/>
    <m/>
  </r>
  <r>
    <x v="282"/>
    <s v="Ration des  02 détenus à la maison d'arrêt d'Owando/ détenus visités: NGASSAKI Dany et ELOMBO Lévy/soir"/>
    <s v="Jail visits"/>
    <s v="Legal"/>
    <n v="3000"/>
    <n v="5.6232111159637332"/>
    <n v="533.50300000000004"/>
    <s v="Abraham"/>
    <s v="AB-N-D2"/>
    <s v="PALF"/>
    <x v="7"/>
    <s v="Congo"/>
    <m/>
    <m/>
    <m/>
  </r>
  <r>
    <x v="282"/>
    <s v="Taxi-moto: Marché d'owando-Maison d'arrêt d'Owando"/>
    <s v="Transport"/>
    <s v="Legal"/>
    <n v="250"/>
    <n v="0.46860092633031114"/>
    <n v="533.50300000000004"/>
    <s v="Abraham"/>
    <s v="AB-N-D1"/>
    <s v="PALF"/>
    <x v="7"/>
    <s v="Congo"/>
    <m/>
    <m/>
    <m/>
  </r>
  <r>
    <x v="282"/>
    <s v="Taxi-moto: Maison d'arrêt d'Owando-Hôtel Case Mbali"/>
    <s v="Transport"/>
    <s v="Legal"/>
    <n v="500"/>
    <n v="0.93720185266062228"/>
    <n v="533.50300000000004"/>
    <s v="Abraham"/>
    <s v="AB-N-D1"/>
    <s v="PALF"/>
    <x v="7"/>
    <s v="Congo"/>
    <m/>
    <m/>
    <m/>
  </r>
  <r>
    <x v="282"/>
    <s v="Taxi: Bureau-Cabinet de maitre BANZOUZI pour la signautre du contrat"/>
    <s v="Transport"/>
    <s v="Legal"/>
    <n v="1000"/>
    <n v="1.8744037053212446"/>
    <n v="533.50300000000004"/>
    <s v="Romain"/>
    <s v="RM-N-D1"/>
    <s v="PALF"/>
    <x v="7"/>
    <s v="Congo"/>
    <m/>
    <m/>
    <m/>
  </r>
  <r>
    <x v="282"/>
    <s v="Taxi: Canibet de maitre BANZOUZI-Bureau"/>
    <s v="Transport"/>
    <s v="Legal"/>
    <n v="1000"/>
    <n v="1.8744037053212446"/>
    <n v="533.50300000000004"/>
    <s v="Romain"/>
    <s v="RM-N-D1"/>
    <s v="PALF"/>
    <x v="7"/>
    <s v="Congo"/>
    <m/>
    <m/>
    <m/>
  </r>
  <r>
    <x v="283"/>
    <s v="Maison-Bureau"/>
    <s v="Transport"/>
    <s v="Management"/>
    <n v="1000"/>
    <n v="1.8744037053212446"/>
    <n v="533.50300000000004"/>
    <s v="DOVI"/>
    <s v="DH-N-D1"/>
    <s v="PALF"/>
    <x v="7"/>
    <s v="Congo"/>
    <m/>
    <m/>
    <m/>
  </r>
  <r>
    <x v="283"/>
    <s v="Bureau-Maison"/>
    <s v="Transport"/>
    <s v="Management"/>
    <n v="1000"/>
    <n v="1.8744037053212446"/>
    <n v="533.50300000000004"/>
    <s v="DOVI"/>
    <s v="DH-N-D1"/>
    <s v="PALF"/>
    <x v="7"/>
    <s v="Congo"/>
    <m/>
    <m/>
    <m/>
  </r>
  <r>
    <x v="283"/>
    <s v="Taxi:Moungali-Bureau /Repatation imprimante"/>
    <s v="Transport"/>
    <s v="Office"/>
    <n v="1000"/>
    <n v="1.8744037053212446"/>
    <n v="533.50300000000004"/>
    <s v="Parfaite"/>
    <s v="P-N-D1"/>
    <s v="PALF"/>
    <x v="7"/>
    <s v="Congo"/>
    <m/>
    <m/>
    <m/>
  </r>
  <r>
    <x v="283"/>
    <s v="Taxi bureau-agence,achet billet"/>
    <s v="Transport"/>
    <s v="Investigation"/>
    <n v="1000"/>
    <n v="1.8744037053212446"/>
    <n v="533.50300000000004"/>
    <s v="P29"/>
    <s v="P29-N-D1"/>
    <s v="PALF"/>
    <x v="7"/>
    <s v="Congo"/>
    <m/>
    <m/>
    <m/>
  </r>
  <r>
    <x v="283"/>
    <s v="Taxi agence-marien ngouabi,prospection"/>
    <s v="Transport"/>
    <s v="Investigation"/>
    <n v="1000"/>
    <n v="1.8744037053212446"/>
    <n v="533.50300000000004"/>
    <s v="P29"/>
    <s v="P29-N-D1"/>
    <s v="PALF"/>
    <x v="7"/>
    <s v="Congo"/>
    <m/>
    <m/>
    <m/>
  </r>
  <r>
    <x v="283"/>
    <s v="Taxi marien ngouabi-moungali,prospection"/>
    <s v="Transport"/>
    <s v="Investigation"/>
    <n v="1000"/>
    <n v="1.8744037053212446"/>
    <n v="533.50300000000004"/>
    <s v="P29"/>
    <s v="P29-N-D1"/>
    <s v="PALF"/>
    <x v="7"/>
    <s v="Congo"/>
    <m/>
    <m/>
    <m/>
  </r>
  <r>
    <x v="283"/>
    <s v="Taxi moungali-domicile"/>
    <s v="Transport"/>
    <s v="Investigation"/>
    <n v="1500"/>
    <n v="2.8116055579818666"/>
    <n v="533.50300000000004"/>
    <s v="P29"/>
    <s v="P29-N-D1"/>
    <s v="PALF"/>
    <x v="7"/>
    <s v="Congo"/>
    <m/>
    <m/>
    <m/>
  </r>
  <r>
    <x v="283"/>
    <s v="Achat billet Brazzaville-Dolisie/ P29"/>
    <s v="Transport"/>
    <s v="Investigation"/>
    <n v="9000"/>
    <n v="16.869633347891202"/>
    <n v="533.50300000000004"/>
    <s v="P29"/>
    <s v="P29-N-R3"/>
    <s v="PALF"/>
    <x v="7"/>
    <s v="Congo"/>
    <m/>
    <m/>
    <m/>
  </r>
  <r>
    <x v="283"/>
    <s v="Taxi : bureau - agence trans bony ( achat billet)"/>
    <s v="Transport"/>
    <s v="Investigation"/>
    <n v="1000"/>
    <n v="1.8744037053212446"/>
    <n v="533.50300000000004"/>
    <s v="T73"/>
    <s v="T73-N-D1"/>
    <s v="PALF"/>
    <x v="7"/>
    <s v="Congo"/>
    <m/>
    <m/>
    <m/>
  </r>
  <r>
    <x v="283"/>
    <s v="Achat billet : brazzaville - Pointe noire/T73"/>
    <s v="Transport"/>
    <s v="Investigation"/>
    <n v="12000"/>
    <n v="22.492844463854933"/>
    <n v="533.50300000000004"/>
    <s v="T73"/>
    <s v="T73-N-R3"/>
    <s v="PALF"/>
    <x v="7"/>
    <s v="Congo"/>
    <m/>
    <m/>
    <m/>
  </r>
  <r>
    <x v="283"/>
    <s v="Taxi : agence trans bony - madibu (prospection à Brazzaville)"/>
    <s v="Transport"/>
    <s v="Investigation"/>
    <n v="2500"/>
    <n v="4.6860092633031112"/>
    <n v="533.50300000000004"/>
    <s v="T73"/>
    <s v="T73-N-D1"/>
    <s v="PALF"/>
    <x v="7"/>
    <s v="Congo"/>
    <m/>
    <m/>
    <m/>
  </r>
  <r>
    <x v="283"/>
    <s v="Taxi : madibu - marché mweti (prospection à Brazzaville)"/>
    <s v="Transport"/>
    <s v="Investigation"/>
    <n v="2000"/>
    <n v="3.7488074106424891"/>
    <n v="533.50300000000004"/>
    <s v="T73"/>
    <s v="T73-N-D1"/>
    <s v="PALF"/>
    <x v="7"/>
    <s v="Congo"/>
    <m/>
    <m/>
    <m/>
  </r>
  <r>
    <x v="283"/>
    <s v="Taxi : marché mweti - domicile (prospection à Brazzaville)"/>
    <s v="Transport"/>
    <s v="Investigation"/>
    <n v="1000"/>
    <n v="1.8744037053212446"/>
    <n v="533.50300000000004"/>
    <s v="T73"/>
    <s v="T73-N-D1"/>
    <s v="PALF"/>
    <x v="7"/>
    <s v="Congo"/>
    <m/>
    <m/>
    <m/>
  </r>
  <r>
    <x v="283"/>
    <s v="achat boisson ( une cible)"/>
    <s v="Trust building"/>
    <s v="Investigation"/>
    <n v="1500"/>
    <n v="2.7602044759475781"/>
    <n v="543.43799999999999"/>
    <s v="T73"/>
    <s v="T73-N-D2"/>
    <s v="PALF"/>
    <x v="8"/>
    <s v="Congo"/>
    <m/>
    <m/>
    <m/>
  </r>
  <r>
    <x v="283"/>
    <s v="Taxi : Bureau - Agence Océan du nord/ Achat billet"/>
    <s v="Transport"/>
    <s v="Investigation"/>
    <n v="1000"/>
    <n v="1.8744037053212446"/>
    <n v="533.50300000000004"/>
    <s v="IT87"/>
    <s v="IT87-N-D1"/>
    <s v="PALF"/>
    <x v="7"/>
    <s v="Congo"/>
    <m/>
    <m/>
    <m/>
  </r>
  <r>
    <x v="283"/>
    <s v="Taxi : Agence Océan du nord - Poto poto/ Prospection"/>
    <s v="Transport"/>
    <s v="Investigation"/>
    <n v="1000"/>
    <n v="1.8744037053212446"/>
    <n v="533.50300000000004"/>
    <s v="IT87"/>
    <s v="IT87-N-D1"/>
    <s v="PALF"/>
    <x v="7"/>
    <s v="Congo"/>
    <m/>
    <m/>
    <m/>
  </r>
  <r>
    <x v="283"/>
    <s v="Taxi : Poto poto - Maeté/ Prospection"/>
    <s v="Transport"/>
    <s v="Investigation"/>
    <n v="2000"/>
    <n v="3.7488074106424891"/>
    <n v="533.50300000000004"/>
    <s v="IT87"/>
    <s v="IT87-N-D1"/>
    <s v="PALF"/>
    <x v="7"/>
    <s v="Congo"/>
    <m/>
    <m/>
    <m/>
  </r>
  <r>
    <x v="283"/>
    <s v="Taxi : Maeté - Domicile/ Retour de prospection"/>
    <s v="Transport"/>
    <s v="Investigation"/>
    <n v="1500"/>
    <n v="2.8116055579818666"/>
    <n v="533.50300000000004"/>
    <s v="IT87"/>
    <s v="IT87-N-D1"/>
    <s v="PALF"/>
    <x v="7"/>
    <s v="Congo"/>
    <m/>
    <m/>
    <m/>
  </r>
  <r>
    <x v="283"/>
    <s v="Taxi: Bureau - agence trans bony / achat billet"/>
    <s v="Transport"/>
    <s v="Investigation"/>
    <n v="1000"/>
    <n v="1.8744037053212446"/>
    <n v="533.50300000000004"/>
    <s v="G12"/>
    <s v="G12-N-D1"/>
    <s v="PALF"/>
    <x v="7"/>
    <s v="Congo"/>
    <m/>
    <m/>
    <m/>
  </r>
  <r>
    <x v="283"/>
    <s v="Taxi: Agence - marché total /Prospection"/>
    <s v="Transport"/>
    <s v="Investigation"/>
    <n v="1000"/>
    <n v="1.8744037053212446"/>
    <n v="533.50300000000004"/>
    <s v="G12"/>
    <s v="G12-N-D1"/>
    <s v="PALF"/>
    <x v="7"/>
    <s v="Congo"/>
    <m/>
    <m/>
    <m/>
  </r>
  <r>
    <x v="283"/>
    <s v="Taxi : Marché total - domicile"/>
    <s v="Transport"/>
    <s v="Investigation"/>
    <n v="1000"/>
    <n v="1.8744037053212446"/>
    <n v="533.50300000000004"/>
    <s v="G12"/>
    <s v="G12-N-D1"/>
    <s v="PALF"/>
    <x v="7"/>
    <s v="Congo"/>
    <m/>
    <m/>
    <m/>
  </r>
  <r>
    <x v="283"/>
    <s v="Achat billet Brazzaville - Ouesso /G12"/>
    <s v="Transport"/>
    <s v="Investigation"/>
    <n v="12000"/>
    <n v="22.492844463854933"/>
    <n v="533.50300000000004"/>
    <s v="G12"/>
    <s v="G12-N-R3"/>
    <s v="PALF"/>
    <x v="7"/>
    <s v="Congo"/>
    <m/>
    <m/>
    <m/>
  </r>
  <r>
    <x v="283"/>
    <s v="ABRAHAM-CONGO frais d'Hôtel  du 11 au 13/11/2025 à d'Owando(02 Nuitées)"/>
    <s v="Travel subsistence"/>
    <s v="Legal"/>
    <n v="30000"/>
    <n v="56.232111159637334"/>
    <n v="533.50300000000004"/>
    <s v="Abraham"/>
    <s v="AB-N-R5"/>
    <s v="PALF"/>
    <x v="7"/>
    <s v="Congo"/>
    <m/>
    <m/>
    <m/>
  </r>
  <r>
    <x v="283"/>
    <s v="Taxi-moto: Hôtel Case Mbali-Agence Transbony d'Owando"/>
    <s v="Transport"/>
    <s v="Legal"/>
    <n v="500"/>
    <n v="0.93720185266062228"/>
    <n v="533.50300000000004"/>
    <s v="Abraham"/>
    <s v="AB-N-D1"/>
    <s v="PALF"/>
    <x v="7"/>
    <s v="Congo"/>
    <m/>
    <m/>
    <m/>
  </r>
  <r>
    <x v="283"/>
    <s v="Taxi: Agence Transbony-Domicile"/>
    <s v="Transport"/>
    <s v="Legal"/>
    <n v="1000"/>
    <n v="1.8744037053212446"/>
    <n v="533.50300000000004"/>
    <s v="Abraham"/>
    <s v="AB-N-D1"/>
    <s v="PALF"/>
    <x v="7"/>
    <s v="Congo"/>
    <m/>
    <m/>
    <m/>
  </r>
  <r>
    <x v="283"/>
    <s v="Taxi: Bureau-Marché Moungali pour la réparation de l'imprimante"/>
    <s v="Transport"/>
    <s v="Legal"/>
    <n v="1000"/>
    <n v="1.8744037053212446"/>
    <n v="533.50300000000004"/>
    <s v="Romain"/>
    <s v="RM-N-D1"/>
    <s v="PALF"/>
    <x v="7"/>
    <s v="Congo"/>
    <m/>
    <m/>
    <m/>
  </r>
  <r>
    <x v="283"/>
    <s v="Taxi: Marché Moungali-Bureau"/>
    <s v="Transport"/>
    <s v="Legal"/>
    <n v="1000"/>
    <n v="1.8744037053212446"/>
    <n v="533.50300000000004"/>
    <s v="Romain"/>
    <s v="RM-N-D1"/>
    <s v="PALF"/>
    <x v="7"/>
    <s v="Congo"/>
    <m/>
    <m/>
    <m/>
  </r>
  <r>
    <x v="283"/>
    <s v="Paiement Honoraire Me LOCKO/Mois d'octobre  2025/3655348"/>
    <s v="Lawyer Fees"/>
    <s v="Legal"/>
    <n v="150000"/>
    <n v="281.16055579818669"/>
    <n v="533.50300000000004"/>
    <s v="BCI"/>
    <s v="BQ-N-R4"/>
    <s v="PALF"/>
    <x v="7"/>
    <s v="Congo"/>
    <m/>
    <m/>
    <m/>
  </r>
  <r>
    <x v="284"/>
    <s v="Maison-Bureau"/>
    <s v="Transport"/>
    <s v="Management"/>
    <n v="1000"/>
    <n v="1.8744037053212446"/>
    <n v="533.50300000000004"/>
    <s v="DOVI"/>
    <s v="DH-N-D1"/>
    <s v="PALF"/>
    <x v="7"/>
    <s v="Congo"/>
    <m/>
    <m/>
    <m/>
  </r>
  <r>
    <x v="284"/>
    <s v="Bureau-Maison"/>
    <s v="Transport"/>
    <s v="Management"/>
    <n v="1000"/>
    <n v="1.8744037053212446"/>
    <n v="533.50300000000004"/>
    <s v="DOVI"/>
    <s v="DH-N-D1"/>
    <s v="PALF"/>
    <x v="7"/>
    <s v="Congo"/>
    <m/>
    <m/>
    <m/>
  </r>
  <r>
    <x v="284"/>
    <s v="Taxi domicile-agence,départ mission"/>
    <s v="Transport"/>
    <s v="Investigation"/>
    <n v="2000"/>
    <n v="3.7488074106424891"/>
    <n v="533.50300000000004"/>
    <s v="P29"/>
    <s v="P29-N-D1"/>
    <s v="PALF"/>
    <x v="7"/>
    <s v="Congo"/>
    <m/>
    <m/>
    <m/>
  </r>
  <r>
    <x v="284"/>
    <s v="Taxi agence-hotel mabidi"/>
    <s v="Transport"/>
    <s v="Investigation"/>
    <n v="1000"/>
    <n v="1.8744037053212446"/>
    <n v="533.50300000000004"/>
    <s v="P29"/>
    <s v="P29-N-D1"/>
    <s v="PALF"/>
    <x v="7"/>
    <s v="Congo"/>
    <m/>
    <m/>
    <m/>
  </r>
  <r>
    <x v="284"/>
    <s v="Taxi hotel mabidi-hotel bel air"/>
    <s v="Transport"/>
    <s v="Investigation"/>
    <n v="1000"/>
    <n v="1.8744037053212446"/>
    <n v="533.50300000000004"/>
    <s v="P29"/>
    <s v="P29-N-D1"/>
    <s v="PALF"/>
    <x v="7"/>
    <s v="Congo"/>
    <m/>
    <m/>
    <m/>
  </r>
  <r>
    <x v="284"/>
    <s v="P29 - CONGO Ration  du 14 au 24/11/2025 à dolisie(10 Nuitées)"/>
    <s v="Travel Subsistence"/>
    <s v="Investigation"/>
    <n v="100000"/>
    <n v="187.44037053212446"/>
    <n v="533.50300000000004"/>
    <s v="P29"/>
    <s v="P29-N-D2"/>
    <s v="PALF"/>
    <x v="7"/>
    <s v="Congo"/>
    <m/>
    <m/>
    <m/>
  </r>
  <r>
    <x v="284"/>
    <s v="T73 -CONGO -Ration du 14 au 18/11/2025 à Pointe noire (04 Nuitées)"/>
    <s v="Travel subsistence"/>
    <s v="Investigation"/>
    <n v="40000"/>
    <n v="74.976148212849779"/>
    <n v="533.50300000000004"/>
    <s v="T73"/>
    <s v="T73-N-D3"/>
    <s v="PALF"/>
    <x v="7"/>
    <s v="Congo"/>
    <m/>
    <m/>
    <m/>
  </r>
  <r>
    <x v="284"/>
    <s v="Taxi : domicile - agence trans bony (départ pour pointe noire)"/>
    <s v="Transport"/>
    <s v="Investigation"/>
    <n v="1000"/>
    <n v="1.8744037053212446"/>
    <n v="533.50300000000004"/>
    <s v="T73"/>
    <s v="T73-N-D1"/>
    <s v="PALF"/>
    <x v="7"/>
    <s v="Congo"/>
    <m/>
    <m/>
    <m/>
  </r>
  <r>
    <x v="284"/>
    <s v="Taxi : agence trans bony - hotel la provenance de Pemba (arrivé à pour pointe noire)"/>
    <s v="Transport"/>
    <s v="Investigation"/>
    <n v="1000"/>
    <n v="1.8744037053212446"/>
    <n v="533.50300000000004"/>
    <s v="T73"/>
    <s v="T73-N-D1"/>
    <s v="PALF"/>
    <x v="7"/>
    <s v="Congo"/>
    <m/>
    <m/>
    <m/>
  </r>
  <r>
    <x v="284"/>
    <s v="IT87-CONGO Ration du 14 au 24/11/2025 à Dolisie"/>
    <s v="Travel Subsistence"/>
    <s v="Investigation"/>
    <n v="100000"/>
    <n v="187.44037053212446"/>
    <n v="533.50300000000004"/>
    <s v="IT87"/>
    <s v="IT87-N-D3"/>
    <s v="PALF"/>
    <x v="7"/>
    <s v="Congo"/>
    <m/>
    <m/>
    <m/>
  </r>
  <r>
    <x v="284"/>
    <s v="Taxi : Domicile - Agence Océan du nord/ Départ de Brazzaville pour Dolisie"/>
    <s v="Transport"/>
    <s v="Investigation"/>
    <n v="2000"/>
    <n v="3.7488074106424891"/>
    <n v="533.50300000000004"/>
    <s v="IT87"/>
    <s v="IT87-N-D1"/>
    <s v="PALF"/>
    <x v="7"/>
    <s v="Congo"/>
    <m/>
    <m/>
    <m/>
  </r>
  <r>
    <x v="284"/>
    <s v="Achat billet Brazzaville - Dolisie/ IT87"/>
    <s v="Transport"/>
    <s v="Investigation"/>
    <n v="9000"/>
    <n v="16.869633347891202"/>
    <n v="533.50300000000004"/>
    <s v="IT87"/>
    <s v="IT87-N-R3"/>
    <s v="PALF"/>
    <x v="7"/>
    <s v="Congo"/>
    <m/>
    <m/>
    <m/>
  </r>
  <r>
    <x v="284"/>
    <s v="Taxi : Agence Océan du nord - Hôtel Pharaon/ Arrivé à Dolisie"/>
    <s v="Transport"/>
    <s v="Investigation"/>
    <n v="1000"/>
    <n v="1.8744037053212446"/>
    <n v="533.50300000000004"/>
    <s v="IT87"/>
    <s v="IT87-N-D1"/>
    <s v="PALF"/>
    <x v="7"/>
    <s v="Congo"/>
    <m/>
    <m/>
    <m/>
  </r>
  <r>
    <x v="284"/>
    <s v="G12-CONGO Ration du 14 au 19/ 11/2025 à Ouesso, Pokola"/>
    <s v="TraVel subsistence"/>
    <s v="Investigation"/>
    <n v="50000"/>
    <n v="93.720185266062231"/>
    <n v="533.50300000000004"/>
    <s v="G12"/>
    <s v="G12-N-D3"/>
    <s v="PALF"/>
    <x v="7"/>
    <s v="Congo"/>
    <m/>
    <m/>
    <m/>
  </r>
  <r>
    <x v="284"/>
    <s v="Taxi :Domicile - agence trans bony"/>
    <s v="Transport"/>
    <s v="Investigation"/>
    <n v="1000"/>
    <n v="1.8744037053212446"/>
    <n v="533.50300000000004"/>
    <s v="G12"/>
    <s v="G12-N-D1"/>
    <s v="PALF"/>
    <x v="7"/>
    <s v="Congo"/>
    <m/>
    <m/>
    <m/>
  </r>
  <r>
    <x v="284"/>
    <s v="Taxi : Agence trans bony - hotel"/>
    <s v="Transport"/>
    <s v="Investigation"/>
    <n v="500"/>
    <n v="0.93720185266062228"/>
    <n v="533.50300000000004"/>
    <s v="G12"/>
    <s v="G12-N-D1"/>
    <s v="PALF"/>
    <x v="7"/>
    <s v="Congo"/>
    <m/>
    <m/>
    <m/>
  </r>
  <r>
    <x v="284"/>
    <s v="Taxi, Bureau PALF-Radio Citoyenne des jeunes"/>
    <s v="Transport"/>
    <s v="Media"/>
    <n v="1000"/>
    <n v="1.8744037053212446"/>
    <n v="533.50300000000004"/>
    <s v="Evariste"/>
    <s v="EV-N-D1"/>
    <s v="PALF"/>
    <x v="7"/>
    <s v="Congo"/>
    <m/>
    <m/>
    <m/>
  </r>
  <r>
    <x v="284"/>
    <s v="Taxi, Radio Citoyenne des Jeunes-tribune-eco.com"/>
    <s v="Transport"/>
    <s v="Media"/>
    <n v="1000"/>
    <n v="1.8744037053212446"/>
    <n v="533.50300000000004"/>
    <s v="Evariste"/>
    <s v="EV-N-D1"/>
    <s v="PALF"/>
    <x v="7"/>
    <s v="Congo"/>
    <m/>
    <m/>
    <m/>
  </r>
  <r>
    <x v="284"/>
    <s v="Taxi, tribune-eco.com-Domicile"/>
    <s v="Transport"/>
    <s v="Media"/>
    <n v="1000"/>
    <n v="1.8744037053212446"/>
    <n v="533.50300000000004"/>
    <s v="Evariste"/>
    <s v="EV-N-D1"/>
    <s v="PALF"/>
    <x v="7"/>
    <s v="Congo"/>
    <m/>
    <m/>
    <m/>
  </r>
  <r>
    <x v="284"/>
    <s v="Bonus media portant sur l'annonce audience du 20 novembre 2025 au TGI de Madingou  pièces presse Internet (https://www.panoramik-actu.com)"/>
    <s v="Bonus to media officer"/>
    <s v="Media"/>
    <n v="6000"/>
    <n v="11.246422231927466"/>
    <n v="533.50300000000004"/>
    <s v="Evariste"/>
    <s v="CA-N-D8"/>
    <s v="PALF"/>
    <x v="7"/>
    <s v="Congo"/>
    <m/>
    <m/>
    <m/>
  </r>
  <r>
    <x v="284"/>
    <s v="Bonus media portant sur l'annonce audience du 20 novembre 2025 au TGI de Madingou  pièces presse Internet(https://www.tribune-eco.cg)"/>
    <s v="Bonus to media officer"/>
    <s v="Media"/>
    <n v="6000"/>
    <n v="11.246422231927466"/>
    <n v="533.50300000000004"/>
    <s v="Evariste"/>
    <s v="CA-N-D8"/>
    <s v="PALF"/>
    <x v="7"/>
    <s v="Congo"/>
    <m/>
    <m/>
    <m/>
  </r>
  <r>
    <x v="284"/>
    <s v="Bonus media portant sur l'annonce audience du 20 novembre 2025 au TGI de Madingou  pièces presse Internet(https://www.groupecongomedias.com)"/>
    <s v="Bonus to media officer"/>
    <s v="Media"/>
    <n v="6000"/>
    <n v="11.246422231927466"/>
    <n v="533.50300000000004"/>
    <s v="Evariste"/>
    <s v="CA-N-D8"/>
    <s v="PALF"/>
    <x v="7"/>
    <s v="Congo"/>
    <m/>
    <m/>
    <m/>
  </r>
  <r>
    <x v="284"/>
    <s v="Bonus media portant sur l'annonce audience du 20 novembre 2025 au TGI de Madingou  pièces presse Internet (https://www.labreveonline.com)"/>
    <s v="Bonus to media officer"/>
    <s v="Media"/>
    <n v="6000"/>
    <n v="11.246422231927466"/>
    <n v="533.50300000000004"/>
    <s v="Evariste"/>
    <s v="CA-N-D8"/>
    <s v="PALF"/>
    <x v="7"/>
    <s v="Congo"/>
    <m/>
    <m/>
    <m/>
  </r>
  <r>
    <x v="284"/>
    <s v="Bonus media portant sur l'annonce audience du 20 novembre 2025 au TGI de Madingou  pièces presse Internet (https://www.adiac-congo.com)"/>
    <s v="Bonus to media officer"/>
    <s v="Media"/>
    <n v="6000"/>
    <n v="11.246422231927466"/>
    <n v="533.50300000000004"/>
    <s v="Evariste"/>
    <s v="CA-N-D8"/>
    <s v="PALF"/>
    <x v="7"/>
    <s v="Congo"/>
    <m/>
    <m/>
    <m/>
  </r>
  <r>
    <x v="284"/>
    <s v="Bonus media portant sur l'annonce audience du 20 novembre 2025 au TGI de Madingou  pièces presse Internet (https://www.lasemaineafricaine.info)"/>
    <s v="Bonus to media officer"/>
    <s v="Media"/>
    <n v="6000"/>
    <n v="11.246422231927466"/>
    <n v="533.50300000000004"/>
    <s v="Evariste"/>
    <s v="CA-N-D8"/>
    <s v="PALF"/>
    <x v="7"/>
    <s v="Congo"/>
    <m/>
    <m/>
    <m/>
  </r>
  <r>
    <x v="284"/>
    <s v="Bonus media portant sur l'annonce audience du 20 novembre 2025 au TGI de Madingou  pièces presse Internet (https://www.matinlibre.cg)"/>
    <s v="Bonus to media officer"/>
    <s v="Media"/>
    <n v="6000"/>
    <n v="11.246422231927466"/>
    <n v="533.50300000000004"/>
    <s v="Evariste"/>
    <s v="CA-N-D8"/>
    <s v="PALF"/>
    <x v="7"/>
    <s v="Congo"/>
    <m/>
    <m/>
    <m/>
  </r>
  <r>
    <x v="284"/>
    <s v="Bonus media portant sur l'annonce audience du 20 novembre 2025 au TGI de Madingou  pièces presse Internet (https://www.firstmediac.com)"/>
    <s v="Bonus to media officer"/>
    <s v="Media"/>
    <n v="6000"/>
    <n v="11.246422231927466"/>
    <n v="533.50300000000004"/>
    <s v="Evariste"/>
    <s v="CA-N-D8"/>
    <s v="PALF"/>
    <x v="7"/>
    <s v="Congo"/>
    <m/>
    <m/>
    <m/>
  </r>
  <r>
    <x v="284"/>
    <s v="Bonus media portant sur l'annonce audience du 20 novembre 2025 au TGI de Madingou  pièces presse Internet (https://www.journaldebrazza.com)"/>
    <s v="Bonus to media officer"/>
    <s v="Media"/>
    <n v="6000"/>
    <n v="11.246422231927466"/>
    <n v="533.50300000000004"/>
    <s v="Evariste"/>
    <s v="CA-N-D8"/>
    <s v="PALF"/>
    <x v="7"/>
    <s v="Congo"/>
    <m/>
    <m/>
    <m/>
  </r>
  <r>
    <x v="284"/>
    <s v="Bonus media portant sur l'annonce audience du 20 novembre 2025 au TGI de Madingou  pièces presse Internet (https://vmmedias.info)"/>
    <s v="Bonus to media officer"/>
    <s v="Media"/>
    <n v="6000"/>
    <n v="11.246422231927466"/>
    <n v="533.50300000000004"/>
    <s v="Evariste"/>
    <s v="CA-N-D8"/>
    <s v="PALF"/>
    <x v="7"/>
    <s v="Congo"/>
    <m/>
    <m/>
    <m/>
  </r>
  <r>
    <x v="284"/>
    <s v="Bonus media portant sur l'annonce audience du 20 novembre 2025 au TGI de Madingou  pièces presse Internet (https://aci.cg)"/>
    <s v="Bonus to media officer"/>
    <s v="Media"/>
    <n v="6000"/>
    <n v="11.246422231927466"/>
    <n v="533.50300000000004"/>
    <s v="Evariste"/>
    <s v="CA-N-D8"/>
    <s v="PALF"/>
    <x v="7"/>
    <s v="Congo"/>
    <m/>
    <m/>
    <m/>
  </r>
  <r>
    <x v="284"/>
    <s v="Bonus media portant sur l'annonce audience du 20 novembre 2025 au TGI de Madingou  pièces presse Internet (https://lesechos-congobrazza.com/)"/>
    <s v="Bonus to media officer"/>
    <s v="Media"/>
    <n v="6000"/>
    <n v="11.246422231927466"/>
    <n v="533.50300000000004"/>
    <s v="Evariste"/>
    <s v="CA-N-D8"/>
    <s v="PALF"/>
    <x v="7"/>
    <s v="Congo"/>
    <m/>
    <m/>
    <m/>
  </r>
  <r>
    <x v="284"/>
    <s v="Bonus media portant sur l'annonce audience du 20 novembre 2025 au TGI de Madingou  pièces presse Internet (https://opinionpublique.cg)"/>
    <s v="Bonus to media officer"/>
    <s v="Media"/>
    <n v="6000"/>
    <n v="11.246422231927466"/>
    <n v="533.50300000000004"/>
    <s v="Evariste"/>
    <s v="CA-N-D8"/>
    <s v="PALF"/>
    <x v="7"/>
    <s v="Congo"/>
    <m/>
    <m/>
    <m/>
  </r>
  <r>
    <x v="284"/>
    <s v="Bonus media portant sur l'annonce audience du 20 novembre 2025 au TGI de Madingou  pièces presse Internet (https://www.lhorizonafricain.com)"/>
    <s v="Bonus to media officer"/>
    <s v="Media"/>
    <n v="6000"/>
    <n v="11.246422231927466"/>
    <n v="533.50300000000004"/>
    <s v="Evariste"/>
    <s v="CA-N-D8"/>
    <s v="PALF"/>
    <x v="7"/>
    <s v="Congo"/>
    <m/>
    <m/>
    <m/>
  </r>
  <r>
    <x v="284"/>
    <s v="Bonus media portant sur l'annonce audience du 20 novembre 2025 au TGI de Madingou pieces presse papier(les depêches de brazzaville)"/>
    <s v="Bonus to media officer"/>
    <s v="Media"/>
    <n v="10000"/>
    <n v="18.744037053212445"/>
    <n v="533.50300000000004"/>
    <s v="Evariste"/>
    <s v="CA-N-D9"/>
    <s v="PALF"/>
    <x v="7"/>
    <s v="Congo"/>
    <m/>
    <m/>
    <m/>
  </r>
  <r>
    <x v="284"/>
    <s v="Bonus media portant sur l'annonce audience du 20 novembre 2025 au TGI de Madingou pieces presse papier( l'horizion africain)"/>
    <s v="Bonus to media officer"/>
    <s v="Media"/>
    <n v="10000"/>
    <n v="18.744037053212445"/>
    <n v="533.50300000000004"/>
    <s v="Evariste"/>
    <s v="CA-N-D9"/>
    <s v="PALF"/>
    <x v="7"/>
    <s v="Congo"/>
    <m/>
    <m/>
    <m/>
  </r>
  <r>
    <x v="284"/>
    <s v="Bonus media portant sur l'annonce audience du 20 novembre 2025 au TGI de Madingou pieces presse papier(l'agence congolaise de l'information)"/>
    <s v="Bonus to media officer"/>
    <s v="Media"/>
    <n v="10000"/>
    <n v="18.744037053212445"/>
    <n v="533.50300000000004"/>
    <s v="Evariste"/>
    <s v="CA-N-D9"/>
    <s v="PALF"/>
    <x v="7"/>
    <s v="Congo"/>
    <m/>
    <m/>
    <m/>
  </r>
  <r>
    <x v="284"/>
    <s v="Bonus media portant sur l'annonce audience du 20 novembre 2025 au TGI de Madingou pieces presse papier(Opinion Publique,)"/>
    <s v="Bonus to media officer"/>
    <s v="Media"/>
    <n v="10000"/>
    <n v="18.744037053212445"/>
    <n v="533.50300000000004"/>
    <s v="Evariste"/>
    <s v="CA-N-D9"/>
    <s v="PALF"/>
    <x v="7"/>
    <s v="Congo"/>
    <m/>
    <m/>
    <m/>
  </r>
  <r>
    <x v="284"/>
    <s v="Bonus media portant sur l'annonce audience du 20 novembre 2025 au TGI de Madingou pieces presse papier (La semaine Africaine)"/>
    <s v="Bonus to media officer"/>
    <s v="Media"/>
    <n v="10000"/>
    <n v="18.744037053212445"/>
    <n v="533.50300000000004"/>
    <s v="Evariste"/>
    <s v="CA-N-D9"/>
    <s v="PALF"/>
    <x v="7"/>
    <s v="Congo"/>
    <m/>
    <m/>
    <m/>
  </r>
  <r>
    <x v="284"/>
    <s v="Bonus media portant sur l'annonce audience du 20 novembre 2025 au TGI de Madingou presse Radio citoyenne des jeunes"/>
    <s v="Bonus to media officer"/>
    <s v="Media"/>
    <n v="6000"/>
    <n v="11.246422231927466"/>
    <n v="533.50300000000004"/>
    <s v="Evariste"/>
    <s v="CA-N-D10"/>
    <s v="PALF"/>
    <x v="7"/>
    <s v="Congo"/>
    <m/>
    <m/>
    <m/>
  </r>
  <r>
    <x v="284"/>
    <s v="Bonus media portant sur l'annonce audience du 20 novembre 2025 au TGI de Madingou presse Radio Liberté Kituba"/>
    <s v="Bonus to media officer"/>
    <s v="Media"/>
    <n v="6000"/>
    <n v="11.246422231927466"/>
    <n v="533.50300000000004"/>
    <s v="Evariste"/>
    <s v="CA-N-D10"/>
    <s v="PALF"/>
    <x v="7"/>
    <s v="Congo"/>
    <m/>
    <m/>
    <m/>
  </r>
  <r>
    <x v="284"/>
    <s v="Bonus media portant sur l'annonce audience du 20 novembre 2025 au TGI de Madingou presse Radio Liberté Français"/>
    <s v="Bonus to media officer"/>
    <s v="Media"/>
    <n v="6000"/>
    <n v="11.246422231927466"/>
    <n v="533.50300000000004"/>
    <s v="Evariste"/>
    <s v="CA-N-D10"/>
    <s v="PALF"/>
    <x v="7"/>
    <s v="Congo"/>
    <m/>
    <m/>
    <m/>
  </r>
  <r>
    <x v="284"/>
    <s v="Bonus media portant sur l'annonce audience du 20 novembre 2025 au TGI de Madingou presse Radio Liberté Lingala"/>
    <s v="Bonus to media officer"/>
    <s v="Media"/>
    <n v="6000"/>
    <n v="11.246422231927466"/>
    <n v="533.50300000000004"/>
    <s v="Evariste"/>
    <s v="CA-N-D10"/>
    <s v="PALF"/>
    <x v="7"/>
    <s v="Congo"/>
    <m/>
    <m/>
    <m/>
  </r>
  <r>
    <x v="285"/>
    <s v="Taxi hotel-mangadzi,repérage"/>
    <s v="Transport"/>
    <s v="Investigation"/>
    <n v="1000"/>
    <n v="1.8744037053212446"/>
    <n v="533.50300000000004"/>
    <s v="P29"/>
    <s v="P29-N-D1"/>
    <s v="PALF"/>
    <x v="7"/>
    <s v="Congo"/>
    <m/>
    <m/>
    <m/>
  </r>
  <r>
    <x v="285"/>
    <s v="Taxi mangazi-cercle,repérage"/>
    <s v="Transport"/>
    <s v="Investigation"/>
    <n v="1000"/>
    <n v="1.8744037053212446"/>
    <n v="533.50300000000004"/>
    <s v="P29"/>
    <s v="P29-N-D1"/>
    <s v="PALF"/>
    <x v="7"/>
    <s v="Congo"/>
    <m/>
    <m/>
    <m/>
  </r>
  <r>
    <x v="285"/>
    <s v="Taxi cercle-mambo,repérage"/>
    <s v="Transport"/>
    <s v="Investigation"/>
    <n v="1000"/>
    <n v="1.8744037053212446"/>
    <n v="533.50300000000004"/>
    <s v="P29"/>
    <s v="P29-N-D1"/>
    <s v="PALF"/>
    <x v="7"/>
    <s v="Congo"/>
    <m/>
    <m/>
    <m/>
  </r>
  <r>
    <x v="285"/>
    <s v="Taxi mambo-tahiti,repérage"/>
    <s v="Transport"/>
    <s v="Investigation"/>
    <n v="1000"/>
    <n v="1.8744037053212446"/>
    <n v="533.50300000000004"/>
    <s v="P29"/>
    <s v="P29-N-D1"/>
    <s v="PALF"/>
    <x v="7"/>
    <s v="Congo"/>
    <m/>
    <m/>
    <m/>
  </r>
  <r>
    <x v="285"/>
    <s v="Taxi tahiti-hotel"/>
    <s v="Transport"/>
    <s v="Investigation"/>
    <n v="1000"/>
    <n v="1.8744037053212446"/>
    <n v="533.50300000000004"/>
    <s v="P29"/>
    <s v="P29-N-D1"/>
    <s v="PALF"/>
    <x v="7"/>
    <s v="Congo"/>
    <m/>
    <m/>
    <m/>
  </r>
  <r>
    <x v="285"/>
    <s v="Taxi : hotel la provenance de Pemba - Mpaka (prospection à pour pointe noire)"/>
    <s v="Transport"/>
    <s v="Investigation"/>
    <n v="1000"/>
    <n v="1.8744037053212446"/>
    <n v="533.50300000000004"/>
    <s v="T73"/>
    <s v="T73-N-D1"/>
    <s v="PALF"/>
    <x v="7"/>
    <s v="Congo"/>
    <m/>
    <m/>
    <m/>
  </r>
  <r>
    <x v="285"/>
    <s v="Taxi : Mpaka - fond tie tie (prospection à pour pointe noire)"/>
    <s v="Transport"/>
    <s v="Investigation"/>
    <n v="1000"/>
    <n v="1.8744037053212446"/>
    <n v="533.50300000000004"/>
    <s v="T73"/>
    <s v="T73-N-D1"/>
    <s v="PALF"/>
    <x v="7"/>
    <s v="Congo"/>
    <m/>
    <m/>
    <m/>
  </r>
  <r>
    <x v="285"/>
    <s v="Taxi : fond tie tie - vindoulou (prospection à pour pointe noire)"/>
    <s v="Transport"/>
    <s v="Investigation"/>
    <n v="2000"/>
    <n v="3.7488074106424891"/>
    <n v="533.50300000000004"/>
    <s v="T73"/>
    <s v="T73-N-D1"/>
    <s v="PALF"/>
    <x v="7"/>
    <s v="Congo"/>
    <m/>
    <m/>
    <m/>
  </r>
  <r>
    <x v="285"/>
    <s v="Taxi : vindoulou- hotel la providence de pemba (prospection à pour pointe noire)"/>
    <s v="Transport"/>
    <s v="Investigation"/>
    <n v="2000"/>
    <n v="3.7488074106424891"/>
    <n v="533.50300000000004"/>
    <s v="T73"/>
    <s v="T73-N-D1"/>
    <s v="PALF"/>
    <x v="7"/>
    <s v="Congo"/>
    <m/>
    <m/>
    <m/>
  </r>
  <r>
    <x v="285"/>
    <s v="Achat boissons/deux cibles"/>
    <s v="Trust building"/>
    <s v="Investigation"/>
    <n v="2000"/>
    <n v="3.6802726345967711"/>
    <n v="543.43799999999999"/>
    <s v="T73"/>
    <s v="T73-N-D2"/>
    <s v="PALF"/>
    <x v="8"/>
    <s v="Congo"/>
    <m/>
    <m/>
    <m/>
  </r>
  <r>
    <x v="285"/>
    <s v="G12-CONGO Frais d'hotel du 14 au 15 /11/2025 à  Ouesso (01 nuitée)"/>
    <s v="TraVel subsistence"/>
    <s v="Investigation"/>
    <n v="15000"/>
    <n v="28.116055579818667"/>
    <n v="533.50300000000004"/>
    <s v="G12"/>
    <s v="G12-N-R4"/>
    <s v="PALF"/>
    <x v="7"/>
    <s v="Congo"/>
    <m/>
    <m/>
    <m/>
  </r>
  <r>
    <x v="285"/>
    <s v="Achat billet Ouesso - Pokola/G12"/>
    <s v="Transport"/>
    <s v="Investigation"/>
    <n v="5000"/>
    <n v="9.3720185266062224"/>
    <n v="533.50300000000004"/>
    <s v="G12"/>
    <s v="G12-N-R5"/>
    <s v="PALF"/>
    <x v="7"/>
    <s v="Congo"/>
    <m/>
    <m/>
    <m/>
  </r>
  <r>
    <x v="285"/>
    <s v="Taxi moto: Gare routière - hotel"/>
    <s v="Transport"/>
    <s v="Investigation"/>
    <n v="500"/>
    <n v="0.93720185266062228"/>
    <n v="533.50300000000004"/>
    <s v="G12"/>
    <s v="G12-N-D1"/>
    <s v="PALF"/>
    <x v="7"/>
    <s v="Congo"/>
    <m/>
    <m/>
    <m/>
  </r>
  <r>
    <x v="285"/>
    <s v="Taxi moto : Hotel - marché /prospection"/>
    <s v="Transport"/>
    <s v="Investigation"/>
    <n v="500"/>
    <n v="0.93720185266062228"/>
    <n v="533.50300000000004"/>
    <s v="G12"/>
    <s v="G12-N-D1"/>
    <s v="PALF"/>
    <x v="7"/>
    <s v="Congo"/>
    <m/>
    <m/>
    <m/>
  </r>
  <r>
    <x v="285"/>
    <s v="Achat boissonavec une  cible"/>
    <s v="Trust building"/>
    <s v="Investigation"/>
    <n v="2000"/>
    <n v="3.6802726345967711"/>
    <n v="543.43799999999999"/>
    <s v="G12"/>
    <s v="G12-N-D2"/>
    <s v="PALF"/>
    <x v="8"/>
    <s v="Congo"/>
    <m/>
    <m/>
    <m/>
  </r>
  <r>
    <x v="285"/>
    <s v="Taxi moto: Marché - hotel"/>
    <s v="Transport"/>
    <s v="Investigation"/>
    <n v="500"/>
    <n v="0.93720185266062228"/>
    <n v="533.50300000000004"/>
    <s v="G12"/>
    <s v="G12-N-D1"/>
    <s v="PALF"/>
    <x v="7"/>
    <s v="Congo"/>
    <m/>
    <m/>
    <m/>
  </r>
  <r>
    <x v="286"/>
    <s v="Taxi hotel-bacongo,repérage"/>
    <s v="Transport"/>
    <s v="Investigation"/>
    <n v="1000"/>
    <n v="1.8744037053212446"/>
    <n v="533.50300000000004"/>
    <s v="P29"/>
    <s v="P29-N-D1"/>
    <s v="PALF"/>
    <x v="7"/>
    <s v="Congo"/>
    <m/>
    <m/>
    <m/>
  </r>
  <r>
    <x v="286"/>
    <s v="Taxi bacongo-tsila,repérage"/>
    <s v="Transport"/>
    <s v="Investigation"/>
    <n v="1500"/>
    <n v="2.8116055579818666"/>
    <n v="533.50300000000004"/>
    <s v="P29"/>
    <s v="P29-N-D1"/>
    <s v="PALF"/>
    <x v="7"/>
    <s v="Congo"/>
    <m/>
    <m/>
    <m/>
  </r>
  <r>
    <x v="286"/>
    <s v="Taxi tsila-cv,repérage"/>
    <s v="Transport"/>
    <s v="Investigation"/>
    <n v="1000"/>
    <n v="1.8744037053212446"/>
    <n v="533.50300000000004"/>
    <s v="P29"/>
    <s v="P29-N-D1"/>
    <s v="PALF"/>
    <x v="7"/>
    <s v="Congo"/>
    <m/>
    <m/>
    <m/>
  </r>
  <r>
    <x v="286"/>
    <s v="Taxi cv-la frontière;repérage"/>
    <s v="Transport"/>
    <s v="Investigation"/>
    <n v="1000"/>
    <n v="1.8744037053212446"/>
    <n v="533.50300000000004"/>
    <s v="P29"/>
    <s v="P29-N-D1"/>
    <s v="PALF"/>
    <x v="7"/>
    <s v="Congo"/>
    <m/>
    <m/>
    <m/>
  </r>
  <r>
    <x v="286"/>
    <s v="Taxi la frontière-sab,repérage"/>
    <s v="Transport"/>
    <s v="Investigation"/>
    <n v="1000"/>
    <n v="1.8744037053212446"/>
    <n v="533.50300000000004"/>
    <s v="P29"/>
    <s v="P29-N-D1"/>
    <s v="PALF"/>
    <x v="7"/>
    <s v="Congo"/>
    <m/>
    <m/>
    <m/>
  </r>
  <r>
    <x v="286"/>
    <s v="Taxi sab-hotel"/>
    <s v="Transport"/>
    <s v="Investigation"/>
    <n v="1000"/>
    <n v="1.8744037053212446"/>
    <n v="533.50300000000004"/>
    <s v="P29"/>
    <s v="P29-N-D1"/>
    <s v="PALF"/>
    <x v="7"/>
    <s v="Congo"/>
    <m/>
    <m/>
    <m/>
  </r>
  <r>
    <x v="286"/>
    <s v="T73 - CONGO Frais d'hotel du 14 au 16/11/2025 à Pointe noire(02 Nuitées)"/>
    <s v="Travel subsistence"/>
    <s v="Investigation"/>
    <n v="30000"/>
    <n v="56.232111159637334"/>
    <n v="533.50300000000004"/>
    <s v="T73"/>
    <s v="T73-N-R4"/>
    <s v="PALF"/>
    <x v="7"/>
    <s v="Congo"/>
    <m/>
    <m/>
    <m/>
  </r>
  <r>
    <x v="286"/>
    <s v="Taxi : hotel la provenance - siafoumou (départ pour madingou kayes)"/>
    <s v="Transport"/>
    <s v="Investigation"/>
    <n v="1500"/>
    <n v="2.8116055579818666"/>
    <n v="533.50300000000004"/>
    <s v="T73"/>
    <s v="T73-N-D1"/>
    <s v="PALF"/>
    <x v="7"/>
    <s v="Congo"/>
    <m/>
    <m/>
    <m/>
  </r>
  <r>
    <x v="286"/>
    <s v="Achat billet : Pointe - noire - Madingo kayes/T73"/>
    <s v="Transport"/>
    <s v="Investigation"/>
    <n v="7000"/>
    <n v="13.120825937248712"/>
    <n v="533.50300000000004"/>
    <s v="T73"/>
    <s v="T73-N-R5"/>
    <s v="PALF"/>
    <x v="7"/>
    <s v="Congo"/>
    <m/>
    <m/>
    <m/>
  </r>
  <r>
    <x v="286"/>
    <s v="Taxi moto : parking - hotel lewezo ( rencontre avec la cible)"/>
    <s v="Transport"/>
    <s v="Investigation"/>
    <n v="500"/>
    <n v="0.93720185266062228"/>
    <n v="533.50300000000004"/>
    <s v="T73"/>
    <s v="T73-N-D1"/>
    <s v="PALF"/>
    <x v="7"/>
    <s v="Congo"/>
    <m/>
    <m/>
    <m/>
  </r>
  <r>
    <x v="286"/>
    <s v="Taxi moto : hotel - quartier louango ( rencontre avec la cible)"/>
    <s v="Transport"/>
    <s v="Investigation"/>
    <n v="500"/>
    <n v="0.93720185266062228"/>
    <n v="533.50300000000004"/>
    <s v="T73"/>
    <s v="T73-N-D1"/>
    <s v="PALF"/>
    <x v="7"/>
    <s v="Congo"/>
    <m/>
    <m/>
    <m/>
  </r>
  <r>
    <x v="286"/>
    <s v="Taxi moto : quartier louango - domicile de matondo ( rencontre avec la cible)"/>
    <s v="Transport"/>
    <s v="Investigation"/>
    <n v="500"/>
    <n v="0.93720185266062228"/>
    <n v="533.50300000000004"/>
    <s v="T73"/>
    <s v="T73-N-D1"/>
    <s v="PALF"/>
    <x v="7"/>
    <s v="Congo"/>
    <m/>
    <m/>
    <m/>
  </r>
  <r>
    <x v="286"/>
    <s v="Taxi moto : domicile de matondo - marché ( rencontre avec la cible)"/>
    <s v="Transport"/>
    <s v="Investigation"/>
    <n v="500"/>
    <n v="0.93720185266062228"/>
    <n v="533.50300000000004"/>
    <s v="T73"/>
    <s v="T73-N-D1"/>
    <s v="PALF"/>
    <x v="7"/>
    <s v="Congo"/>
    <m/>
    <m/>
    <m/>
  </r>
  <r>
    <x v="286"/>
    <s v="Taxi moto : marché -  hotel (fin de la rencontre)"/>
    <s v="Transport"/>
    <s v="Investigation"/>
    <n v="500"/>
    <n v="0.93720185266062228"/>
    <n v="533.50300000000004"/>
    <s v="T73"/>
    <s v="T73-N-D1"/>
    <s v="PALF"/>
    <x v="7"/>
    <s v="Congo"/>
    <m/>
    <m/>
    <m/>
  </r>
  <r>
    <x v="286"/>
    <s v="achat boissons/deux cible"/>
    <s v="Trust building"/>
    <s v="Investigation"/>
    <n v="5000"/>
    <n v="9.2006815864919282"/>
    <n v="543.43799999999999"/>
    <s v="T73"/>
    <s v="T73-N-D2"/>
    <s v="PALF"/>
    <x v="8"/>
    <s v="Congo"/>
    <m/>
    <m/>
    <m/>
  </r>
  <r>
    <x v="286"/>
    <s v="Taxi : Hôtel Mack-Solo - Grand marché/ Rencontrer la cible"/>
    <s v="Transport"/>
    <s v="Investigation"/>
    <n v="1000"/>
    <n v="1.8744037053212446"/>
    <n v="533.50300000000004"/>
    <s v="IT87"/>
    <s v="IT87-N-D1"/>
    <s v="PALF"/>
    <x v="7"/>
    <s v="Congo"/>
    <m/>
    <m/>
    <m/>
  </r>
  <r>
    <x v="286"/>
    <s v="Achat boissons et Repas avec la cible"/>
    <s v="Trust Building"/>
    <s v="Investigation"/>
    <n v="10000"/>
    <n v="18.401363172983856"/>
    <n v="543.43799999999999"/>
    <s v="IT87"/>
    <s v="IT87-N-D2"/>
    <s v="PALF"/>
    <x v="8"/>
    <s v="Congo"/>
    <m/>
    <m/>
    <m/>
  </r>
  <r>
    <x v="286"/>
    <s v="Taxi : Grand marché - 4 points cardinaux/ Extraction"/>
    <s v="Transport"/>
    <s v="Investigation"/>
    <n v="2000"/>
    <n v="3.7488074106424891"/>
    <n v="533.50300000000004"/>
    <s v="IT87"/>
    <s v="IT87-N-D1"/>
    <s v="PALF"/>
    <x v="7"/>
    <s v="Congo"/>
    <m/>
    <m/>
    <m/>
  </r>
  <r>
    <x v="286"/>
    <s v="Taxi : 4 points cardinaux - Quartier la frontière/ Extraction"/>
    <s v="Transport"/>
    <s v="Investigation"/>
    <n v="2000"/>
    <n v="3.7488074106424891"/>
    <n v="533.50300000000004"/>
    <s v="IT87"/>
    <s v="IT87-N-D1"/>
    <s v="PALF"/>
    <x v="7"/>
    <s v="Congo"/>
    <m/>
    <m/>
    <m/>
  </r>
  <r>
    <x v="286"/>
    <s v="Taxi : Quartier la frontière - Hôtel Mack-Solo/ Retour de la rencontre avec la cible"/>
    <s v="Transport"/>
    <s v="Investigation"/>
    <n v="1000"/>
    <n v="1.8744037053212446"/>
    <n v="533.50300000000004"/>
    <s v="IT87"/>
    <s v="IT87-N-D1"/>
    <s v="PALF"/>
    <x v="7"/>
    <s v="Congo"/>
    <m/>
    <m/>
    <m/>
  </r>
  <r>
    <x v="286"/>
    <s v="Taxi moto : Hotel - la gare /prospection"/>
    <s v="Transport"/>
    <s v="Investigation"/>
    <n v="500"/>
    <n v="0.93720185266062228"/>
    <n v="533.50300000000004"/>
    <s v="G12"/>
    <s v="G12-N-D1"/>
    <s v="PALF"/>
    <x v="7"/>
    <s v="Congo"/>
    <m/>
    <m/>
    <m/>
  </r>
  <r>
    <x v="286"/>
    <s v="Taxi moto : La gare - l'église catholique/prospection"/>
    <s v="Transport"/>
    <s v="Investigation"/>
    <n v="500"/>
    <n v="0.93720185266062228"/>
    <n v="533.50300000000004"/>
    <s v="G12"/>
    <s v="G12-N-D1"/>
    <s v="PALF"/>
    <x v="7"/>
    <s v="Congo"/>
    <m/>
    <m/>
    <m/>
  </r>
  <r>
    <x v="286"/>
    <s v="Taxi moto: L'église catholique - domicile de la cible"/>
    <s v="Transport"/>
    <s v="Investigation"/>
    <n v="500"/>
    <n v="0.93720185266062228"/>
    <n v="533.50300000000004"/>
    <s v="G12"/>
    <s v="G12-N-D1"/>
    <s v="PALF"/>
    <x v="7"/>
    <s v="Congo"/>
    <m/>
    <m/>
    <m/>
  </r>
  <r>
    <x v="286"/>
    <s v="Taxi moto : Domicile de la cible - le marché / extraction"/>
    <s v="Transport"/>
    <s v="Investigation"/>
    <n v="500"/>
    <n v="0.93720185266062228"/>
    <n v="533.50300000000004"/>
    <s v="G12"/>
    <s v="G12-N-D1"/>
    <s v="PALF"/>
    <x v="7"/>
    <s v="Congo"/>
    <m/>
    <m/>
    <m/>
  </r>
  <r>
    <x v="286"/>
    <s v="Taxi moto : Marché - l'hopital /extraction"/>
    <s v="Transport"/>
    <s v="Investigation"/>
    <n v="500"/>
    <n v="0.93720185266062228"/>
    <n v="533.50300000000004"/>
    <s v="G12"/>
    <s v="G12-N-D1"/>
    <s v="PALF"/>
    <x v="7"/>
    <s v="Congo"/>
    <m/>
    <m/>
    <m/>
  </r>
  <r>
    <x v="286"/>
    <s v="Achat boissonavec une  cible"/>
    <s v="Trust building"/>
    <s v="Investigation"/>
    <n v="2000"/>
    <n v="3.6802726345967711"/>
    <n v="543.43799999999999"/>
    <s v="G12"/>
    <s v="G12-N-D2"/>
    <s v="PALF"/>
    <x v="8"/>
    <s v="Congo"/>
    <m/>
    <m/>
    <m/>
  </r>
  <r>
    <x v="286"/>
    <s v="Taxi moto : L' hopital - hotel"/>
    <s v="Transport"/>
    <s v="Investigation"/>
    <n v="500"/>
    <n v="0.93720185266062228"/>
    <n v="533.50300000000004"/>
    <s v="G12"/>
    <s v="G12-N-D1"/>
    <s v="PALF"/>
    <x v="7"/>
    <s v="Congo"/>
    <m/>
    <m/>
    <m/>
  </r>
  <r>
    <x v="287"/>
    <s v="Maison-Cabinet d'huissier"/>
    <s v="Transport"/>
    <s v="Management"/>
    <n v="1000"/>
    <n v="1.8744037053212446"/>
    <n v="533.50300000000004"/>
    <s v="DOVI"/>
    <s v="DH-N-D1"/>
    <s v="PALF"/>
    <x v="7"/>
    <s v="Congo"/>
    <m/>
    <m/>
    <m/>
  </r>
  <r>
    <x v="287"/>
    <s v="Cabinet - Bureau"/>
    <s v="Transport"/>
    <s v="Management"/>
    <n v="1000"/>
    <n v="1.8744037053212446"/>
    <n v="533.50300000000004"/>
    <s v="DOVI"/>
    <s v="DH-N-D1"/>
    <s v="PALF"/>
    <x v="7"/>
    <s v="Congo"/>
    <m/>
    <m/>
    <m/>
  </r>
  <r>
    <x v="287"/>
    <s v="Credit telephonique MTN/PALF/ du 17 au 23 novembre 2025/ DOVI"/>
    <s v="Telephone"/>
    <s v="Management"/>
    <n v="12500"/>
    <n v="23.430046316515558"/>
    <n v="533.50300000000004"/>
    <s v="DOVI"/>
    <s v="DH-N-R4"/>
    <s v="PALF"/>
    <x v="7"/>
    <s v="Congo"/>
    <m/>
    <m/>
    <m/>
  </r>
  <r>
    <x v="287"/>
    <s v="Bureau-Maison"/>
    <s v="Transport"/>
    <s v="Management"/>
    <n v="1000"/>
    <n v="1.8744037053212446"/>
    <n v="533.50300000000004"/>
    <s v="DOVI"/>
    <s v="DH-N-D1"/>
    <s v="PALF"/>
    <x v="7"/>
    <s v="Congo"/>
    <m/>
    <m/>
    <m/>
  </r>
  <r>
    <x v="287"/>
    <s v="Credit telephonique MTN PALF/du 17 au 23 novembre 2025/ crepin"/>
    <s v="Telephone"/>
    <s v="Legal"/>
    <n v="10000"/>
    <n v="18.744037053212445"/>
    <n v="533.50300000000004"/>
    <s v="Crépin"/>
    <s v="CR-N-R5"/>
    <s v="PALF"/>
    <x v="7"/>
    <s v="Congo"/>
    <m/>
    <m/>
    <m/>
  </r>
  <r>
    <x v="287"/>
    <s v="Taxi: Bureau -Banque BCI/ Retrait espece "/>
    <s v="Transport"/>
    <s v="Office"/>
    <n v="1000"/>
    <n v="1.8744037053212446"/>
    <n v="533.50300000000004"/>
    <s v="Parfaite"/>
    <s v="P-N-D1"/>
    <s v="PALF"/>
    <x v="7"/>
    <s v="Congo"/>
    <m/>
    <m/>
    <m/>
  </r>
  <r>
    <x v="287"/>
    <s v="Taxi: Banque BCI-Direction MTN/ achat credit telephonique "/>
    <s v="Transport"/>
    <s v="Office"/>
    <n v="500"/>
    <n v="0.93720185266062228"/>
    <n v="533.50300000000004"/>
    <s v="Parfaite"/>
    <s v="P-N-D1"/>
    <s v="PALF"/>
    <x v="7"/>
    <s v="Congo"/>
    <m/>
    <m/>
    <m/>
  </r>
  <r>
    <x v="287"/>
    <s v="Taxi:   Direction MTN-Bureau"/>
    <s v="Transport"/>
    <s v="Office"/>
    <n v="1000"/>
    <n v="1.8744037053212446"/>
    <n v="533.50300000000004"/>
    <s v="Parfaite"/>
    <s v="P-N-D1"/>
    <s v="PALF"/>
    <x v="7"/>
    <s v="Congo"/>
    <m/>
    <m/>
    <m/>
  </r>
  <r>
    <x v="287"/>
    <s v="Credit teléphonique MTN PALF/ du 17 au 23 novembre 2025/ Parfaite"/>
    <s v="Telephone"/>
    <s v="Management"/>
    <n v="7500"/>
    <n v="14.058027789909334"/>
    <n v="533.50300000000004"/>
    <s v="Parfaite"/>
    <s v="P-N-R3"/>
    <s v="PALF"/>
    <x v="7"/>
    <s v="Congo"/>
    <m/>
    <m/>
    <m/>
  </r>
  <r>
    <x v="287"/>
    <s v="Frais de tansfert d'argent  a G12, et T73 par momo"/>
    <s v="Transfert fees"/>
    <s v="Office"/>
    <n v="5495"/>
    <n v="10.299848360740238"/>
    <n v="533.50300000000004"/>
    <s v="Parfaite"/>
    <s v="CA-N-R12"/>
    <s v="PALF"/>
    <x v="7"/>
    <s v="Congo"/>
    <m/>
    <m/>
    <m/>
  </r>
  <r>
    <x v="287"/>
    <s v="Taxi hotel-aeroport,réperage"/>
    <s v="Transport"/>
    <s v="Investigation"/>
    <n v="1000"/>
    <n v="1.8744037053212446"/>
    <n v="533.50300000000004"/>
    <s v="P29"/>
    <s v="P29-N-D1"/>
    <s v="PALF"/>
    <x v="7"/>
    <s v="Congo"/>
    <m/>
    <m/>
    <m/>
  </r>
  <r>
    <x v="287"/>
    <s v="Taxi aeroport-bacongo,repérage"/>
    <s v="Transport"/>
    <s v="Investigation"/>
    <n v="1000"/>
    <n v="1.8744037053212446"/>
    <n v="533.50300000000004"/>
    <s v="P29"/>
    <s v="P29-N-D1"/>
    <s v="PALF"/>
    <x v="7"/>
    <s v="Congo"/>
    <m/>
    <m/>
    <m/>
  </r>
  <r>
    <x v="287"/>
    <s v="Taxi bacongo-CF,retrait des fonds"/>
    <s v="Transport"/>
    <s v="Investigation"/>
    <n v="1000"/>
    <n v="1.8744037053212446"/>
    <n v="533.50300000000004"/>
    <s v="P29"/>
    <s v="P29-N-D1"/>
    <s v="PALF"/>
    <x v="7"/>
    <s v="Congo"/>
    <m/>
    <m/>
    <m/>
  </r>
  <r>
    <x v="287"/>
    <s v="Taxi cf-hotel"/>
    <s v="Transport"/>
    <s v="Investigation"/>
    <n v="1000"/>
    <n v="1.8744037053212446"/>
    <n v="533.50300000000004"/>
    <s v="P29"/>
    <s v="P29-N-D1"/>
    <s v="PALF"/>
    <x v="7"/>
    <s v="Congo"/>
    <m/>
    <m/>
    <m/>
  </r>
  <r>
    <x v="287"/>
    <s v="Credit telephonique MTN PALF/ du 17 au 23 novembre 2025/ Investigation/P29"/>
    <s v="Telephone"/>
    <s v="Investigation"/>
    <n v="10000"/>
    <n v="18.744037053212445"/>
    <n v="533.50300000000004"/>
    <s v="P29"/>
    <s v="P29-N-R4"/>
    <s v="PALF"/>
    <x v="7"/>
    <s v="Congo"/>
    <m/>
    <m/>
    <m/>
  </r>
  <r>
    <x v="287"/>
    <s v="T73 - CONGO Frais d'hotel du 16 au 17/11/2025 à Madingo kayes (01 Nuitée)"/>
    <s v="Travel subsistence"/>
    <s v="Investigation"/>
    <n v="15000"/>
    <n v="28.116055579818667"/>
    <n v="533.50300000000004"/>
    <s v="T73"/>
    <s v="T73-N-R6"/>
    <s v="PALF"/>
    <x v="7"/>
    <s v="Congo"/>
    <m/>
    <m/>
    <m/>
  </r>
  <r>
    <x v="287"/>
    <s v="Taxi moto : hotel lewezo - parking (retour sur pointe noire)"/>
    <s v="Transport"/>
    <s v="Investigation"/>
    <n v="1000"/>
    <n v="1.8744037053212446"/>
    <n v="533.50300000000004"/>
    <s v="T73"/>
    <s v="T73-N-D1"/>
    <s v="PALF"/>
    <x v="7"/>
    <s v="Congo"/>
    <m/>
    <m/>
    <m/>
  </r>
  <r>
    <x v="287"/>
    <s v="Achat billet : Madingo kayes - Pointe noire/T73"/>
    <s v="Transport"/>
    <s v="Investigation"/>
    <n v="7000"/>
    <n v="13.120825937248712"/>
    <n v="533.50300000000004"/>
    <s v="T73"/>
    <s v="T73-N-R7"/>
    <s v="PALF"/>
    <x v="7"/>
    <s v="Congo"/>
    <m/>
    <m/>
    <m/>
  </r>
  <r>
    <x v="287"/>
    <s v="Taxi: parking - hotel la provenance de pemba (retour sur pointe noire)"/>
    <s v="Transport"/>
    <s v="Investigation"/>
    <n v="1000"/>
    <n v="1.8744037053212446"/>
    <n v="533.50300000000004"/>
    <s v="T73"/>
    <s v="T73-N-D1"/>
    <s v="PALF"/>
    <x v="7"/>
    <s v="Congo"/>
    <m/>
    <m/>
    <m/>
  </r>
  <r>
    <x v="287"/>
    <s v="Taxi: hotel la provenance de pemba - marché fond de tie tie (prospection à pointe noire)"/>
    <s v="Transport"/>
    <s v="Investigation"/>
    <n v="1000"/>
    <n v="1.8744037053212446"/>
    <n v="533.50300000000004"/>
    <s v="T73"/>
    <s v="T73-N-D1"/>
    <s v="PALF"/>
    <x v="7"/>
    <s v="Congo"/>
    <m/>
    <m/>
    <m/>
  </r>
  <r>
    <x v="287"/>
    <s v="Taxi: marché fond de tie tie - hopital de base (prospection à pointe noire)"/>
    <s v="Transport"/>
    <s v="Investigation"/>
    <n v="1000"/>
    <n v="1.8744037053212446"/>
    <n v="533.50300000000004"/>
    <s v="T73"/>
    <s v="T73-N-D1"/>
    <s v="PALF"/>
    <x v="7"/>
    <s v="Congo"/>
    <m/>
    <m/>
    <m/>
  </r>
  <r>
    <x v="287"/>
    <s v="Taxi: hopital de base - quartier bord bord (prospection à pointe noire)"/>
    <s v="Transport"/>
    <s v="Investigation"/>
    <n v="1000"/>
    <n v="1.8744037053212446"/>
    <n v="533.50300000000004"/>
    <s v="T73"/>
    <s v="T73-N-D1"/>
    <s v="PALF"/>
    <x v="7"/>
    <s v="Congo"/>
    <m/>
    <m/>
    <m/>
  </r>
  <r>
    <x v="287"/>
    <s v="Taxi: quartier bord bord - sympathique (prospection à pointe noire)"/>
    <s v="Transport"/>
    <s v="Investigation"/>
    <n v="1500"/>
    <n v="2.8116055579818666"/>
    <n v="533.50300000000004"/>
    <s v="T73"/>
    <s v="T73-N-D1"/>
    <s v="PALF"/>
    <x v="7"/>
    <s v="Congo"/>
    <m/>
    <m/>
    <m/>
  </r>
  <r>
    <x v="287"/>
    <s v="Taxi: sympathique - hotel (fin de journeé)"/>
    <s v="Transport"/>
    <s v="Investigation"/>
    <n v="1500"/>
    <n v="2.8116055579818666"/>
    <n v="533.50300000000004"/>
    <s v="T73"/>
    <s v="T73-N-D1"/>
    <s v="PALF"/>
    <x v="7"/>
    <s v="Congo"/>
    <m/>
    <m/>
    <m/>
  </r>
  <r>
    <x v="287"/>
    <s v="Achat boisson/une cible"/>
    <s v="Trust building"/>
    <s v="Investigation"/>
    <n v="2000"/>
    <n v="3.6802726345967711"/>
    <n v="543.43799999999999"/>
    <s v="T73"/>
    <s v="T73-N-D2"/>
    <s v="PALF"/>
    <x v="8"/>
    <s v="Congo"/>
    <m/>
    <m/>
    <m/>
  </r>
  <r>
    <x v="287"/>
    <s v="Credit telephonique MTN PALF/ du 17 au 23 novembre 2025/ Investigation/T73"/>
    <s v="Telephone"/>
    <s v="Investigation"/>
    <n v="10000"/>
    <n v="18.744037053212445"/>
    <n v="533.50300000000004"/>
    <s v="T73"/>
    <s v="T73-N-R8"/>
    <s v="PALF"/>
    <x v="7"/>
    <s v="Congo"/>
    <m/>
    <m/>
    <m/>
  </r>
  <r>
    <x v="287"/>
    <s v="Taxi : Hôtel Mack-Solo - Charden Farel/ Retrait du budget"/>
    <s v="Transport"/>
    <s v="Investigation"/>
    <n v="1000"/>
    <n v="1.8744037053212446"/>
    <n v="533.50300000000004"/>
    <s v="IT87"/>
    <s v="IT87-N-D1"/>
    <s v="PALF"/>
    <x v="7"/>
    <s v="Congo"/>
    <m/>
    <m/>
    <m/>
  </r>
  <r>
    <x v="287"/>
    <s v="Taxi : Charden Farel - Hôtel Mack-Solo/ Retour du retrait d'argent"/>
    <s v="Transport"/>
    <s v="Investigation"/>
    <n v="1000"/>
    <n v="1.8744037053212446"/>
    <n v="533.50300000000004"/>
    <s v="IT87"/>
    <s v="IT87-N-D1"/>
    <s v="PALF"/>
    <x v="7"/>
    <s v="Congo"/>
    <m/>
    <m/>
    <m/>
  </r>
  <r>
    <x v="287"/>
    <s v="Credit telephonique MTN PALF/du 17 au 23 novembre 2025/IT87"/>
    <s v="Telephone"/>
    <s v="Investigation"/>
    <n v="10000"/>
    <n v="18.744037053212445"/>
    <n v="533.50300000000004"/>
    <s v="IT87"/>
    <s v="IT87-N-R4"/>
    <s v="PALF"/>
    <x v="7"/>
    <s v="Congo"/>
    <m/>
    <m/>
    <m/>
  </r>
  <r>
    <x v="287"/>
    <s v="Taxi moto : Hotel - pazapa /prospection"/>
    <s v="Transport"/>
    <s v="Investigation"/>
    <n v="500"/>
    <n v="0.93720185266062228"/>
    <n v="533.50300000000004"/>
    <s v="G12"/>
    <s v="G12-N-D1"/>
    <s v="PALF"/>
    <x v="7"/>
    <s v="Congo"/>
    <m/>
    <m/>
    <m/>
  </r>
  <r>
    <x v="287"/>
    <s v="Taxi moto : Pazapa - hotel "/>
    <s v="Transport"/>
    <s v="Investigation"/>
    <n v="500"/>
    <n v="0.93720185266062228"/>
    <n v="533.50300000000004"/>
    <s v="G12"/>
    <s v="G12-N-D1"/>
    <s v="PALF"/>
    <x v="7"/>
    <s v="Congo"/>
    <m/>
    <m/>
    <m/>
  </r>
  <r>
    <x v="287"/>
    <s v="Taxi moto : Hotel -l'église protestante/ prospection "/>
    <s v="Transport"/>
    <s v="Investigation"/>
    <n v="500"/>
    <n v="0.93720185266062228"/>
    <n v="533.50300000000004"/>
    <s v="G12"/>
    <s v="G12-N-D1"/>
    <s v="PALF"/>
    <x v="7"/>
    <s v="Congo"/>
    <m/>
    <m/>
    <m/>
  </r>
  <r>
    <x v="287"/>
    <s v="Achat boissonavec une  cible"/>
    <s v="Trust building"/>
    <s v="Investigation"/>
    <n v="2000"/>
    <n v="3.6802726345967711"/>
    <n v="543.43799999999999"/>
    <s v="G12"/>
    <s v="G12-N-D2"/>
    <s v="PALF"/>
    <x v="8"/>
    <s v="Congo"/>
    <m/>
    <m/>
    <m/>
  </r>
  <r>
    <x v="287"/>
    <s v="Taxi moto : L'église protestante - hotel"/>
    <s v="Transport"/>
    <s v="Investigation"/>
    <n v="500"/>
    <n v="0.93720185266062228"/>
    <n v="533.50300000000004"/>
    <s v="G12"/>
    <s v="G12-N-D1"/>
    <s v="PALF"/>
    <x v="7"/>
    <s v="Congo"/>
    <m/>
    <m/>
    <m/>
  </r>
  <r>
    <x v="287"/>
    <s v="Credit telephonique MTN PALF/du  17 au 23 novembre 2025/G12"/>
    <s v="Telephone"/>
    <s v="Investigation"/>
    <n v="10000"/>
    <n v="18.744037053212445"/>
    <n v="533.50300000000004"/>
    <s v="G12"/>
    <s v="G12-N-R6"/>
    <s v="PALF"/>
    <x v="7"/>
    <s v="Congo"/>
    <m/>
    <m/>
    <m/>
  </r>
  <r>
    <x v="287"/>
    <s v="Taxi: Bureau-Charden Farell/Transfert de fonds"/>
    <s v="Transport"/>
    <s v="Legal"/>
    <n v="500"/>
    <n v="0.93720185266062228"/>
    <n v="533.50300000000004"/>
    <s v="Abraham"/>
    <s v="AB-N-D1"/>
    <s v="PALF"/>
    <x v="7"/>
    <s v="Congo"/>
    <m/>
    <m/>
    <m/>
  </r>
  <r>
    <x v="287"/>
    <s v="Taxi: Charden Farel-Bureau"/>
    <s v="Transport"/>
    <s v="Legal"/>
    <n v="500"/>
    <n v="0.93720185266062228"/>
    <n v="533.50300000000004"/>
    <s v="Abraham"/>
    <s v="AB-N-D1"/>
    <s v="PALF"/>
    <x v="7"/>
    <s v="Congo"/>
    <m/>
    <m/>
    <m/>
  </r>
  <r>
    <x v="287"/>
    <s v="Credit telephonique MTN PALF/ du 17 au 23 novembre 2025/Abraham"/>
    <s v="Telephone"/>
    <s v="Legal"/>
    <n v="7500"/>
    <n v="14.058027789909334"/>
    <n v="533.50300000000004"/>
    <s v="Abraham"/>
    <s v="AB-N-R6"/>
    <s v="PALF"/>
    <x v="7"/>
    <s v="Congo"/>
    <m/>
    <m/>
    <m/>
  </r>
  <r>
    <x v="287"/>
    <s v="Frais de tansfert d'argent  a P29, et IT87 par Charden farell"/>
    <s v="Transfert fees"/>
    <s v="Office"/>
    <n v="3000"/>
    <n v="5.6232111159637332"/>
    <n v="533.50300000000004"/>
    <s v="Abraham"/>
    <s v="CA-N-R11"/>
    <s v="PALF"/>
    <x v="7"/>
    <s v="Congo"/>
    <m/>
    <m/>
    <m/>
  </r>
  <r>
    <x v="287"/>
    <s v="Credit telephonique MTN PALF/du 17 au 23 novembre 2025/Roderlin"/>
    <s v="Telephone"/>
    <s v="Legal"/>
    <n v="7500"/>
    <n v="14.058027789909334"/>
    <n v="533.50300000000004"/>
    <s v="Roderlin"/>
    <s v="RO-N-R5"/>
    <s v="PALF"/>
    <x v="7"/>
    <s v="Congo"/>
    <m/>
    <m/>
    <m/>
  </r>
  <r>
    <x v="287"/>
    <s v="Credit telephonique MTN PALF/ du 17 au 23 novembre 2025/Donald-Roméo"/>
    <s v="Telephone"/>
    <s v="Legal"/>
    <n v="10000"/>
    <n v="18.744037053212445"/>
    <n v="533.50300000000004"/>
    <s v="Donald-Romeo"/>
    <s v="DR-N-R3"/>
    <s v="PALF"/>
    <x v="7"/>
    <s v="Congo"/>
    <m/>
    <m/>
    <m/>
  </r>
  <r>
    <x v="287"/>
    <s v="Taxi, Bureau PALF-Agence Congolaise d'Information"/>
    <s v="Transport"/>
    <s v="Media"/>
    <n v="1000"/>
    <n v="1.8744037053212446"/>
    <n v="533.50300000000004"/>
    <s v="Evariste"/>
    <s v="EV-N-D1"/>
    <s v="PALF"/>
    <x v="7"/>
    <s v="Congo"/>
    <m/>
    <m/>
    <m/>
  </r>
  <r>
    <x v="287"/>
    <s v="Taxi, Agence Congolaise d'Information-Horizon Africain"/>
    <s v="Transport"/>
    <s v="Media"/>
    <n v="1000"/>
    <n v="1.8744037053212446"/>
    <n v="533.50300000000004"/>
    <s v="Evariste"/>
    <s v="EV-N-D1"/>
    <s v="PALF"/>
    <x v="7"/>
    <s v="Congo"/>
    <m/>
    <m/>
    <m/>
  </r>
  <r>
    <x v="287"/>
    <s v="Taxi, Horizon Africain-Les Dépêches de Brazzaville"/>
    <s v="Transport"/>
    <s v="Media"/>
    <n v="1000"/>
    <n v="1.8744037053212446"/>
    <n v="533.50300000000004"/>
    <s v="Evariste"/>
    <s v="EV-N-D1"/>
    <s v="PALF"/>
    <x v="7"/>
    <s v="Congo"/>
    <m/>
    <m/>
    <m/>
  </r>
  <r>
    <x v="287"/>
    <s v="Taxi, les dépêches de Brazzaville-matinlibre.cg"/>
    <s v="Transport"/>
    <s v="Media"/>
    <n v="1000"/>
    <n v="1.8744037053212446"/>
    <n v="533.50300000000004"/>
    <s v="Evariste"/>
    <s v="EV-N-D1"/>
    <s v="PALF"/>
    <x v="7"/>
    <s v="Congo"/>
    <m/>
    <m/>
    <m/>
  </r>
  <r>
    <x v="287"/>
    <s v="Taxi, matinlibre.cg-lesechoscongobrazza.com"/>
    <s v="Transport"/>
    <s v="Media"/>
    <n v="1000"/>
    <n v="1.8744037053212446"/>
    <n v="533.50300000000004"/>
    <s v="Evariste"/>
    <s v="EV-N-D1"/>
    <s v="PALF"/>
    <x v="7"/>
    <s v="Congo"/>
    <m/>
    <m/>
    <m/>
  </r>
  <r>
    <x v="287"/>
    <s v="Taxi, lesechoscongobrazza.com-panoramik-actu.com"/>
    <s v="Transport"/>
    <s v="Media"/>
    <n v="1000"/>
    <n v="1.8744037053212446"/>
    <n v="533.50300000000004"/>
    <s v="Evariste"/>
    <s v="EV-N-D1"/>
    <s v="PALF"/>
    <x v="7"/>
    <s v="Congo"/>
    <m/>
    <m/>
    <m/>
  </r>
  <r>
    <x v="287"/>
    <s v="Taxi, panoramik-actu.com-Radio Liberté"/>
    <s v="Transport"/>
    <s v="Media"/>
    <n v="1000"/>
    <n v="1.8744037053212446"/>
    <n v="533.50300000000004"/>
    <s v="Evariste"/>
    <s v="EV-N-D1"/>
    <s v="PALF"/>
    <x v="7"/>
    <s v="Congo"/>
    <m/>
    <m/>
    <m/>
  </r>
  <r>
    <x v="287"/>
    <s v="Credit telephonique MTN PALF/du 17  au 23 Novembre 2025/ Evariste"/>
    <s v="Telephone"/>
    <s v="Media"/>
    <n v="10000"/>
    <n v="18.744037053212445"/>
    <n v="533.50300000000004"/>
    <s v="Evariste"/>
    <s v="EV-N-R3"/>
    <s v="PALF"/>
    <x v="7"/>
    <s v="Congo"/>
    <m/>
    <m/>
    <m/>
  </r>
  <r>
    <x v="287"/>
    <s v="Taxi: Bureau-Rond point MAZALA(pour aller rencontrer maitre Hélène)"/>
    <s v="Transport"/>
    <s v="Legal"/>
    <n v="1000"/>
    <n v="1.8744037053212446"/>
    <n v="533.50300000000004"/>
    <s v="Romain"/>
    <s v="RM-N-D1"/>
    <s v="PALF"/>
    <x v="7"/>
    <s v="Congo"/>
    <m/>
    <m/>
    <m/>
  </r>
  <r>
    <x v="287"/>
    <s v="Taxi: Rond point MAZALA- DGEF"/>
    <s v="Transport"/>
    <s v="Legal"/>
    <n v="1500"/>
    <n v="2.8116055579818666"/>
    <n v="533.50300000000004"/>
    <s v="Romain"/>
    <s v="RM-N-D1"/>
    <s v="PALF"/>
    <x v="7"/>
    <s v="Congo"/>
    <m/>
    <m/>
    <m/>
  </r>
  <r>
    <x v="287"/>
    <s v="Taxi: DGEF-Bureau"/>
    <s v="Transport"/>
    <s v="Legal"/>
    <n v="1000"/>
    <n v="1.8744037053212446"/>
    <n v="533.50300000000004"/>
    <s v="Romain"/>
    <s v="RM-N-D1"/>
    <s v="PALF"/>
    <x v="7"/>
    <s v="Congo"/>
    <m/>
    <m/>
    <m/>
  </r>
  <r>
    <x v="287"/>
    <s v="Credit telephonique MTN PALF/du 17 au 23 novembre 2025/Romain"/>
    <s v="Telephone"/>
    <s v="Legal"/>
    <n v="7500"/>
    <n v="14.058027789909334"/>
    <n v="533.50300000000004"/>
    <s v="Romain"/>
    <s v="RM-N-R6"/>
    <s v="PALF"/>
    <x v="7"/>
    <s v="Congo"/>
    <m/>
    <m/>
    <m/>
  </r>
  <r>
    <x v="288"/>
    <s v="Maison-Bureau"/>
    <s v="Transport"/>
    <s v="Management"/>
    <n v="1000"/>
    <n v="1.8744037053212446"/>
    <n v="533.50300000000004"/>
    <s v="DOVI"/>
    <s v="DH-N-D1"/>
    <s v="PALF"/>
    <x v="7"/>
    <s v="Congo"/>
    <m/>
    <m/>
    <m/>
  </r>
  <r>
    <x v="288"/>
    <s v="Bureau - Aspinall"/>
    <s v="Transport"/>
    <s v="Management"/>
    <n v="1000"/>
    <n v="1.8744037053212446"/>
    <n v="533.50300000000004"/>
    <s v="DOVI"/>
    <s v="DH-N-D1"/>
    <s v="PALF"/>
    <x v="7"/>
    <s v="Congo"/>
    <m/>
    <m/>
    <m/>
  </r>
  <r>
    <x v="288"/>
    <s v="Aspinall - Bureau"/>
    <s v="Transport"/>
    <s v="Management"/>
    <n v="1000"/>
    <n v="1.8744037053212446"/>
    <n v="533.50300000000004"/>
    <s v="DOVI"/>
    <s v="DH-N-D1"/>
    <s v="PALF"/>
    <x v="7"/>
    <s v="Congo"/>
    <m/>
    <m/>
    <m/>
  </r>
  <r>
    <x v="288"/>
    <s v="Bureau-Maison"/>
    <s v="Transport"/>
    <s v="Management"/>
    <n v="1000"/>
    <n v="1.8744037053212446"/>
    <n v="533.50300000000004"/>
    <s v="DOVI"/>
    <s v="DH-N-D1"/>
    <s v="PALF"/>
    <x v="7"/>
    <s v="Congo"/>
    <m/>
    <m/>
    <m/>
  </r>
  <r>
    <x v="288"/>
    <s v="Frais de notification affaire de merveille/ Maître OKEMBA NGABOMBA"/>
    <s v="Lawyer Fees"/>
    <s v="Legal"/>
    <n v="115000"/>
    <n v="215.55642611194313"/>
    <n v="533.50300000000004"/>
    <s v="Parfaite"/>
    <s v="CA-N-R17"/>
    <s v="PALF"/>
    <x v="7"/>
    <s v="Congo"/>
    <m/>
    <m/>
    <m/>
  </r>
  <r>
    <x v="288"/>
    <s v="Taxi: Bureau -Banque BCI/ Retrait espece "/>
    <s v="Transport"/>
    <s v="Office"/>
    <n v="1000"/>
    <n v="1.8744037053212446"/>
    <n v="533.50300000000004"/>
    <s v="Parfaite"/>
    <s v="P-N-D1"/>
    <s v="PALF"/>
    <x v="7"/>
    <s v="Congo"/>
    <m/>
    <m/>
    <m/>
  </r>
  <r>
    <x v="288"/>
    <s v="Taxi: Banque BCI-Bureau"/>
    <s v="Transport"/>
    <s v="Office"/>
    <n v="1000"/>
    <n v="1.8744037053212446"/>
    <n v="533.50300000000004"/>
    <s v="Parfaite"/>
    <s v="P-N-D1"/>
    <s v="PALF"/>
    <x v="7"/>
    <s v="Congo"/>
    <m/>
    <m/>
    <m/>
  </r>
  <r>
    <x v="288"/>
    <s v="Taxi:  Bureau- Cabinet d'avocat/Depot  du chèque du mois d'octobre 2025 Me LOCKO"/>
    <s v="Transport"/>
    <s v="Office"/>
    <n v="1000"/>
    <n v="1.8744037053212446"/>
    <n v="533.50300000000004"/>
    <s v="Parfaite"/>
    <s v="P-N-D1"/>
    <s v="PALF"/>
    <x v="7"/>
    <s v="Congo"/>
    <m/>
    <m/>
    <m/>
  </r>
  <r>
    <x v="288"/>
    <s v="Taxi:  Cabinet d'Avocat - Domicile"/>
    <s v="Transport"/>
    <s v="Office"/>
    <n v="1000"/>
    <n v="1.8744037053212446"/>
    <n v="533.50300000000004"/>
    <s v="Parfaite"/>
    <s v="P-N-D1"/>
    <s v="PALF"/>
    <x v="7"/>
    <s v="Congo"/>
    <m/>
    <m/>
    <m/>
  </r>
  <r>
    <x v="288"/>
    <s v="Taxi hotel-sab,repérage"/>
    <s v="Transport"/>
    <s v="Investigation"/>
    <n v="1000"/>
    <n v="1.8744037053212446"/>
    <n v="533.50300000000004"/>
    <s v="P29"/>
    <s v="P29-N-D1"/>
    <s v="PALF"/>
    <x v="7"/>
    <s v="Congo"/>
    <m/>
    <m/>
    <m/>
  </r>
  <r>
    <x v="288"/>
    <s v="Taxi sab-fatima,repérage"/>
    <s v="Transport"/>
    <s v="Investigation"/>
    <n v="1000"/>
    <n v="1.8744037053212446"/>
    <n v="533.50300000000004"/>
    <s v="P29"/>
    <s v="P29-N-D1"/>
    <s v="PALF"/>
    <x v="7"/>
    <s v="Congo"/>
    <m/>
    <m/>
    <m/>
  </r>
  <r>
    <x v="288"/>
    <s v="Taxi fatima-belolo,repérage"/>
    <s v="Transport"/>
    <s v="Investigation"/>
    <n v="1000"/>
    <n v="1.8744037053212446"/>
    <n v="533.50300000000004"/>
    <s v="P29"/>
    <s v="P29-N-D1"/>
    <s v="PALF"/>
    <x v="7"/>
    <s v="Congo"/>
    <m/>
    <m/>
    <m/>
  </r>
  <r>
    <x v="288"/>
    <s v="Taxi belolo-tahiti,repérage"/>
    <s v="Transport"/>
    <s v="Investigation"/>
    <n v="1000"/>
    <n v="1.8744037053212446"/>
    <n v="533.50300000000004"/>
    <s v="P29"/>
    <s v="P29-N-D1"/>
    <s v="PALF"/>
    <x v="7"/>
    <s v="Congo"/>
    <m/>
    <m/>
    <m/>
  </r>
  <r>
    <x v="288"/>
    <s v="Taxi tahiti-hotel"/>
    <s v="Transport"/>
    <s v="Investigation"/>
    <n v="1000"/>
    <n v="1.8744037053212446"/>
    <n v="533.50300000000004"/>
    <s v="P29"/>
    <s v="P29-N-D1"/>
    <s v="PALF"/>
    <x v="7"/>
    <s v="Congo"/>
    <m/>
    <m/>
    <m/>
  </r>
  <r>
    <x v="288"/>
    <s v="T73 - CONGO Frais d'hotel du 17 au 18/11/2025 à Pointe noire (01 Nuitée)"/>
    <s v="Travel subsistence"/>
    <s v="Investigation"/>
    <n v="15000"/>
    <n v="28.116055579818667"/>
    <n v="533.50300000000004"/>
    <s v="T73"/>
    <s v="T73-N-R9"/>
    <s v="PALF"/>
    <x v="7"/>
    <s v="Congo"/>
    <m/>
    <m/>
    <m/>
  </r>
  <r>
    <x v="288"/>
    <s v="taxi : hotel - agence trans bony ( départ pour Brazzaville)"/>
    <s v="Transport"/>
    <s v="Investigation"/>
    <n v="1000"/>
    <n v="1.8744037053212446"/>
    <n v="533.50300000000004"/>
    <s v="T73"/>
    <s v="T73-N-D1"/>
    <s v="PALF"/>
    <x v="7"/>
    <s v="Congo"/>
    <m/>
    <m/>
    <m/>
  </r>
  <r>
    <x v="288"/>
    <s v="taxi : agence trans bony- océan du nord ( départ pour Brazzaville)"/>
    <s v="Transport"/>
    <s v="Investigation"/>
    <n v="1000"/>
    <n v="1.8744037053212446"/>
    <n v="533.50300000000004"/>
    <s v="T73"/>
    <s v="T73-N-D1"/>
    <s v="PALF"/>
    <x v="7"/>
    <s v="Congo"/>
    <m/>
    <m/>
    <m/>
  </r>
  <r>
    <x v="288"/>
    <s v="taxi : océan du nord - parking thystere (départ pour Brazzaville)"/>
    <s v="Transport"/>
    <s v="Investigation"/>
    <n v="2500"/>
    <n v="4.6860092633031112"/>
    <n v="533.50300000000004"/>
    <s v="T73"/>
    <s v="T73-N-D1"/>
    <s v="PALF"/>
    <x v="7"/>
    <s v="Congo"/>
    <m/>
    <m/>
    <m/>
  </r>
  <r>
    <x v="288"/>
    <s v="taxi : parking plateau - domicile (arrivé sur Brazzaville)"/>
    <s v="Transport"/>
    <s v="Investigation"/>
    <n v="1000"/>
    <n v="1.8744037053212446"/>
    <n v="533.50300000000004"/>
    <s v="T73"/>
    <s v="T73-N-D1"/>
    <s v="PALF"/>
    <x v="7"/>
    <s v="Congo"/>
    <m/>
    <m/>
    <m/>
  </r>
  <r>
    <x v="288"/>
    <s v="Achat billet: Pointe - Brazzaville/T73"/>
    <s v="Transport"/>
    <s v="Investigation"/>
    <n v="12000"/>
    <n v="22.492844463854933"/>
    <n v="533.50300000000004"/>
    <s v="T73"/>
    <s v="T73-N-R10"/>
    <s v="PALF"/>
    <x v="7"/>
    <s v="Congo"/>
    <m/>
    <m/>
    <m/>
  </r>
  <r>
    <x v="288"/>
    <s v="G12-CONGO Frais d'hotel du 15 au 18 /11/2025 à Pokola (03 Nuitées)"/>
    <s v="TraVel subsistence"/>
    <s v="Investigation"/>
    <n v="45000"/>
    <n v="84.348166739456005"/>
    <n v="533.50300000000004"/>
    <s v="G12"/>
    <s v="G12-N-R7"/>
    <s v="PALF"/>
    <x v="7"/>
    <s v="Congo"/>
    <m/>
    <m/>
    <m/>
  </r>
  <r>
    <x v="288"/>
    <s v="Taxi moto : Hotel - gare routière , depart pour Ouesso"/>
    <s v="Transport"/>
    <s v="Investigation"/>
    <n v="500"/>
    <n v="0.93720185266062228"/>
    <n v="533.50300000000004"/>
    <s v="G12"/>
    <s v="G12-N-D1"/>
    <s v="PALF"/>
    <x v="7"/>
    <s v="Congo"/>
    <m/>
    <m/>
    <m/>
  </r>
  <r>
    <x v="288"/>
    <s v="Achat billet Pokola - Ouesso/G12"/>
    <s v="Transport"/>
    <s v="Investigation"/>
    <n v="5000"/>
    <n v="9.3720185266062224"/>
    <n v="533.50300000000004"/>
    <s v="G12"/>
    <s v="G12-N-R8"/>
    <s v="PALF"/>
    <x v="7"/>
    <s v="Congo"/>
    <m/>
    <m/>
    <m/>
  </r>
  <r>
    <x v="288"/>
    <s v="Taxi : Gare routière - agence océan du nord  achat billet"/>
    <s v="Transport"/>
    <s v="Investigation"/>
    <n v="500"/>
    <n v="0.93720185266062228"/>
    <n v="533.50300000000004"/>
    <s v="G12"/>
    <s v="G12-N-D1"/>
    <s v="PALF"/>
    <x v="7"/>
    <s v="Congo"/>
    <m/>
    <m/>
    <m/>
  </r>
  <r>
    <x v="288"/>
    <s v="Taxi : Agence - hotel"/>
    <s v="Transport"/>
    <s v="Investigation"/>
    <n v="500"/>
    <n v="0.93720185266062228"/>
    <n v="533.50300000000004"/>
    <s v="G12"/>
    <s v="G12-N-D1"/>
    <s v="PALF"/>
    <x v="7"/>
    <s v="Congo"/>
    <m/>
    <m/>
    <m/>
  </r>
  <r>
    <x v="288"/>
    <s v="Taxi : Hotel - libonga / prospection"/>
    <s v="Transport"/>
    <s v="Investigation"/>
    <n v="500"/>
    <n v="0.93720185266062228"/>
    <n v="533.50300000000004"/>
    <s v="G12"/>
    <s v="G12-N-D1"/>
    <s v="PALF"/>
    <x v="7"/>
    <s v="Congo"/>
    <m/>
    <m/>
    <m/>
  </r>
  <r>
    <x v="288"/>
    <s v="Achat boissonavec une  cible"/>
    <s v="Trust building"/>
    <s v="Investigation"/>
    <n v="1500"/>
    <n v="2.7602044759475781"/>
    <n v="543.43799999999999"/>
    <s v="G12"/>
    <s v="G12-N-D2"/>
    <s v="PALF"/>
    <x v="8"/>
    <s v="Congo"/>
    <m/>
    <m/>
    <m/>
  </r>
  <r>
    <x v="288"/>
    <s v="Taxi : Libonga - hotel"/>
    <s v="Transport"/>
    <s v="Investigation"/>
    <n v="500"/>
    <n v="0.93720185266062228"/>
    <n v="533.50300000000004"/>
    <s v="G12"/>
    <s v="G12-N-D1"/>
    <s v="PALF"/>
    <x v="7"/>
    <s v="Congo"/>
    <m/>
    <m/>
    <m/>
  </r>
  <r>
    <x v="288"/>
    <s v="Achat carburant groupe electrogène Bureau "/>
    <s v="Office Materiels"/>
    <s v="Office"/>
    <n v="31250"/>
    <n v="58.575115791288894"/>
    <n v="533.50300000000004"/>
    <s v="Abraham"/>
    <s v="CA-N-R14"/>
    <s v="PALF"/>
    <x v="7"/>
    <s v="Congo"/>
    <m/>
    <m/>
    <m/>
  </r>
  <r>
    <x v="288"/>
    <s v="Taxi: Bureau-Station Total Energies Loutassi/Achat carburant"/>
    <s v="Transport"/>
    <s v="Legal"/>
    <n v="2000"/>
    <n v="3.7488074106424891"/>
    <n v="533.50300000000004"/>
    <s v="Abraham"/>
    <s v="AB-N-D1"/>
    <s v="PALF"/>
    <x v="7"/>
    <s v="Congo"/>
    <m/>
    <m/>
    <m/>
  </r>
  <r>
    <x v="288"/>
    <s v="Taxi: Bureau-Charden Farell/Transfert de fonds"/>
    <s v="Transport"/>
    <s v="Legal"/>
    <n v="2000"/>
    <n v="3.7488074106424891"/>
    <n v="533.50300000000004"/>
    <s v="Abraham"/>
    <s v="AB-N-D1"/>
    <s v="PALF"/>
    <x v="7"/>
    <s v="Congo"/>
    <m/>
    <m/>
    <m/>
  </r>
  <r>
    <x v="288"/>
    <s v="Taxi, Bureau PALF-groupecongomedias.com"/>
    <s v="Transport"/>
    <s v="Media"/>
    <n v="1000"/>
    <n v="1.8744037053212446"/>
    <n v="533.50300000000004"/>
    <s v="Evariste"/>
    <s v="EV-N-D1"/>
    <s v="PALF"/>
    <x v="7"/>
    <s v="Congo"/>
    <m/>
    <m/>
    <m/>
  </r>
  <r>
    <x v="288"/>
    <s v="Taxi, groupecongomedias.com-opion publique"/>
    <s v="Transport"/>
    <s v="Media"/>
    <n v="1000"/>
    <n v="1.8744037053212446"/>
    <n v="533.50300000000004"/>
    <s v="Evariste"/>
    <s v="EV-N-D1"/>
    <s v="PALF"/>
    <x v="7"/>
    <s v="Congo"/>
    <m/>
    <m/>
    <m/>
  </r>
  <r>
    <x v="288"/>
    <s v="Taxi, opinion publique-labreveoneline.com"/>
    <s v="Transport"/>
    <s v="Media"/>
    <n v="1000"/>
    <n v="1.8744037053212446"/>
    <n v="533.50300000000004"/>
    <s v="Evariste"/>
    <s v="EV-N-D1"/>
    <s v="PALF"/>
    <x v="7"/>
    <s v="Congo"/>
    <m/>
    <m/>
    <m/>
  </r>
  <r>
    <x v="288"/>
    <s v="Taxi, labreveoneline.com-Bureau PALF"/>
    <s v="Transport"/>
    <s v="Media"/>
    <n v="1000"/>
    <n v="1.8744037053212446"/>
    <n v="533.50300000000004"/>
    <s v="Evariste"/>
    <s v="EV-N-D1"/>
    <s v="PALF"/>
    <x v="7"/>
    <s v="Congo"/>
    <m/>
    <m/>
    <m/>
  </r>
  <r>
    <x v="288"/>
    <s v="Achat eau mineral 10 LITRES/Bureau"/>
    <s v="Office Materiels"/>
    <s v="Office"/>
    <n v="25000"/>
    <n v="46.860092633031115"/>
    <n v="533.50300000000004"/>
    <s v="Romain"/>
    <s v="CA-N-R13"/>
    <s v="PALF"/>
    <x v="7"/>
    <s v="Congo"/>
    <m/>
    <m/>
    <m/>
  </r>
  <r>
    <x v="288"/>
    <s v="Frais de transport mission Maitre Helene à Madingou du 19 au 21/11/2025"/>
    <s v="Transport"/>
    <s v="Legal"/>
    <n v="20000"/>
    <n v="37.488074106424889"/>
    <n v="533.50300000000004"/>
    <s v="Romain"/>
    <s v="CA-N-R15"/>
    <s v="PALF"/>
    <x v="7"/>
    <s v="Congo"/>
    <m/>
    <m/>
    <m/>
  </r>
  <r>
    <x v="288"/>
    <s v="Ration et frais d'hotel mission maitre Helène à Madingou du 19 au 21/11/2025"/>
    <s v="Travel Subsistence"/>
    <s v="Legal"/>
    <n v="50000"/>
    <n v="93.720185266062231"/>
    <n v="533.50300000000004"/>
    <s v="Romain"/>
    <s v="CA-N-R16"/>
    <s v="PALF"/>
    <x v="7"/>
    <s v="Congo"/>
    <m/>
    <m/>
    <m/>
  </r>
  <r>
    <x v="288"/>
    <s v="Taxi: Bureau-Agence Trans Bony de la Frontière"/>
    <s v="Transport"/>
    <s v="Legal"/>
    <n v="1000"/>
    <n v="1.8744037053212446"/>
    <n v="533.50300000000004"/>
    <s v="Romain"/>
    <s v="RM-N-D1"/>
    <s v="PALF"/>
    <x v="7"/>
    <s v="Congo"/>
    <m/>
    <m/>
    <m/>
  </r>
  <r>
    <x v="288"/>
    <s v="Achat Billet Brazzaville-Madingou/ Romain"/>
    <s v="Transport"/>
    <s v="Legal"/>
    <n v="7000"/>
    <n v="13.120825937248712"/>
    <n v="533.50300000000004"/>
    <s v="Romain"/>
    <s v="RM-N-R7"/>
    <s v="PALF"/>
    <x v="7"/>
    <s v="Congo"/>
    <m/>
    <m/>
    <m/>
  </r>
  <r>
    <x v="288"/>
    <s v="Taxi: Agence Trans bony de la Frontière-Bureau"/>
    <s v="Transport"/>
    <s v="Legal"/>
    <n v="1000"/>
    <n v="1.8744037053212446"/>
    <n v="533.50300000000004"/>
    <s v="Romain"/>
    <s v="RM-N-D1"/>
    <s v="PALF"/>
    <x v="7"/>
    <s v="Congo"/>
    <m/>
    <m/>
    <m/>
  </r>
  <r>
    <x v="288"/>
    <s v="Taxi: Bureau-Mfilou(pour la remise du budget à maitre hélène)"/>
    <s v="Transport"/>
    <s v="Legal"/>
    <n v="1000"/>
    <n v="1.8744037053212446"/>
    <n v="533.50300000000004"/>
    <s v="Romain"/>
    <s v="RM-N-D1"/>
    <s v="PALF"/>
    <x v="7"/>
    <s v="Congo"/>
    <m/>
    <m/>
    <m/>
  </r>
  <r>
    <x v="288"/>
    <s v="Taxi: Mfilou-Bureau"/>
    <s v="Transport"/>
    <s v="Legal"/>
    <n v="1000"/>
    <n v="1.8744037053212446"/>
    <n v="533.50300000000004"/>
    <s v="Romain"/>
    <s v="RM-N-D1"/>
    <s v="PALF"/>
    <x v="7"/>
    <s v="Congo"/>
    <m/>
    <m/>
    <m/>
  </r>
  <r>
    <x v="289"/>
    <s v="Maison-Bureau"/>
    <s v="Transport"/>
    <s v="Management"/>
    <n v="1000"/>
    <n v="1.8744037053212446"/>
    <n v="533.50300000000004"/>
    <s v="DOVI"/>
    <s v="DH-N-D1"/>
    <s v="PALF"/>
    <x v="7"/>
    <s v="Congo"/>
    <m/>
    <m/>
    <m/>
  </r>
  <r>
    <x v="289"/>
    <s v="Bureau- Maison"/>
    <s v="Transport"/>
    <s v="Management"/>
    <n v="1000"/>
    <n v="1.8744037053212446"/>
    <n v="533.50300000000004"/>
    <s v="DOVI"/>
    <s v="DH-N-D1"/>
    <s v="PALF"/>
    <x v="7"/>
    <s v="Congo"/>
    <m/>
    <m/>
    <m/>
  </r>
  <r>
    <x v="289"/>
    <s v="Frais de tansfert d'argent  à P29, et IT87 par momo"/>
    <s v="Transfert fees"/>
    <s v="Office"/>
    <n v="6440"/>
    <n v="12.071159862268814"/>
    <n v="533.50300000000004"/>
    <s v="Parfaite"/>
    <s v="CA-N-R18"/>
    <s v="PALF"/>
    <x v="7"/>
    <s v="Congo"/>
    <m/>
    <m/>
    <m/>
  </r>
  <r>
    <x v="289"/>
    <s v="Taxi:  Bureau - Direction MB2 Services / transfert d'argent à P29 et IT87 "/>
    <s v="Transport"/>
    <s v="Office"/>
    <n v="1000"/>
    <n v="1.8744037053212446"/>
    <n v="533.50300000000004"/>
    <s v="Parfaite"/>
    <s v="P-N-D1"/>
    <s v="PALF"/>
    <x v="7"/>
    <s v="Congo"/>
    <m/>
    <m/>
    <m/>
  </r>
  <r>
    <x v="289"/>
    <s v="Taxi:Direction MB2 services - Domicile"/>
    <s v="Transport"/>
    <s v="Office"/>
    <n v="1000"/>
    <n v="1.8744037053212446"/>
    <n v="533.50300000000004"/>
    <s v="Parfaite"/>
    <s v="P-N-D1"/>
    <s v="PALF"/>
    <x v="7"/>
    <s v="Congo"/>
    <m/>
    <m/>
    <m/>
  </r>
  <r>
    <x v="289"/>
    <s v="Taxi hotel-tsila,repérage"/>
    <s v="Transport"/>
    <s v="Investigation"/>
    <n v="1500"/>
    <n v="2.8116055579818666"/>
    <n v="533.50300000000004"/>
    <s v="P29"/>
    <s v="P29-N-D1"/>
    <s v="PALF"/>
    <x v="7"/>
    <s v="Congo"/>
    <m/>
    <m/>
    <m/>
  </r>
  <r>
    <x v="289"/>
    <s v="Taxi tsila-bacongo,repérage"/>
    <s v="Transport"/>
    <s v="Investigation"/>
    <n v="1000"/>
    <n v="1.8744037053212446"/>
    <n v="533.50300000000004"/>
    <s v="P29"/>
    <s v="P29-N-D1"/>
    <s v="PALF"/>
    <x v="7"/>
    <s v="Congo"/>
    <m/>
    <m/>
    <m/>
  </r>
  <r>
    <x v="289"/>
    <s v="Taxi bacongo-sab,repérage"/>
    <s v="Transport"/>
    <s v="Investigation"/>
    <n v="1000"/>
    <n v="1.8744037053212446"/>
    <n v="533.50300000000004"/>
    <s v="P29"/>
    <s v="P29-N-D1"/>
    <s v="PALF"/>
    <x v="7"/>
    <s v="Congo"/>
    <m/>
    <m/>
    <m/>
  </r>
  <r>
    <x v="289"/>
    <s v="Taxi sab-domicile"/>
    <s v="Transport"/>
    <s v="Investigation"/>
    <n v="1000"/>
    <n v="1.8744037053212446"/>
    <n v="533.50300000000004"/>
    <s v="P29"/>
    <s v="P29-N-D1"/>
    <s v="PALF"/>
    <x v="7"/>
    <s v="Congo"/>
    <m/>
    <m/>
    <m/>
  </r>
  <r>
    <x v="289"/>
    <s v="Taxi : Hôtel Mack-Solo - Mboukou/ Rencontrer la cible"/>
    <s v="Transport"/>
    <s v="Investigation"/>
    <n v="1000"/>
    <n v="1.8744037053212446"/>
    <n v="533.50300000000004"/>
    <s v="IT87"/>
    <s v="IT87-N-D1"/>
    <s v="PALF"/>
    <x v="7"/>
    <s v="Congo"/>
    <m/>
    <m/>
    <m/>
  </r>
  <r>
    <x v="289"/>
    <s v="Achat boissons avec la cible"/>
    <s v="Trust Building"/>
    <s v="Investigation"/>
    <n v="2000"/>
    <n v="3.6802726345967711"/>
    <n v="543.43799999999999"/>
    <s v="IT87"/>
    <s v="IT87-N-D2"/>
    <s v="PALF"/>
    <x v="8"/>
    <s v="Congo"/>
    <m/>
    <m/>
    <m/>
  </r>
  <r>
    <x v="289"/>
    <s v="Taxi : Mboukou - Gare routière/ Extraction"/>
    <s v="Transport"/>
    <s v="Investigation"/>
    <n v="1500"/>
    <n v="2.8116055579818666"/>
    <n v="533.50300000000004"/>
    <s v="IT87"/>
    <s v="IT87-N-D1"/>
    <s v="PALF"/>
    <x v="7"/>
    <s v="Congo"/>
    <m/>
    <m/>
    <m/>
  </r>
  <r>
    <x v="289"/>
    <s v="Taxi : Gare routière - La frontière/ Extraction"/>
    <s v="Transport"/>
    <s v="Investigation"/>
    <n v="1500"/>
    <n v="2.8116055579818666"/>
    <n v="533.50300000000004"/>
    <s v="IT87"/>
    <s v="IT87-N-D1"/>
    <s v="PALF"/>
    <x v="7"/>
    <s v="Congo"/>
    <m/>
    <m/>
    <m/>
  </r>
  <r>
    <x v="289"/>
    <s v="Taxi : La frontière - Hôtel Mack-Solo/ Retour de la rencontre"/>
    <s v="Transport"/>
    <s v="Investigation"/>
    <n v="1000"/>
    <n v="1.8744037053212446"/>
    <n v="533.50300000000004"/>
    <s v="IT87"/>
    <s v="IT87-N-D1"/>
    <s v="PALF"/>
    <x v="7"/>
    <s v="Congo"/>
    <m/>
    <m/>
    <m/>
  </r>
  <r>
    <x v="289"/>
    <s v="Taxi : Hôtel Mack-Solo - Hôtel Pharaon/ Recupérer le budget"/>
    <s v="Transport"/>
    <s v="Investigation"/>
    <n v="1000"/>
    <n v="1.8744037053212446"/>
    <n v="533.50300000000004"/>
    <s v="IT87"/>
    <s v="IT87-N-D1"/>
    <s v="PALF"/>
    <x v="7"/>
    <s v="Congo"/>
    <m/>
    <m/>
    <m/>
  </r>
  <r>
    <x v="289"/>
    <s v="Taxi : Hôtel Pharaon - Hôtel Mack-Solo/ Retour du retrait du budget"/>
    <s v="Transport"/>
    <s v="Investigation"/>
    <n v="1000"/>
    <n v="1.8744037053212446"/>
    <n v="533.50300000000004"/>
    <s v="IT87"/>
    <s v="IT87-N-D1"/>
    <s v="PALF"/>
    <x v="7"/>
    <s v="Congo"/>
    <m/>
    <m/>
    <m/>
  </r>
  <r>
    <x v="289"/>
    <s v="Taxi : Hôtel Mack-Solo - Maloumbou/ Rendez-vous avec la cible"/>
    <s v="Transport"/>
    <s v="Investigation"/>
    <n v="1500"/>
    <n v="2.8116055579818666"/>
    <n v="533.50300000000004"/>
    <s v="IT87"/>
    <s v="IT87-N-D1"/>
    <s v="PALF"/>
    <x v="7"/>
    <s v="Congo"/>
    <m/>
    <m/>
    <m/>
  </r>
  <r>
    <x v="289"/>
    <s v="Achat repas et boissons"/>
    <s v="Trust Building"/>
    <s v="Investigation"/>
    <n v="9000"/>
    <n v="16.561226855685469"/>
    <n v="543.43799999999999"/>
    <s v="IT87"/>
    <s v="IT87-N-D2"/>
    <s v="PALF"/>
    <x v="8"/>
    <s v="Congo"/>
    <m/>
    <m/>
    <m/>
  </r>
  <r>
    <x v="289"/>
    <s v="Taxi : Maloumbou - Mboukou/ Extraction"/>
    <s v="Transport"/>
    <s v="Investigation"/>
    <n v="1000"/>
    <n v="1.8744037053212446"/>
    <n v="533.50300000000004"/>
    <s v="IT87"/>
    <s v="IT87-N-D1"/>
    <s v="PALF"/>
    <x v="7"/>
    <s v="Congo"/>
    <m/>
    <m/>
    <m/>
  </r>
  <r>
    <x v="289"/>
    <s v="Taxi : Mboukou - Grand marché/ Extraction"/>
    <s v="Transport"/>
    <s v="Investigation"/>
    <n v="1000"/>
    <n v="1.8744037053212446"/>
    <n v="533.50300000000004"/>
    <s v="IT87"/>
    <s v="IT87-N-D1"/>
    <s v="PALF"/>
    <x v="7"/>
    <s v="Congo"/>
    <m/>
    <m/>
    <m/>
  </r>
  <r>
    <x v="289"/>
    <s v="Taxi : Grand marché - Hôtel Mack-Solo/ Retour du rendez-vous"/>
    <s v="Transport"/>
    <s v="Investigation"/>
    <n v="1000"/>
    <n v="1.8744037053212446"/>
    <n v="533.50300000000004"/>
    <s v="IT87"/>
    <s v="IT87-N-D1"/>
    <s v="PALF"/>
    <x v="7"/>
    <s v="Congo"/>
    <m/>
    <m/>
    <m/>
  </r>
  <r>
    <x v="289"/>
    <s v="G12-CONGO Frais d'hotel du 18 au 19 /11/2025 à Ouesso (01 Nuitée)"/>
    <s v="TraVel subsistence"/>
    <s v="Investigation"/>
    <n v="15000"/>
    <n v="28.116055579818667"/>
    <n v="533.50300000000004"/>
    <s v="G12"/>
    <s v="G12-N-R9"/>
    <s v="PALF"/>
    <x v="7"/>
    <s v="Congo"/>
    <m/>
    <m/>
    <m/>
  </r>
  <r>
    <x v="289"/>
    <s v="Taxi : Hotel - agence océan du nord (retour sur Brazzaville)"/>
    <s v="Transport"/>
    <s v="Investigation"/>
    <n v="500"/>
    <n v="0.93720185266062228"/>
    <n v="533.50300000000004"/>
    <s v="G12"/>
    <s v="G12-N-D1"/>
    <s v="PALF"/>
    <x v="7"/>
    <s v="Congo"/>
    <m/>
    <m/>
    <m/>
  </r>
  <r>
    <x v="289"/>
    <s v="Achat billet Ouesso - Brazzaville/ G12"/>
    <s v="Transport"/>
    <s v="Investigation"/>
    <n v="12000"/>
    <n v="22.492844463854933"/>
    <n v="533.50300000000004"/>
    <s v="G12"/>
    <s v="G12-N-R10"/>
    <s v="PALF"/>
    <x v="7"/>
    <s v="Congo"/>
    <m/>
    <m/>
    <m/>
  </r>
  <r>
    <x v="289"/>
    <s v="Taxi : Agence océan du nord - domicile"/>
    <s v="Transport"/>
    <s v="Investigation"/>
    <n v="1000"/>
    <n v="1.8744037053212446"/>
    <n v="533.50300000000004"/>
    <s v="G12"/>
    <s v="G12-N-D1"/>
    <s v="PALF"/>
    <x v="7"/>
    <s v="Congo"/>
    <m/>
    <m/>
    <m/>
  </r>
  <r>
    <x v="289"/>
    <s v=" Taxi: Domicile-Agence Trans Bony de la Frontère"/>
    <s v="Transport"/>
    <s v="Legal"/>
    <n v="2500"/>
    <n v="4.6860092633031112"/>
    <n v="533.50300000000004"/>
    <s v="Romain"/>
    <s v="RM-N-D1"/>
    <s v="PALF"/>
    <x v="7"/>
    <s v="Congo"/>
    <m/>
    <m/>
    <m/>
  </r>
  <r>
    <x v="289"/>
    <s v="Taxi moto: Agence Trans Bony de Madingou-Hôtel Dzongo Benoit"/>
    <s v="Transport"/>
    <s v="Legal"/>
    <n v="500"/>
    <m/>
    <n v="533.50300000000004"/>
    <s v="Romain"/>
    <s v="RM-N-D1"/>
    <s v="PALF"/>
    <x v="7"/>
    <s v="Congo"/>
    <m/>
    <m/>
    <m/>
  </r>
  <r>
    <x v="289"/>
    <s v="ROMAIN-CONGO: Ration du 19 au 21/11/2025 à Madingou"/>
    <s v="Travel Subsistence"/>
    <s v="Legal"/>
    <n v="20000"/>
    <n v="37.488074106424889"/>
    <n v="533.50300000000004"/>
    <s v="Romain"/>
    <s v="RM-N-D2"/>
    <s v="PALF"/>
    <x v="7"/>
    <s v="Congo"/>
    <m/>
    <m/>
    <m/>
  </r>
  <r>
    <x v="289"/>
    <s v="Taxi moto: Hotel DZONGO-Marché(pour acheter la ration du prevenu)"/>
    <s v="Transport"/>
    <s v="Legal"/>
    <n v="500"/>
    <n v="0.93720185266062228"/>
    <n v="533.50300000000004"/>
    <s v="Romain"/>
    <s v="RM-N-D1"/>
    <s v="PALF"/>
    <x v="7"/>
    <s v="Congo"/>
    <m/>
    <m/>
    <m/>
  </r>
  <r>
    <x v="289"/>
    <s v=" Ration du prevenu NTONDELE Fulgence au commissariat de police de Madingou/soir"/>
    <s v="Jail visits"/>
    <s v="Legal"/>
    <n v="1500"/>
    <n v="2.8116055579818666"/>
    <n v="533.50300000000004"/>
    <s v="Romain"/>
    <s v="RM-N-D3"/>
    <s v="PALF"/>
    <x v="7"/>
    <s v="Congo"/>
    <m/>
    <m/>
    <m/>
  </r>
  <r>
    <x v="289"/>
    <s v="Taxi moto: Marché-Commissariat de Police de Madingou"/>
    <s v="Transport"/>
    <s v="Legal"/>
    <n v="500"/>
    <n v="0.93720185266062228"/>
    <n v="533.50300000000004"/>
    <s v="Romain"/>
    <s v="RM-N-D1"/>
    <s v="PALF"/>
    <x v="7"/>
    <s v="Congo"/>
    <m/>
    <m/>
    <m/>
  </r>
  <r>
    <x v="289"/>
    <s v="Taxi moto: Commissariat de Police-Hotel Dzongo"/>
    <s v="Transport"/>
    <s v="Legal"/>
    <n v="500"/>
    <n v="0.93720185266062228"/>
    <n v="533.50300000000004"/>
    <s v="Romain"/>
    <s v="RM-N-D1"/>
    <s v="PALF"/>
    <x v="7"/>
    <s v="Congo"/>
    <m/>
    <m/>
    <m/>
  </r>
  <r>
    <x v="290"/>
    <s v="Maison-Bureau"/>
    <s v="Transport"/>
    <s v="Management"/>
    <n v="1000"/>
    <n v="1.8744037053212446"/>
    <n v="533.50300000000004"/>
    <s v="DOVI"/>
    <s v="DH-N-D1"/>
    <s v="PALF"/>
    <x v="7"/>
    <s v="Congo"/>
    <m/>
    <m/>
    <m/>
  </r>
  <r>
    <x v="290"/>
    <s v="Bureau-Maison"/>
    <s v="Transport"/>
    <s v="Management"/>
    <n v="1000"/>
    <n v="1.8744037053212446"/>
    <n v="533.50300000000004"/>
    <s v="DOVI"/>
    <s v="DH-N-D1"/>
    <s v="PALF"/>
    <x v="7"/>
    <s v="Congo"/>
    <m/>
    <m/>
    <m/>
  </r>
  <r>
    <x v="290"/>
    <s v="Taxi: Domicile Myanga-Marché Total pour suivi de la remise du prix du meilleur activiste"/>
    <s v="Transport"/>
    <s v="Legal"/>
    <n v="1500"/>
    <n v="2.8116055579818666"/>
    <n v="533.50300000000004"/>
    <s v="Crépin"/>
    <s v="CR-N-D2"/>
    <s v="PALF"/>
    <x v="7"/>
    <s v="Congo"/>
    <m/>
    <m/>
    <m/>
  </r>
  <r>
    <x v="290"/>
    <s v="Taxi: Marché Total-Bureau"/>
    <s v="Transport"/>
    <s v="Legal"/>
    <n v="1000"/>
    <n v="1.8744037053212446"/>
    <n v="533.50300000000004"/>
    <s v="Crépin"/>
    <s v="CR-N-D2"/>
    <s v="PALF"/>
    <x v="7"/>
    <s v="Congo"/>
    <m/>
    <m/>
    <m/>
  </r>
  <r>
    <x v="290"/>
    <s v="Taxi: Bureau-Marché Total"/>
    <s v="Transport"/>
    <s v="Legal"/>
    <n v="1000"/>
    <n v="1.8744037053212446"/>
    <n v="533.50300000000004"/>
    <s v="Crépin"/>
    <s v="CR-N-D2"/>
    <s v="PALF"/>
    <x v="7"/>
    <s v="Congo"/>
    <m/>
    <m/>
    <m/>
  </r>
  <r>
    <x v="290"/>
    <s v="Taxi: Marché Total-Domicile Mayanga."/>
    <s v="Transport"/>
    <s v="Legal"/>
    <n v="1500"/>
    <n v="2.8116055579818666"/>
    <n v="533.50300000000004"/>
    <s v="Crépin"/>
    <s v="CR-N-D2"/>
    <s v="PALF"/>
    <x v="7"/>
    <s v="Congo"/>
    <m/>
    <m/>
    <m/>
  </r>
  <r>
    <x v="290"/>
    <s v="Taxi:Bureau-Agence océan du nord de la liberté pour la reservation des billets "/>
    <s v="Transport"/>
    <s v="Legal"/>
    <n v="1000"/>
    <n v="1.8744037053212446"/>
    <n v="533.50300000000004"/>
    <s v="Roderlin"/>
    <s v="RO-N-D1"/>
    <s v="PALF"/>
    <x v="7"/>
    <s v="Congo"/>
    <m/>
    <m/>
    <m/>
  </r>
  <r>
    <x v="290"/>
    <s v="Taxi:Agence Océan du nord de la liberté-Bureau"/>
    <s v="Transport"/>
    <s v="Legal"/>
    <n v="1000"/>
    <n v="1.8744037053212446"/>
    <n v="533.50300000000004"/>
    <s v="Roderlin"/>
    <s v="RO-N-D1"/>
    <s v="PALF"/>
    <x v="7"/>
    <s v="Congo"/>
    <m/>
    <m/>
    <m/>
  </r>
  <r>
    <x v="290"/>
    <s v="Achat billet Brazzaville-Impfondo/ Donald-Roméo"/>
    <s v="Transport "/>
    <s v="Legal"/>
    <n v="37000"/>
    <n v="69.352937096886052"/>
    <n v="533.50300000000004"/>
    <s v="Donald-Romeo"/>
    <s v="DR-N-R4"/>
    <s v="PALF"/>
    <x v="7"/>
    <s v="Congo"/>
    <m/>
    <m/>
    <m/>
  </r>
  <r>
    <x v="290"/>
    <s v="Frais de transport mission Maitre Alain à Impfondo du 20 au 30/11/2025"/>
    <s v="Transport"/>
    <s v="Legal"/>
    <n v="88000"/>
    <n v="164.94752606826953"/>
    <n v="533.50300000000004"/>
    <s v="Donald-Romeo"/>
    <s v="CA-N-R19"/>
    <s v="PALF"/>
    <x v="7"/>
    <s v="Congo"/>
    <m/>
    <m/>
    <m/>
  </r>
  <r>
    <x v="290"/>
    <s v="Ration et frais d'hotel mission maitre Alain à Impfondo du 20 au 30/11/2025"/>
    <s v="Travel Subsistence"/>
    <s v="Legal"/>
    <n v="175000"/>
    <n v="328.02064843121781"/>
    <n v="533.50300000000004"/>
    <s v="Donald-Romeo"/>
    <s v="CA-N-R20"/>
    <s v="PALF"/>
    <x v="7"/>
    <s v="Congo"/>
    <m/>
    <m/>
    <m/>
  </r>
  <r>
    <x v="290"/>
    <s v="Taxi, Sainte Marie de Ouenzé-Bureau PALF"/>
    <s v="Transport"/>
    <s v="Media"/>
    <n v="1000"/>
    <n v="1.8744037053212446"/>
    <n v="533.50300000000004"/>
    <s v="Evariste"/>
    <s v="EV-N-D1"/>
    <s v="PALF"/>
    <x v="7"/>
    <s v="Congo"/>
    <m/>
    <m/>
    <m/>
  </r>
  <r>
    <x v="290"/>
    <s v="Taxi, Bureau PALF-Domicile  (la soirée du prix EAGLE)"/>
    <s v="Transport"/>
    <s v="Media"/>
    <n v="1000"/>
    <n v="1.8744037053212446"/>
    <n v="533.50300000000004"/>
    <s v="Evariste"/>
    <s v="EV-N-D1"/>
    <s v="PALF"/>
    <x v="7"/>
    <s v="Congo"/>
    <m/>
    <m/>
    <m/>
  </r>
  <r>
    <x v="290"/>
    <s v="Taxi moto:  Hotel Dzongo-Marché(pour acheter la ration du Prévenu)"/>
    <s v="Transport"/>
    <s v="Legal"/>
    <n v="500"/>
    <n v="0.93720185266062228"/>
    <n v="533.50300000000004"/>
    <s v="Romain"/>
    <s v="RM-N-D1"/>
    <s v="PALF"/>
    <x v="7"/>
    <s v="Congo"/>
    <m/>
    <m/>
    <m/>
  </r>
  <r>
    <x v="290"/>
    <s v=" Ration du prevenu NTONDELE Fulgence au commissariat de police de Madingou/matin"/>
    <s v="Jail visits"/>
    <s v="Legal"/>
    <n v="1500"/>
    <n v="2.8116055579818666"/>
    <n v="533.50300000000004"/>
    <s v="Romain"/>
    <s v="RM-N-D3"/>
    <s v="PALF"/>
    <x v="7"/>
    <s v="Congo"/>
    <m/>
    <m/>
    <m/>
  </r>
  <r>
    <x v="290"/>
    <s v="Taxi moto: Marché-Commissariat de Police"/>
    <s v="Transport"/>
    <s v="Legal"/>
    <n v="500"/>
    <n v="0.93720185266062228"/>
    <n v="533.50300000000004"/>
    <s v="Romain"/>
    <s v="RM-N-D1"/>
    <s v="PALF"/>
    <x v="7"/>
    <s v="Congo"/>
    <m/>
    <m/>
    <m/>
  </r>
  <r>
    <x v="290"/>
    <s v="Taxi moto: Commissariat de Police-Tribunal de Grande Instance"/>
    <s v="Transport"/>
    <s v="Legal"/>
    <n v="500"/>
    <n v="0.93720185266062228"/>
    <n v="533.50300000000004"/>
    <s v="Romain"/>
    <s v="RM-N-D1"/>
    <s v="PALF"/>
    <x v="7"/>
    <s v="Congo"/>
    <m/>
    <m/>
    <m/>
  </r>
  <r>
    <x v="290"/>
    <s v="Achat du Billet: Madingou-Brazzaville/ Romain"/>
    <s v="Transport"/>
    <s v="Legal"/>
    <n v="7000"/>
    <n v="13.120825937248712"/>
    <n v="533.50300000000004"/>
    <s v="Romain"/>
    <s v="RM-N-R8"/>
    <s v="PALF"/>
    <x v="7"/>
    <s v="Congo"/>
    <m/>
    <m/>
    <m/>
  </r>
  <r>
    <x v="290"/>
    <s v="Taxi moto: Agence Trans Bony de Madingou-Hôtel Dzongo Benoit"/>
    <s v="Transport"/>
    <s v="Legal"/>
    <n v="500"/>
    <n v="0.93720185266062228"/>
    <n v="533.50300000000004"/>
    <s v="Romain"/>
    <s v="RM-N-D1"/>
    <s v="PALF"/>
    <x v="7"/>
    <s v="Congo"/>
    <m/>
    <m/>
    <m/>
  </r>
  <r>
    <x v="290"/>
    <s v="Taxi moto: Hotel DZONGO-Marché(pour acheter la ration du prevenu)"/>
    <s v="Transport"/>
    <s v="Legal"/>
    <n v="500"/>
    <n v="0.93720185266062228"/>
    <n v="533.50300000000004"/>
    <s v="Romain"/>
    <s v="RM-N-D1"/>
    <s v="PALF"/>
    <x v="7"/>
    <s v="Congo"/>
    <m/>
    <m/>
    <m/>
  </r>
  <r>
    <x v="290"/>
    <s v=" Ration du prevenu NTONDELE Fulgence au commissariat de police de Madingou/Soir"/>
    <s v="Jail visits"/>
    <s v="Legal"/>
    <n v="1500"/>
    <n v="2.8116055579818666"/>
    <n v="533.50300000000004"/>
    <s v="Romain"/>
    <s v="RM-N-D3"/>
    <s v="PALF"/>
    <x v="7"/>
    <s v="Congo"/>
    <m/>
    <m/>
    <m/>
  </r>
  <r>
    <x v="290"/>
    <s v="Taxi moto: marché-Commissariat de Police"/>
    <s v="Transport"/>
    <s v="Legal"/>
    <n v="500"/>
    <n v="0.93720185266062228"/>
    <n v="533.50300000000004"/>
    <s v="Romain"/>
    <s v="RM-N-D1"/>
    <s v="PALF"/>
    <x v="7"/>
    <s v="Congo"/>
    <m/>
    <m/>
    <m/>
  </r>
  <r>
    <x v="290"/>
    <s v="Taxi moto: Commissariat de Police-Hotel Dzongo"/>
    <s v="Transport"/>
    <s v="Legal"/>
    <n v="500"/>
    <n v="0.93720185266062228"/>
    <n v="533.50300000000004"/>
    <s v="Romain"/>
    <s v="RM-N-D1"/>
    <s v="PALF"/>
    <x v="7"/>
    <s v="Congo"/>
    <m/>
    <m/>
    <m/>
  </r>
  <r>
    <x v="291"/>
    <s v="Maison - Hôtel HILTON (séminaire)"/>
    <s v="Transport"/>
    <s v="Management"/>
    <n v="1500"/>
    <n v="2.8116055579818666"/>
    <n v="533.50300000000004"/>
    <s v="DOVI"/>
    <s v="DH-N-D1"/>
    <s v="PALF"/>
    <x v="7"/>
    <s v="Congo"/>
    <m/>
    <m/>
    <m/>
  </r>
  <r>
    <x v="291"/>
    <s v="Hôtel HILTON - Bureau"/>
    <s v="Transport"/>
    <s v="Management"/>
    <n v="1500"/>
    <n v="2.8116055579818666"/>
    <n v="533.50300000000004"/>
    <s v="DOVI"/>
    <s v="DH-N-D1"/>
    <s v="PALF"/>
    <x v="7"/>
    <s v="Congo"/>
    <m/>
    <m/>
    <m/>
  </r>
  <r>
    <x v="291"/>
    <s v="Bureau - Maison"/>
    <s v="Transport"/>
    <s v="Management"/>
    <n v="1000"/>
    <n v="1.8744037053212446"/>
    <n v="533.50300000000004"/>
    <s v="DOVI"/>
    <s v="DH-N-D1"/>
    <s v="PALF"/>
    <x v="7"/>
    <s v="Congo"/>
    <m/>
    <m/>
    <m/>
  </r>
  <r>
    <x v="291"/>
    <s v="Frais de tansfert d'argent  à P29, et IT87 par momo"/>
    <s v="Transfert fees"/>
    <s v="Office"/>
    <n v="4060"/>
    <n v="7.6100790436042525"/>
    <n v="533.50300000000004"/>
    <s v="Parfaite"/>
    <s v="CA-N-R21"/>
    <s v="PALF"/>
    <x v="7"/>
    <s v="Congo"/>
    <m/>
    <m/>
    <m/>
  </r>
  <r>
    <x v="291"/>
    <s v="Taxi:  Bureau - Direction MB2 Services / transfert d'argent à P29 et IT87 "/>
    <s v="Transport"/>
    <s v="Office"/>
    <n v="1000"/>
    <n v="1.8744037053212446"/>
    <n v="533.50300000000004"/>
    <s v="Parfaite"/>
    <s v="P-N-D1"/>
    <s v="PALF"/>
    <x v="7"/>
    <s v="Congo"/>
    <m/>
    <m/>
    <m/>
  </r>
  <r>
    <x v="291"/>
    <s v="Taxi:Direction MB2 services - Domicile"/>
    <s v="Transport"/>
    <s v="Office"/>
    <n v="1000"/>
    <n v="1.8744037053212446"/>
    <n v="533.50300000000004"/>
    <s v="Parfaite"/>
    <s v="P-N-D1"/>
    <s v="PALF"/>
    <x v="7"/>
    <s v="Congo"/>
    <m/>
    <m/>
    <m/>
  </r>
  <r>
    <x v="291"/>
    <s v="Taxi : Hôtel Mack-Solo - Hôtel Pharaon/ Recupérer le budget"/>
    <s v="Transport"/>
    <s v="Investigation"/>
    <n v="1000"/>
    <n v="1.8744037053212446"/>
    <n v="533.50300000000004"/>
    <s v="IT87"/>
    <s v="IT87-N-D1"/>
    <s v="PALF"/>
    <x v="7"/>
    <s v="Congo"/>
    <m/>
    <m/>
    <m/>
  </r>
  <r>
    <x v="291"/>
    <s v="Taxi : Hôtel Pharaon - Hôtel Mack-Solo/ Retour du retrait du budget"/>
    <s v="Transport"/>
    <s v="Investigation"/>
    <n v="1000"/>
    <n v="1.8744037053212446"/>
    <n v="533.50300000000004"/>
    <s v="IT87"/>
    <s v="IT87-N-D1"/>
    <s v="PALF"/>
    <x v="7"/>
    <s v="Congo"/>
    <m/>
    <m/>
    <m/>
  </r>
  <r>
    <x v="291"/>
    <s v="ROMAIN-CONGO: Frais d'Hotel du 19 au 21/11/2025 à Madingou(02 nuitées)"/>
    <s v="Travel Subsistence"/>
    <s v="Legal"/>
    <n v="30000"/>
    <n v="56.232111159637334"/>
    <n v="533.50300000000004"/>
    <s v="Romain"/>
    <s v="RM-N-R9"/>
    <s v="PALF"/>
    <x v="7"/>
    <s v="Congo"/>
    <m/>
    <m/>
    <m/>
  </r>
  <r>
    <x v="291"/>
    <s v="Taxi moto: Hotel Dzongo-Agence Trans Bony de Madingou"/>
    <s v="Transport"/>
    <s v="Legal"/>
    <n v="500"/>
    <n v="0.93720185266062228"/>
    <n v="533.50300000000004"/>
    <s v="Romain"/>
    <s v="RM-N-D1"/>
    <s v="PALF"/>
    <x v="7"/>
    <s v="Congo"/>
    <m/>
    <m/>
    <m/>
  </r>
  <r>
    <x v="291"/>
    <s v="Taxi: Agence Trans Bony de Bifouiti-Domicile"/>
    <s v="Transport"/>
    <s v="Legal"/>
    <n v="2500"/>
    <n v="4.6860092633031112"/>
    <n v="533.50300000000004"/>
    <s v="Romain"/>
    <s v="RM-N-D1"/>
    <s v="PALF"/>
    <x v="7"/>
    <s v="Congo"/>
    <m/>
    <m/>
    <m/>
  </r>
  <r>
    <x v="292"/>
    <s v="Taxi Diata-Boueta-mbongo/ Remettre le budget de maître Banzouzi"/>
    <s v="Transport "/>
    <s v="Legal"/>
    <n v="2000"/>
    <n v="3.7488074106424891"/>
    <n v="533.50300000000004"/>
    <s v="Donald-Romeo"/>
    <s v="DR-N-D1"/>
    <s v="PALF"/>
    <x v="7"/>
    <s v="Congo"/>
    <m/>
    <m/>
    <m/>
  </r>
  <r>
    <x v="292"/>
    <s v="Taxi Boueta-mbongo-Diata"/>
    <s v="Transport "/>
    <s v="Legal"/>
    <n v="2000"/>
    <n v="3.7488074106424891"/>
    <n v="533.50300000000004"/>
    <s v="Donald-Romeo"/>
    <s v="DR-N-D1"/>
    <s v="PALF"/>
    <x v="7"/>
    <s v="Congo"/>
    <m/>
    <m/>
    <m/>
  </r>
  <r>
    <x v="293"/>
    <s v="Taxi hotel-agence,achat billet"/>
    <s v="Transport"/>
    <s v="Investigation"/>
    <n v="1000"/>
    <n v="1.8744037053212446"/>
    <n v="533.50300000000004"/>
    <s v="P29"/>
    <s v="P29-N-D1"/>
    <s v="PALF"/>
    <x v="7"/>
    <s v="Congo"/>
    <m/>
    <m/>
    <m/>
  </r>
  <r>
    <x v="293"/>
    <s v="Taxi agence-hotel"/>
    <s v="Transport"/>
    <s v="Investigation"/>
    <n v="1000"/>
    <n v="1.8744037053212446"/>
    <n v="533.50300000000004"/>
    <s v="P29"/>
    <s v="P29-N-D1"/>
    <s v="PALF"/>
    <x v="7"/>
    <s v="Congo"/>
    <m/>
    <m/>
    <m/>
  </r>
  <r>
    <x v="293"/>
    <s v="Achat billet dolisie-Brazzaville/P29"/>
    <s v="Transport"/>
    <s v="Investigation"/>
    <n v="9000"/>
    <n v="16.869633347891202"/>
    <n v="533.50300000000004"/>
    <s v="P29"/>
    <s v="P29-N-R5"/>
    <s v="PALF"/>
    <x v="7"/>
    <s v="Congo"/>
    <m/>
    <m/>
    <m/>
  </r>
  <r>
    <x v="293"/>
    <s v="Taxi : Hôtel Mack-Solo - Agence Océan du nord/ Achat billet"/>
    <s v="Transport"/>
    <s v="Investigation"/>
    <n v="1000"/>
    <n v="1.8744037053212446"/>
    <n v="533.50300000000004"/>
    <s v="IT87"/>
    <s v="IT87-N-D1"/>
    <s v="PALF"/>
    <x v="7"/>
    <s v="Congo"/>
    <m/>
    <m/>
    <m/>
  </r>
  <r>
    <x v="293"/>
    <s v="Taxi : Agence Océan du nord - Hôtel Mack-Solo/ Retour d'achat billet"/>
    <s v="Transport"/>
    <s v="Investigation"/>
    <n v="1000"/>
    <n v="1.8744037053212446"/>
    <n v="533.50300000000004"/>
    <s v="IT87"/>
    <s v="IT87-N-D1"/>
    <s v="PALF"/>
    <x v="7"/>
    <s v="Congo"/>
    <m/>
    <m/>
    <m/>
  </r>
  <r>
    <x v="293"/>
    <s v="Taxi Domicile-Agence Océan du Nord de Talangaî"/>
    <s v="Transport "/>
    <s v="Legal"/>
    <n v="3000"/>
    <n v="5.6232111159637332"/>
    <n v="533.50300000000004"/>
    <s v="Donald-Romeo"/>
    <s v="DR-N-D1"/>
    <s v="PALF"/>
    <x v="7"/>
    <s v="Congo"/>
    <m/>
    <m/>
    <m/>
  </r>
  <r>
    <x v="293"/>
    <s v="Taxi agence Océan du Nord de Ouesso-Hôtel Divine"/>
    <s v="Transport "/>
    <s v="Legal"/>
    <n v="500"/>
    <n v="0.93720185266062228"/>
    <n v="533.50300000000004"/>
    <s v="Donald-Romeo"/>
    <s v="DR-N-D1"/>
    <s v="PALF"/>
    <x v="7"/>
    <s v="Congo"/>
    <m/>
    <m/>
    <m/>
  </r>
  <r>
    <x v="293"/>
    <s v="DONALD-ROMEO-CONGO Ration  du  23 au 30/11/2025 à Ouesso/ Impfondo/ Enyellé/ Gamboma"/>
    <s v="Travel Subsistence"/>
    <s v="Legal"/>
    <n v="70000"/>
    <n v="131.20825937248711"/>
    <n v="533.50300000000004"/>
    <s v="Donald-Romeo"/>
    <s v="DR-N-D2"/>
    <s v="PALF"/>
    <x v="7"/>
    <s v="Congo"/>
    <m/>
    <m/>
    <m/>
  </r>
  <r>
    <x v="293"/>
    <s v="DONALD ROMEO-CONGO Frais d'hôtel du 23 au 24/11/2025 à Ouesso (01 nuitée)"/>
    <s v="Travel Subsistence"/>
    <s v="Legal"/>
    <n v="15000"/>
    <n v="28.116055579818667"/>
    <n v="533.50300000000004"/>
    <s v="Donald-Romeo"/>
    <s v="DR-N-R5"/>
    <s v="PALF"/>
    <x v="7"/>
    <s v="Congo"/>
    <m/>
    <m/>
    <m/>
  </r>
  <r>
    <x v="294"/>
    <s v="Maison-Bureau"/>
    <s v="Transport"/>
    <s v="Management"/>
    <n v="1000"/>
    <n v="1.8744037053212446"/>
    <n v="533.50300000000004"/>
    <s v="DOVI"/>
    <s v="DH-N-D1"/>
    <s v="PALF"/>
    <x v="7"/>
    <s v="Congo"/>
    <m/>
    <m/>
    <m/>
  </r>
  <r>
    <x v="294"/>
    <s v="Bureau -Maison"/>
    <s v="Transport"/>
    <s v="Management"/>
    <n v="1000"/>
    <n v="1.8744037053212446"/>
    <n v="533.50300000000004"/>
    <s v="DOVI"/>
    <s v="DH-N-D1"/>
    <s v="PALF"/>
    <x v="7"/>
    <s v="Congo"/>
    <m/>
    <m/>
    <m/>
  </r>
  <r>
    <x v="294"/>
    <s v="P29 -CONGO Frais d'hotel du 14 au 24/11/2025 à dolisie (10 Nuitées)"/>
    <s v="Travel Subsistence"/>
    <s v="Investigation"/>
    <n v="150000"/>
    <n v="281.16055579818669"/>
    <n v="533.50300000000004"/>
    <s v="P29"/>
    <s v="P29-N-R6"/>
    <s v="PALF"/>
    <x v="7"/>
    <s v="Congo"/>
    <m/>
    <m/>
    <m/>
  </r>
  <r>
    <x v="294"/>
    <s v="Taxi hotel-agence,départ pour brazza"/>
    <s v="Transport"/>
    <s v="Investigation"/>
    <n v="1000"/>
    <n v="1.8744037053212446"/>
    <n v="533.50300000000004"/>
    <s v="P29"/>
    <s v="P29-N-D1"/>
    <s v="PALF"/>
    <x v="7"/>
    <s v="Congo"/>
    <m/>
    <m/>
    <m/>
  </r>
  <r>
    <x v="294"/>
    <s v="Taxi agence-domicile,arrivé à brazzaville"/>
    <s v="Transport"/>
    <s v="Investigation"/>
    <n v="1500"/>
    <n v="2.8116055579818666"/>
    <n v="533.50300000000004"/>
    <s v="P29"/>
    <s v="P29-N-D1"/>
    <s v="PALF"/>
    <x v="7"/>
    <s v="Congo"/>
    <m/>
    <m/>
    <m/>
  </r>
  <r>
    <x v="294"/>
    <s v="Taxi : domicile - Talangai (prospection)"/>
    <s v="Transport"/>
    <s v="Investigation"/>
    <n v="1000"/>
    <n v="1.8744037053212446"/>
    <n v="533.50300000000004"/>
    <s v="T73"/>
    <s v="T73-N-D1"/>
    <s v="PALF"/>
    <x v="7"/>
    <s v="Congo"/>
    <m/>
    <m/>
    <m/>
  </r>
  <r>
    <x v="294"/>
    <s v="Taxi : oeunze - bureau ( retour au bureau par ordre du coordinateur)"/>
    <s v="Transport"/>
    <s v="Investigation"/>
    <n v="1000"/>
    <n v="1.8744037053212446"/>
    <n v="533.50300000000004"/>
    <s v="T73"/>
    <s v="T73-N-D1"/>
    <s v="PALF"/>
    <x v="7"/>
    <s v="Congo"/>
    <m/>
    <m/>
    <m/>
  </r>
  <r>
    <x v="294"/>
    <s v="IT87-CONGO Frais d'hôtel  du 14 au 24/11/2025 à Dolisie (10 nuitées)"/>
    <s v="Travel Subsistence"/>
    <s v="Investigation"/>
    <n v="150000"/>
    <n v="281.16055579818669"/>
    <n v="533.50300000000004"/>
    <s v="IT87"/>
    <s v="IT87-N-R5"/>
    <s v="PALF"/>
    <x v="7"/>
    <s v="Congo"/>
    <m/>
    <m/>
    <m/>
  </r>
  <r>
    <x v="294"/>
    <s v="Taxi : Hôtel - Agence Océan du nord/ Départ de Dolisie pour Brazzaville"/>
    <s v="Transport"/>
    <s v="Investigation"/>
    <n v="1000"/>
    <n v="1.8744037053212446"/>
    <n v="533.50300000000004"/>
    <s v="IT87"/>
    <s v="IT87-N-D1"/>
    <s v="PALF"/>
    <x v="7"/>
    <s v="Congo"/>
    <m/>
    <m/>
    <m/>
  </r>
  <r>
    <x v="294"/>
    <s v="Achat billet Dolisie - Brazzaville/ IT87"/>
    <s v="Transport"/>
    <s v="Investigation"/>
    <n v="9000"/>
    <n v="16.869633347891202"/>
    <n v="533.50300000000004"/>
    <s v="IT87"/>
    <s v="IT87-N-R6"/>
    <s v="PALF"/>
    <x v="7"/>
    <s v="Congo"/>
    <m/>
    <m/>
    <m/>
  </r>
  <r>
    <x v="294"/>
    <s v="Taxi : Agence Océan du nord Moungali - Domicile/ Arrivé à Brazzaville"/>
    <s v="Transport"/>
    <s v="Investigation"/>
    <n v="2500"/>
    <n v="4.6860092633031112"/>
    <n v="533.50300000000004"/>
    <s v="IT87"/>
    <s v="IT87-N-D1"/>
    <s v="PALF"/>
    <x v="7"/>
    <s v="Congo"/>
    <m/>
    <m/>
    <m/>
  </r>
  <r>
    <x v="294"/>
    <s v="Taxi:Bureau-DGEF pour le rétrait du contrat "/>
    <s v="Transport"/>
    <s v="Legal"/>
    <n v="1000"/>
    <n v="1.8744037053212446"/>
    <n v="533.50300000000004"/>
    <s v="Roderlin"/>
    <s v="RO-N-D1"/>
    <s v="PALF"/>
    <x v="7"/>
    <s v="Congo"/>
    <m/>
    <m/>
    <m/>
  </r>
  <r>
    <x v="294"/>
    <s v="Taxi:DGEF-Bureau"/>
    <s v="Transport"/>
    <s v="Legal"/>
    <n v="1000"/>
    <n v="1.8744037053212446"/>
    <n v="533.50300000000004"/>
    <s v="Roderlin"/>
    <s v="RO-N-D1"/>
    <s v="PALF"/>
    <x v="7"/>
    <s v="Congo"/>
    <m/>
    <m/>
    <m/>
  </r>
  <r>
    <x v="294"/>
    <s v="Taxi Hôtel Divine-agence Océan du Nord de Ouesso"/>
    <s v="Transport "/>
    <s v="Legal"/>
    <n v="500"/>
    <n v="0.93720185266062228"/>
    <n v="533.50300000000004"/>
    <s v="Donald-Romeo"/>
    <s v="DR-N-D1"/>
    <s v="PALF"/>
    <x v="7"/>
    <s v="Congo"/>
    <m/>
    <m/>
    <m/>
  </r>
  <r>
    <x v="294"/>
    <s v="Taxi Hôtel agence Océan du Nord d'Enyelé-Hôtel Paulina"/>
    <s v="Transport "/>
    <s v="Legal"/>
    <n v="500"/>
    <n v="0.93720185266062228"/>
    <n v="533.50300000000004"/>
    <s v="Donald-Romeo"/>
    <s v="DR-N-D1"/>
    <s v="PALF"/>
    <x v="7"/>
    <s v="Congo"/>
    <m/>
    <m/>
    <m/>
  </r>
  <r>
    <x v="294"/>
    <s v="DONALD ROMEO-CONGO Frais d'hôtel du 24 au 25/11/2025 à Enyelé (01 nuitée)"/>
    <s v="Travel Subsistence"/>
    <s v="Legal"/>
    <n v="15000"/>
    <n v="28.116055579818667"/>
    <n v="533.50300000000004"/>
    <s v="Donald-Romeo"/>
    <s v="DR-N-R6"/>
    <s v="PALF"/>
    <x v="7"/>
    <s v="Congo"/>
    <m/>
    <m/>
    <m/>
  </r>
  <r>
    <x v="294"/>
    <s v="Acompte honoraire contrat N 87_Madingou casNTONDELE Fulgence Claver/Maitre Marie Hélène NANITELAMIO MALONGA/ 3655350"/>
    <s v="Lawyer Fees"/>
    <s v="Legal"/>
    <n v="200000"/>
    <n v="374.88074106424892"/>
    <n v="533.50300000000004"/>
    <s v="BCI"/>
    <s v="BQ-N-R5"/>
    <s v="PALF"/>
    <x v="7"/>
    <s v="Congo"/>
    <m/>
    <m/>
    <m/>
  </r>
  <r>
    <x v="294"/>
    <s v="Solde honoraire contrat N 87_Madingou casNTONDELE Fulgence Claver/Maitre Marie Hélène NANITELAMIO MALONGA/ 3655352"/>
    <s v="Lawyer Fees"/>
    <s v="Legal"/>
    <n v="300000"/>
    <n v="562.32111159637338"/>
    <n v="533.50300000000004"/>
    <s v="BCI"/>
    <s v="BQ-N-R6"/>
    <s v="PALF"/>
    <x v="7"/>
    <s v="Congo"/>
    <m/>
    <m/>
    <m/>
  </r>
  <r>
    <x v="295"/>
    <s v="Maison- Bureau"/>
    <s v="Transport"/>
    <s v="Management"/>
    <n v="1000"/>
    <n v="1.8744037053212446"/>
    <n v="533.50300000000004"/>
    <s v="DOVI"/>
    <s v="DH-N-D1"/>
    <s v="PALF"/>
    <x v="7"/>
    <s v="Congo"/>
    <m/>
    <m/>
    <m/>
  </r>
  <r>
    <x v="295"/>
    <s v="Bureau -Maison"/>
    <s v="Transport"/>
    <s v="Management"/>
    <n v="1000"/>
    <n v="1.8744037053212446"/>
    <n v="533.50300000000004"/>
    <s v="DOVI"/>
    <s v="DH-N-D1"/>
    <s v="PALF"/>
    <x v="7"/>
    <s v="Congo"/>
    <m/>
    <m/>
    <m/>
  </r>
  <r>
    <x v="295"/>
    <s v="Taxi: Bureau -Banque BCI/ Retrait espece "/>
    <s v="Transport"/>
    <s v="Office"/>
    <n v="1000"/>
    <n v="1.8744037053212446"/>
    <n v="533.50300000000004"/>
    <s v="Parfaite"/>
    <s v="P-N-D1"/>
    <s v="PALF"/>
    <x v="7"/>
    <s v="Congo"/>
    <m/>
    <m/>
    <m/>
  </r>
  <r>
    <x v="295"/>
    <s v="Taxi: Banque BCI-Bureau"/>
    <s v="Transport"/>
    <s v="Office"/>
    <n v="1000"/>
    <n v="1.8744037053212446"/>
    <n v="533.50300000000004"/>
    <s v="Parfaite"/>
    <s v="P-N-D1"/>
    <s v="PALF"/>
    <x v="7"/>
    <s v="Congo"/>
    <m/>
    <m/>
    <m/>
  </r>
  <r>
    <x v="295"/>
    <s v="Taxi: Bureau-Aéroport"/>
    <s v="Transport"/>
    <s v="Legal"/>
    <n v="1000"/>
    <n v="1.8744037053212446"/>
    <n v="533.50300000000004"/>
    <s v="Abraham"/>
    <s v="AB-N-D1"/>
    <s v="PALF"/>
    <x v="7"/>
    <s v="Congo"/>
    <m/>
    <m/>
    <m/>
  </r>
  <r>
    <x v="295"/>
    <s v="Taxi: Aéroport-Bureau"/>
    <s v="Transport"/>
    <s v="Legal"/>
    <n v="1000"/>
    <n v="1.8744037053212446"/>
    <n v="533.50300000000004"/>
    <s v="Abraham"/>
    <s v="AB-N-D1"/>
    <s v="PALF"/>
    <x v="7"/>
    <s v="Congo"/>
    <m/>
    <m/>
    <m/>
  </r>
  <r>
    <x v="295"/>
    <s v="Taxi Hôtel Paulina-agence Océan du Nord d'Enylé"/>
    <s v="Transport "/>
    <s v="Legal"/>
    <n v="500"/>
    <n v="0.93720185266062228"/>
    <n v="533.50300000000004"/>
    <s v="Donald-Romeo"/>
    <s v="DR-N-D1"/>
    <s v="PALF"/>
    <x v="7"/>
    <s v="Congo"/>
    <m/>
    <m/>
    <m/>
  </r>
  <r>
    <x v="295"/>
    <s v="Taxi agence Océan du Nord d'Impfondo-Hôtel Mithé"/>
    <s v="Transport "/>
    <s v="Legal"/>
    <n v="500"/>
    <n v="0.93720185266062228"/>
    <n v="533.50300000000004"/>
    <s v="Donald-Romeo"/>
    <s v="DR-N-D1"/>
    <s v="PALF"/>
    <x v="7"/>
    <s v="Congo"/>
    <m/>
    <m/>
    <m/>
  </r>
  <r>
    <x v="295"/>
    <s v="Bonus media portant sur la condamnation d'un trafiquant d'un bébé chimpanzé le 20 novembre 2025 à Madingou pieces presse papier(La semain Africaine)"/>
    <s v="Bonus to media officer"/>
    <s v="Media"/>
    <n v="10000"/>
    <n v="18.744037053212445"/>
    <n v="533.50300000000004"/>
    <s v="Evariste"/>
    <s v="CA-N-D11"/>
    <s v="PALF"/>
    <x v="7"/>
    <s v="Congo"/>
    <m/>
    <m/>
    <m/>
  </r>
  <r>
    <x v="295"/>
    <s v="Bonus media portant sur la condamnation d'un trafiquant d'un bébé chimpanzé le 20 novembre 2025 à Madingou pieces presse papier( Opinion Publique)"/>
    <s v="Bonus to media officer"/>
    <s v="Media"/>
    <n v="10000"/>
    <n v="18.744037053212445"/>
    <n v="533.50300000000004"/>
    <s v="Evariste"/>
    <s v="CA-N-D11"/>
    <s v="PALF"/>
    <x v="7"/>
    <s v="Congo"/>
    <m/>
    <m/>
    <m/>
  </r>
  <r>
    <x v="295"/>
    <s v="Bonus media portant sur la condamnation d'un trafiquant d'un bébé chimpanzé le 20 novembre 2025 à Madingou pieces presse papier( l'agence congolaise de l'information)"/>
    <s v="Bonus to media officer"/>
    <s v="Media"/>
    <n v="10000"/>
    <n v="18.744037053212445"/>
    <n v="533.50300000000004"/>
    <s v="Evariste"/>
    <s v="CA-N-D11"/>
    <s v="PALF"/>
    <x v="7"/>
    <s v="Congo"/>
    <m/>
    <m/>
    <m/>
  </r>
  <r>
    <x v="295"/>
    <s v="Bonus media portant sur la condamnation d'un trafiquant d'un bébé chimpanzé le 20 novembre 2025 à Madingou pieces presse papier(les depêches de brazzaville)"/>
    <s v="Bonus to media officer"/>
    <s v="Media"/>
    <n v="10000"/>
    <n v="18.744037053212445"/>
    <n v="533.50300000000004"/>
    <s v="Evariste"/>
    <s v="CA-N-D11"/>
    <s v="PALF"/>
    <x v="7"/>
    <s v="Congo"/>
    <m/>
    <m/>
    <m/>
  </r>
  <r>
    <x v="295"/>
    <s v="Bonus media portant sur la condamnation d'un trafiquant d'un bébé chimpanzé le 20 novembre 2025 à Madingou pieces presse papier( l'horizion africain)"/>
    <s v="Bonus to media officer"/>
    <s v="Media"/>
    <n v="10000"/>
    <n v="18.744037053212445"/>
    <n v="533.50300000000004"/>
    <s v="Evariste"/>
    <s v="CA-N-D11"/>
    <s v="PALF"/>
    <x v="7"/>
    <s v="Congo"/>
    <m/>
    <m/>
    <m/>
  </r>
  <r>
    <x v="295"/>
    <s v="Bonus media portant sur la condamnation  du trafiquant d'un bébé chimpanzé le 20 novembre 2025 à Madingou   pièces presse Internet (https://www.panoramik-actu.com)"/>
    <s v="Bonus to media officer"/>
    <s v="Media"/>
    <n v="6000"/>
    <n v="11.246422231927466"/>
    <n v="533.50300000000004"/>
    <s v="Evariste"/>
    <s v="CA-N-D12"/>
    <s v="PALF"/>
    <x v="7"/>
    <s v="Congo"/>
    <m/>
    <m/>
    <m/>
  </r>
  <r>
    <x v="295"/>
    <s v="Bonus media portant sur la condamnation  du trafiquant d'un bébé chimpanzé le 20 novembre 2025 à Madingou   pièces presse Internet(https://www.tribune-eco.cg)"/>
    <s v="Bonus to media officer"/>
    <s v="Media"/>
    <n v="6000"/>
    <n v="11.246422231927466"/>
    <n v="533.50300000000004"/>
    <s v="Evariste"/>
    <s v="CA-N-D12"/>
    <s v="PALF"/>
    <x v="7"/>
    <s v="Congo"/>
    <m/>
    <m/>
    <m/>
  </r>
  <r>
    <x v="295"/>
    <s v="Bonus media portant sur la condamnation  du trafiquant d'un bébé chimpanzé le 20 novembre 2025 à Madingou   pièces presse Internet(https://www.groupecongomedias.com)"/>
    <s v="Bonus to media officer"/>
    <s v="Media"/>
    <n v="6000"/>
    <n v="11.246422231927466"/>
    <n v="533.50300000000004"/>
    <s v="Evariste"/>
    <s v="CA-N-D12"/>
    <s v="PALF"/>
    <x v="7"/>
    <s v="Congo"/>
    <m/>
    <m/>
    <m/>
  </r>
  <r>
    <x v="295"/>
    <s v="Bonus media portant sur la condamnation  du trafiquant d'un bébé chimpanzé le 20 novembre 2025 à Madingou   pièces presse Internet (https://www.labreveonline.com)"/>
    <s v="Bonus to media officer"/>
    <s v="Media"/>
    <n v="6000"/>
    <n v="11.246422231927466"/>
    <n v="533.50300000000004"/>
    <s v="Evariste"/>
    <s v="CA-N-D12"/>
    <s v="PALF"/>
    <x v="7"/>
    <s v="Congo"/>
    <m/>
    <m/>
    <m/>
  </r>
  <r>
    <x v="295"/>
    <s v="Bonus media portant sur la condamnation  du trafiquant d'un bébé chimpanzé le 20 novembre 2025 à Madingou  pièces presse Internet (https://www.adiac-congo.com)"/>
    <s v="Bonus to media officer"/>
    <s v="Media"/>
    <n v="6000"/>
    <n v="11.246422231927466"/>
    <n v="533.50300000000004"/>
    <s v="Evariste"/>
    <s v="CA-N-D12"/>
    <s v="PALF"/>
    <x v="7"/>
    <s v="Congo"/>
    <m/>
    <m/>
    <m/>
  </r>
  <r>
    <x v="295"/>
    <s v="Bonus media portant sur la condamnation  du trafiquant d'un bébé chimpanzé le 20 novembre 2025 à Madingou   pièces presse Internet (https://www.lasemaineafricaine.info)"/>
    <s v="Bonus to media officer"/>
    <s v="Media"/>
    <n v="6000"/>
    <n v="11.246422231927466"/>
    <n v="533.50300000000004"/>
    <s v="Evariste"/>
    <s v="CA-N-D12"/>
    <s v="PALF"/>
    <x v="7"/>
    <s v="Congo"/>
    <m/>
    <m/>
    <m/>
  </r>
  <r>
    <x v="295"/>
    <s v="Bonus media portant sur la condamnation  du trafiquant d'un bébé chimpanzé le 20 novembre 2025 à Madingou   pièces presse Internet (https://www.matinlibre.cg)"/>
    <s v="Bonus to media officer"/>
    <s v="Media"/>
    <n v="6000"/>
    <n v="11.246422231927466"/>
    <n v="533.50300000000004"/>
    <s v="Evariste"/>
    <s v="CA-N-D12"/>
    <s v="PALF"/>
    <x v="7"/>
    <s v="Congo"/>
    <m/>
    <m/>
    <m/>
  </r>
  <r>
    <x v="295"/>
    <s v="Bonus media portant sur la condamnation  du trafiquant d'un bébé chimpanzé le 20 novembre 2025 à Madingou   pièces presse Internet (https://www.Opinionpublique.cg)"/>
    <s v="Bonus to media officer"/>
    <s v="Media"/>
    <n v="6000"/>
    <n v="11.246422231927466"/>
    <n v="533.50300000000004"/>
    <s v="Evariste"/>
    <s v="CA-N-D12"/>
    <s v="PALF"/>
    <x v="7"/>
    <s v="Congo"/>
    <m/>
    <m/>
    <m/>
  </r>
  <r>
    <x v="295"/>
    <s v="Bonus media portant sur la condamnation  du trafiquant d'un bébé chimpanzé le 20 novembre 2025 à Madingou   pièces presse Internet (https://wwwlesechos-congobrazza.com/)"/>
    <s v="Bonus to media officer"/>
    <s v="Media"/>
    <n v="6000"/>
    <n v="11.246422231927466"/>
    <n v="533.50300000000004"/>
    <s v="Evariste"/>
    <s v="CA-N-D12"/>
    <s v="PALF"/>
    <x v="7"/>
    <s v="Congo"/>
    <m/>
    <m/>
    <m/>
  </r>
  <r>
    <x v="295"/>
    <s v="Bonus media portant sur la condamnation  du trafiquant d'un bébé chimpanzé le 20 novembre 2025 à Madingou   pièces presse Internet (https://vmmedias.info)"/>
    <s v="Bonus to media officer"/>
    <s v="Media"/>
    <n v="6000"/>
    <n v="11.246422231927466"/>
    <n v="533.50300000000004"/>
    <s v="Evariste"/>
    <s v="CA-N-D12"/>
    <s v="PALF"/>
    <x v="7"/>
    <s v="Congo"/>
    <m/>
    <m/>
    <m/>
  </r>
  <r>
    <x v="295"/>
    <s v="Bonus media portant sur la condamnation  du trafiquant d'un bébé chimpanzé le 20 novembre 2025 à Madingou   pièces presse Internet (https://aci.cg)"/>
    <s v="Bonus to media officer"/>
    <s v="Media"/>
    <n v="6000"/>
    <n v="11.246422231927466"/>
    <n v="533.50300000000004"/>
    <s v="Evariste"/>
    <s v="CA-N-D12"/>
    <s v="PALF"/>
    <x v="7"/>
    <s v="Congo"/>
    <m/>
    <m/>
    <m/>
  </r>
  <r>
    <x v="295"/>
    <s v="Bonus media portant sur la condamnation  du trafiquant d'un bébé chimpanzé le 20 novembre 2025 à Madingou   pièces presse Internet (https://www.lhorizonafricain.com)"/>
    <s v="Bonus to media officer"/>
    <s v="Media"/>
    <n v="6000"/>
    <n v="11.246422231927466"/>
    <n v="533.50300000000004"/>
    <s v="Evariste"/>
    <s v="CA-N-D12"/>
    <s v="PALF"/>
    <x v="7"/>
    <s v="Congo"/>
    <m/>
    <m/>
    <m/>
  </r>
  <r>
    <x v="295"/>
    <s v="Taxi, Bureau PALF-groupecongomedias.com"/>
    <s v="Transport"/>
    <s v="Media"/>
    <n v="1000"/>
    <n v="1.8744037053212446"/>
    <n v="533.50300000000004"/>
    <s v="Evariste"/>
    <s v="EV-N-D1"/>
    <s v="PALF"/>
    <x v="7"/>
    <s v="Congo"/>
    <m/>
    <m/>
    <m/>
  </r>
  <r>
    <x v="295"/>
    <s v="Taxi, groupecongomedias.com-panoramik-atu.com"/>
    <s v="Transport"/>
    <s v="Media"/>
    <n v="1000"/>
    <n v="1.8744037053212446"/>
    <n v="533.50300000000004"/>
    <s v="Evariste"/>
    <s v="EV-N-D1"/>
    <s v="PALF"/>
    <x v="7"/>
    <s v="Congo"/>
    <m/>
    <m/>
    <m/>
  </r>
  <r>
    <x v="295"/>
    <s v="Taxi, panoramik-actu.com-tribune-eco.com"/>
    <s v="Transport"/>
    <s v="Media"/>
    <n v="1000"/>
    <n v="1.8744037053212446"/>
    <n v="533.50300000000004"/>
    <s v="Evariste"/>
    <s v="EV-N-D1"/>
    <s v="PALF"/>
    <x v="7"/>
    <s v="Congo"/>
    <m/>
    <m/>
    <m/>
  </r>
  <r>
    <x v="295"/>
    <s v="Taxi, tribune-eco.com-Bureau PALF"/>
    <s v="Transport"/>
    <s v="Media"/>
    <n v="1000"/>
    <n v="1.8744037053212446"/>
    <n v="533.50300000000004"/>
    <s v="Evariste"/>
    <s v="EV-N-D1"/>
    <s v="PALF"/>
    <x v="7"/>
    <s v="Congo"/>
    <m/>
    <m/>
    <m/>
  </r>
  <r>
    <x v="295"/>
    <s v="Taxi: Bureau-TGI de Brazzaille(pour rencontrer maitre Hélène)"/>
    <s v="Transport"/>
    <s v="Legal"/>
    <n v="1000"/>
    <n v="1.8744037053212446"/>
    <n v="533.50300000000004"/>
    <s v="Romain"/>
    <s v="RM-N-D1"/>
    <s v="PALF"/>
    <x v="7"/>
    <s v="Congo"/>
    <m/>
    <m/>
    <m/>
  </r>
  <r>
    <x v="295"/>
    <s v="Taxi: TGI de Brazzaville-Bureau"/>
    <s v="Transport"/>
    <s v="Legal"/>
    <n v="1000"/>
    <n v="1.8744037053212446"/>
    <n v="533.50300000000004"/>
    <s v="Romain"/>
    <s v="RM-N-D1"/>
    <s v="PALF"/>
    <x v="7"/>
    <s v="Congo"/>
    <m/>
    <m/>
    <m/>
  </r>
  <r>
    <x v="296"/>
    <s v="Maison - Bureau"/>
    <s v="Transport"/>
    <s v="Management"/>
    <n v="1000"/>
    <n v="1.8744037053212446"/>
    <n v="533.50300000000004"/>
    <s v="DOVI"/>
    <s v="DH-N-D1"/>
    <s v="PALF"/>
    <x v="7"/>
    <s v="Congo"/>
    <m/>
    <m/>
    <m/>
  </r>
  <r>
    <x v="296"/>
    <s v="Bureau -Aspinall"/>
    <s v="Transport"/>
    <s v="Management"/>
    <n v="1000"/>
    <n v="1.8744037053212446"/>
    <n v="533.50300000000004"/>
    <s v="DOVI"/>
    <s v="DH-N-D1"/>
    <s v="PALF"/>
    <x v="7"/>
    <s v="Congo"/>
    <m/>
    <m/>
    <m/>
  </r>
  <r>
    <x v="296"/>
    <s v="Aspinall - Bureau"/>
    <s v="Transport"/>
    <s v="Management"/>
    <n v="1000"/>
    <n v="1.8744037053212446"/>
    <n v="533.50300000000004"/>
    <s v="DOVI"/>
    <s v="DH-N-D1"/>
    <s v="PALF"/>
    <x v="7"/>
    <s v="Congo"/>
    <m/>
    <m/>
    <m/>
  </r>
  <r>
    <x v="296"/>
    <s v="Bureau -Maison"/>
    <s v="Transport"/>
    <s v="Management"/>
    <n v="1000"/>
    <n v="1.8744037053212446"/>
    <n v="533.50300000000004"/>
    <s v="DOVI"/>
    <s v="DH-N-D1"/>
    <s v="PALF"/>
    <x v="7"/>
    <s v="Congo"/>
    <m/>
    <m/>
    <m/>
  </r>
  <r>
    <x v="296"/>
    <s v="Frais de tansfert d'argent  à Donald-Roméo  par momo"/>
    <s v="Transfert fees"/>
    <s v="Office"/>
    <n v="4760"/>
    <n v="8.9221616373291237"/>
    <n v="533.50300000000004"/>
    <s v="Parfaite"/>
    <s v="CA-N-R22"/>
    <s v="PALF"/>
    <x v="7"/>
    <s v="Congo"/>
    <m/>
    <m/>
    <m/>
  </r>
  <r>
    <x v="296"/>
    <s v="Taxi:  Bureau - Direction MB2 Services / transfert d'argent à Donald-Roméo"/>
    <s v="Transport"/>
    <s v="Office"/>
    <n v="1000"/>
    <n v="1.8744037053212446"/>
    <n v="533.50300000000004"/>
    <s v="Parfaite"/>
    <s v="P-N-D1"/>
    <s v="PALF"/>
    <x v="7"/>
    <s v="Congo"/>
    <m/>
    <m/>
    <m/>
  </r>
  <r>
    <x v="296"/>
    <s v="Taxi:Direction MB2 services - Domicile"/>
    <s v="Transport"/>
    <s v="Office"/>
    <n v="1000"/>
    <n v="1.8744037053212446"/>
    <n v="533.50300000000004"/>
    <s v="Parfaite"/>
    <s v="P-N-D1"/>
    <s v="PALF"/>
    <x v="7"/>
    <s v="Congo"/>
    <m/>
    <m/>
    <m/>
  </r>
  <r>
    <x v="296"/>
    <s v="Taxi moto Hôtel Mithé- Maison d'arrêt/ Pour la visite geôle du 26/11/2025 matin"/>
    <s v="Transport "/>
    <s v="Legal"/>
    <n v="500"/>
    <n v="0.93720185266062228"/>
    <n v="533.50300000000004"/>
    <s v="Donald-Romeo"/>
    <s v="DR-N-D1"/>
    <s v="PALF"/>
    <x v="7"/>
    <s v="Congo"/>
    <m/>
    <m/>
    <m/>
  </r>
  <r>
    <x v="296"/>
    <s v="Ration des deux prevenus/ Parfait et Jodel/ Maison d'arrêt d'Impfondo/matin"/>
    <s v="Jail visits"/>
    <s v="Legal"/>
    <n v="3000"/>
    <n v="5.6232111159637332"/>
    <n v="533.50300000000004"/>
    <s v="Donald-Romeo"/>
    <s v="DR-N-D3"/>
    <s v="PALF"/>
    <x v="7"/>
    <s v="Congo"/>
    <m/>
    <m/>
    <m/>
  </r>
  <r>
    <x v="296"/>
    <s v="Taxi moto Maison d'arrêt- Agence Océan du Nord/ Retirer les billets"/>
    <s v="Transport "/>
    <s v="Legal"/>
    <n v="500"/>
    <n v="0.93720185266062228"/>
    <n v="533.50300000000004"/>
    <s v="Donald-Romeo"/>
    <s v="DR-N-D1"/>
    <s v="PALF"/>
    <x v="7"/>
    <s v="Congo"/>
    <m/>
    <m/>
    <m/>
  </r>
  <r>
    <x v="296"/>
    <s v="Achat billet Impfondo-Brazzaville/Donald-Roméo"/>
    <s v="Transport "/>
    <s v="Legal"/>
    <n v="37000"/>
    <n v="69.352937096886052"/>
    <n v="533.50300000000004"/>
    <s v="Donald-Romeo"/>
    <s v="DR-N-R7"/>
    <s v="PALF"/>
    <x v="7"/>
    <s v="Congo"/>
    <m/>
    <m/>
    <m/>
  </r>
  <r>
    <x v="296"/>
    <s v="Taxi moto Agence Océan du Nord-Hôtel Mithé"/>
    <s v="Transport "/>
    <s v="Legal"/>
    <n v="500"/>
    <n v="0.93720185266062228"/>
    <n v="533.50300000000004"/>
    <s v="Donald-Romeo"/>
    <s v="DR-N-D1"/>
    <s v="PALF"/>
    <x v="7"/>
    <s v="Congo"/>
    <m/>
    <m/>
    <m/>
  </r>
  <r>
    <x v="296"/>
    <s v="Taxi moto Hôtel Mithé- Maison d'arrêt/ Pour la visite geôle du 26/11/2025 après-midi"/>
    <s v="Transport "/>
    <s v="Legal"/>
    <n v="500"/>
    <n v="0.93720185266062228"/>
    <n v="533.50300000000004"/>
    <s v="Donald-Romeo"/>
    <s v="DR-N-D1"/>
    <s v="PALF"/>
    <x v="7"/>
    <s v="Congo"/>
    <m/>
    <m/>
    <m/>
  </r>
  <r>
    <x v="296"/>
    <s v="Ration des deux prevenus/ Parfait et Jodel/ Maison d'arrêt d'Impfondo/soir"/>
    <s v="Jail visits"/>
    <s v="Legal"/>
    <n v="3000"/>
    <n v="5.6232111159637332"/>
    <n v="533.50300000000004"/>
    <s v="Donald-Romeo"/>
    <s v="DR-N-D3"/>
    <s v="PALF"/>
    <x v="7"/>
    <s v="Congo"/>
    <m/>
    <m/>
    <m/>
  </r>
  <r>
    <x v="296"/>
    <s v="Taxi moto Maison d'arrêt- Hôtel Mithé"/>
    <s v="Transport "/>
    <s v="Legal"/>
    <n v="500"/>
    <n v="0.93720185266062228"/>
    <n v="533.50300000000004"/>
    <s v="Donald-Romeo"/>
    <s v="DR-N-D1"/>
    <s v="PALF"/>
    <x v="7"/>
    <s v="Congo"/>
    <m/>
    <m/>
    <m/>
  </r>
  <r>
    <x v="296"/>
    <s v="Taxi, Bureau PALF-Les Dépêches de Brazzaville"/>
    <s v="Transport"/>
    <s v="Media"/>
    <n v="1000"/>
    <n v="1.8744037053212446"/>
    <n v="533.50300000000004"/>
    <s v="Evariste"/>
    <s v="EV-N-D1"/>
    <s v="PALF"/>
    <x v="7"/>
    <s v="Congo"/>
    <m/>
    <m/>
    <m/>
  </r>
  <r>
    <x v="296"/>
    <s v="Taxi, les dépêches de Brazzaville-matinlibre.cg"/>
    <s v="Transport"/>
    <s v="Media"/>
    <n v="1000"/>
    <n v="1.8744037053212446"/>
    <n v="533.50300000000004"/>
    <s v="Evariste"/>
    <s v="EV-N-D1"/>
    <s v="PALF"/>
    <x v="7"/>
    <s v="Congo"/>
    <m/>
    <m/>
    <m/>
  </r>
  <r>
    <x v="296"/>
    <s v="Taxi, matinlibre.cg-labreoneline.cg"/>
    <s v="Transport"/>
    <s v="Media"/>
    <n v="1000"/>
    <n v="1.8744037053212446"/>
    <n v="533.50300000000004"/>
    <s v="Evariste"/>
    <s v="EV-N-D1"/>
    <s v="PALF"/>
    <x v="7"/>
    <s v="Congo"/>
    <m/>
    <m/>
    <m/>
  </r>
  <r>
    <x v="296"/>
    <s v="Taxi, labreveoneline.com-Bureau PALF"/>
    <s v="Transport"/>
    <s v="Media"/>
    <n v="1000"/>
    <n v="1.8744037053212446"/>
    <n v="533.50300000000004"/>
    <s v="Evariste"/>
    <s v="EV-N-D1"/>
    <s v="PALF"/>
    <x v="7"/>
    <s v="Congo"/>
    <m/>
    <m/>
    <m/>
  </r>
  <r>
    <x v="297"/>
    <s v="Maison - Bureau"/>
    <s v="Transport"/>
    <s v="Management"/>
    <n v="1000"/>
    <n v="1.8744037053212446"/>
    <n v="533.50300000000004"/>
    <s v="DOVI"/>
    <s v="DH-N-D1"/>
    <s v="PALF"/>
    <x v="7"/>
    <s v="Congo"/>
    <m/>
    <m/>
    <m/>
  </r>
  <r>
    <x v="297"/>
    <s v="Bureau - Maison"/>
    <s v="Transport"/>
    <s v="Management"/>
    <n v="1000"/>
    <n v="1.8744037053212446"/>
    <n v="533.50300000000004"/>
    <s v="DOVI"/>
    <s v="DH-N-D1"/>
    <s v="PALF"/>
    <x v="7"/>
    <s v="Congo"/>
    <m/>
    <m/>
    <m/>
  </r>
  <r>
    <x v="297"/>
    <s v=" Frais de prestation de nettoyage jardin PALF Novembre 2025"/>
    <s v="Services"/>
    <s v="Office"/>
    <n v="40000"/>
    <n v="74.976148212849779"/>
    <n v="533.50300000000004"/>
    <s v="Parfaite"/>
    <s v="CA-N-R23"/>
    <s v="PALF"/>
    <x v="7"/>
    <s v="Congo"/>
    <m/>
    <m/>
    <m/>
  </r>
  <r>
    <x v="297"/>
    <s v="Reglement prestation de nettoyage  PALF du mois de novembre 2025"/>
    <s v="Services"/>
    <s v="Office"/>
    <n v="80000"/>
    <n v="149.95229642569956"/>
    <n v="533.50300000000004"/>
    <s v="Parfaite"/>
    <s v="CA-N-R24"/>
    <s v="PALF"/>
    <x v="7"/>
    <s v="Congo"/>
    <m/>
    <m/>
    <m/>
  </r>
  <r>
    <x v="297"/>
    <s v="Frais de ramassage Ordure novembre 2025"/>
    <s v="Rent &amp; Utilities"/>
    <s v="Office"/>
    <n v="8000"/>
    <n v="14.995229642569956"/>
    <n v="533.50300000000004"/>
    <s v="Parfaite"/>
    <s v="CA-N-R25"/>
    <s v="PALF"/>
    <x v="7"/>
    <s v="Congo"/>
    <m/>
    <m/>
    <m/>
  </r>
  <r>
    <x v="297"/>
    <s v="Reglement facture internet periode du 01/12 au 31/12/2025 bureau PALF"/>
    <s v="Internet"/>
    <s v="Office"/>
    <n v="45050"/>
    <n v="84.44188692472207"/>
    <n v="533.50300000000004"/>
    <s v="Parfaite"/>
    <s v="CA-N-R26"/>
    <s v="PALF"/>
    <x v="7"/>
    <s v="Congo"/>
    <m/>
    <m/>
    <m/>
  </r>
  <r>
    <x v="297"/>
    <s v="Taxi:Bureau- Direction Canal Box/ Paiement internet du mois de Décembre 2025"/>
    <s v="Transport"/>
    <s v="Office"/>
    <n v="1000"/>
    <n v="1.8744037053212446"/>
    <n v="533.50300000000004"/>
    <s v="Parfaite"/>
    <s v="P-N-D1"/>
    <s v="PALF"/>
    <x v="7"/>
    <s v="Congo"/>
    <m/>
    <m/>
    <m/>
  </r>
  <r>
    <x v="297"/>
    <s v="Taxi: Direction Canal Box-Bureau"/>
    <s v="Transport"/>
    <s v="Office"/>
    <n v="1000"/>
    <n v="1.8744037053212446"/>
    <n v="533.50300000000004"/>
    <s v="Parfaite"/>
    <s v="P-N-D1"/>
    <s v="PALF"/>
    <x v="7"/>
    <s v="Congo"/>
    <m/>
    <m/>
    <m/>
  </r>
  <r>
    <x v="297"/>
    <s v="Taxi bureau-agence,achat billet"/>
    <s v="Transport"/>
    <s v="Investigation"/>
    <n v="1000"/>
    <n v="1.8744037053212446"/>
    <n v="533.50300000000004"/>
    <s v="P29"/>
    <s v="P29-N-D1"/>
    <s v="PALF"/>
    <x v="7"/>
    <s v="Congo"/>
    <m/>
    <m/>
    <m/>
  </r>
  <r>
    <x v="297"/>
    <s v="Taxi bureau-domicile"/>
    <s v="Transport"/>
    <s v="Investigation"/>
    <n v="1500"/>
    <n v="2.8116055579818666"/>
    <n v="533.50300000000004"/>
    <s v="P29"/>
    <s v="P29-N-D1"/>
    <s v="PALF"/>
    <x v="7"/>
    <s v="Congo"/>
    <m/>
    <m/>
    <m/>
  </r>
  <r>
    <x v="297"/>
    <s v="Achat billet Brazzaville-Ikouele/P29"/>
    <s v="Transport"/>
    <s v="Investigation"/>
    <n v="6000"/>
    <n v="11.246422231927466"/>
    <n v="533.50300000000004"/>
    <s v="P29"/>
    <s v="P29-N-R7"/>
    <s v="PALF"/>
    <x v="7"/>
    <s v="Congo"/>
    <m/>
    <m/>
    <m/>
  </r>
  <r>
    <x v="297"/>
    <s v="Taxi : Bureau - Trans bony voyage/ réservation du billet"/>
    <s v="Transport"/>
    <s v="Investigation"/>
    <n v="1000"/>
    <n v="1.8744037053212446"/>
    <n v="533.50300000000004"/>
    <s v="IT87"/>
    <s v="IT87-N-D1"/>
    <s v="PALF"/>
    <x v="7"/>
    <s v="Congo"/>
    <m/>
    <m/>
    <m/>
  </r>
  <r>
    <x v="297"/>
    <s v="Taxi : Trans bony voyage - Domicile/ Retour de la réservation du billet"/>
    <s v="Transport"/>
    <s v="Investigation"/>
    <n v="2000"/>
    <n v="3.7488074106424891"/>
    <n v="533.50300000000004"/>
    <s v="IT87"/>
    <s v="IT87-N-D1"/>
    <s v="PALF"/>
    <x v="7"/>
    <s v="Congo"/>
    <m/>
    <m/>
    <m/>
  </r>
  <r>
    <x v="297"/>
    <s v="Taxi moto Hôtel Mithé- Maison d'arrêt/ Pour la visite geôle du 27/06/2025 matin"/>
    <s v="Transport "/>
    <s v="Legal"/>
    <n v="500"/>
    <n v="0.93720185266062228"/>
    <n v="533.50300000000004"/>
    <s v="Donald-Romeo"/>
    <s v="DR-N-D1"/>
    <s v="PALF"/>
    <x v="7"/>
    <s v="Congo"/>
    <m/>
    <m/>
    <m/>
  </r>
  <r>
    <x v="297"/>
    <s v="Ration des deux prevenus/ Parfait et Jodel/ Maison d'arrêt d'Impfondo/matin"/>
    <s v="Jail visits"/>
    <s v="Legal"/>
    <n v="3000"/>
    <n v="5.6232111159637332"/>
    <n v="533.50300000000004"/>
    <s v="Donald-Romeo"/>
    <s v="DR-N-D3"/>
    <s v="PALF"/>
    <x v="7"/>
    <s v="Congo"/>
    <m/>
    <m/>
    <m/>
  </r>
  <r>
    <x v="297"/>
    <s v="Taxi moto TGI- Hôtel Mithé"/>
    <s v="Transport "/>
    <s v="Legal"/>
    <n v="500"/>
    <n v="0.93720185266062228"/>
    <n v="533.50300000000004"/>
    <s v="Donald-Romeo"/>
    <s v="DR-N-D1"/>
    <s v="PALF"/>
    <x v="7"/>
    <s v="Congo"/>
    <m/>
    <m/>
    <m/>
  </r>
  <r>
    <x v="297"/>
    <s v="Taxi moto Hôtel Mithé-Agence Océan du Nord/ Deposer les bagages"/>
    <s v="Transport "/>
    <s v="Legal"/>
    <n v="500"/>
    <n v="0.93720185266062228"/>
    <n v="533.50300000000004"/>
    <s v="Donald-Romeo"/>
    <s v="DR-N-D1"/>
    <s v="PALF"/>
    <x v="7"/>
    <s v="Congo"/>
    <m/>
    <m/>
    <m/>
  </r>
  <r>
    <x v="297"/>
    <s v="Taxi moto Agence Océan du Nord- Maison d'arrêt/ Pour la visite geôle du 27/06/2025 Après-midi"/>
    <s v="Transport "/>
    <s v="Legal"/>
    <n v="500"/>
    <n v="0.93720185266062228"/>
    <n v="533.50300000000004"/>
    <s v="Donald-Romeo"/>
    <s v="DR-N-D1"/>
    <s v="PALF"/>
    <x v="7"/>
    <s v="Congo"/>
    <m/>
    <m/>
    <m/>
  </r>
  <r>
    <x v="297"/>
    <s v="Ration des deux prevenus/ Parfait et Jodel/ Maison d'arrêt d'Impfondo/soir"/>
    <s v="Jail visits"/>
    <s v="Legal"/>
    <n v="3000"/>
    <n v="5.6232111159637332"/>
    <n v="533.50300000000004"/>
    <s v="Donald-Romeo"/>
    <s v="DR-N-D3"/>
    <s v="PALF"/>
    <x v="7"/>
    <s v="Congo"/>
    <m/>
    <m/>
    <m/>
  </r>
  <r>
    <x v="297"/>
    <s v="Taxi moto Maison d'arrêt- Hôtel Mithé"/>
    <s v="Transport "/>
    <s v="Legal"/>
    <n v="500"/>
    <n v="0.93720185266062228"/>
    <n v="533.50300000000004"/>
    <s v="Donald-Romeo"/>
    <s v="DR-N-D1"/>
    <s v="PALF"/>
    <x v="7"/>
    <s v="Congo"/>
    <m/>
    <m/>
    <m/>
  </r>
  <r>
    <x v="297"/>
    <s v="Taxi, Bureau PALF-Restaurant Mamaty"/>
    <s v="Transport"/>
    <s v="Media"/>
    <n v="1000"/>
    <n v="1.8744037053212446"/>
    <n v="533.50300000000004"/>
    <s v="Evariste"/>
    <s v="EV-N-D1"/>
    <s v="PALF"/>
    <x v="7"/>
    <s v="Congo"/>
    <m/>
    <m/>
    <m/>
  </r>
  <r>
    <x v="297"/>
    <s v="Rafraichissement des candidats enquêteurs lors de l'entretion"/>
    <s v="Travel Subsistence"/>
    <s v="Media"/>
    <n v="3100"/>
    <n v="5.8106514864958578"/>
    <n v="533.50300000000004"/>
    <s v="Evariste"/>
    <s v="EV-N-R4"/>
    <s v="PALF"/>
    <x v="7"/>
    <s v="Congo"/>
    <m/>
    <m/>
    <m/>
  </r>
  <r>
    <x v="297"/>
    <s v="Taxi, Restaurant Mamaty-Bureau PALF "/>
    <s v="Transport"/>
    <s v="Media"/>
    <n v="1000"/>
    <n v="1.8744037053212446"/>
    <n v="533.50300000000004"/>
    <s v="Evariste"/>
    <s v="EV-N-D1"/>
    <s v="PALF"/>
    <x v="7"/>
    <s v="Congo"/>
    <m/>
    <m/>
    <m/>
  </r>
  <r>
    <x v="297"/>
    <s v="Taxi, Bureau PALF-Horizon Africain"/>
    <s v="Transport"/>
    <s v="Media"/>
    <n v="1000"/>
    <n v="1.8744037053212446"/>
    <n v="533.50300000000004"/>
    <s v="Evariste"/>
    <s v="EV-N-D1"/>
    <s v="PALF"/>
    <x v="7"/>
    <s v="Congo"/>
    <m/>
    <m/>
    <m/>
  </r>
  <r>
    <x v="297"/>
    <s v="Taxi, Horizon Africain-opinion publique"/>
    <s v="Transport"/>
    <s v="Media"/>
    <n v="1000"/>
    <n v="1.8744037053212446"/>
    <n v="533.50300000000004"/>
    <s v="Evariste"/>
    <s v="EV-N-D1"/>
    <s v="PALF"/>
    <x v="7"/>
    <s v="Congo"/>
    <m/>
    <m/>
    <m/>
  </r>
  <r>
    <x v="297"/>
    <s v="Taxi, opinion publique-Bureau PALF"/>
    <s v="Transport"/>
    <s v="Media"/>
    <n v="1000"/>
    <n v="1.8744037053212446"/>
    <n v="533.50300000000004"/>
    <s v="Evariste"/>
    <s v="EV-N-D1"/>
    <s v="PALF"/>
    <x v="7"/>
    <s v="Congo"/>
    <m/>
    <m/>
    <m/>
  </r>
  <r>
    <x v="298"/>
    <s v="P29 - CONGO Ration  du 28/11 au 02/12/2025 à Ikouele et ivoumba (4 Nuitées)"/>
    <s v="Travel Subsistence"/>
    <s v="Investigation"/>
    <n v="40000"/>
    <n v="74.976148212849779"/>
    <n v="533.50300000000004"/>
    <s v="P29"/>
    <s v="P29-N-D4"/>
    <s v="PALF"/>
    <x v="7"/>
    <s v="Congo"/>
    <m/>
    <m/>
    <m/>
  </r>
  <r>
    <x v="298"/>
    <s v="Taxi domicile-agence,départ mission"/>
    <s v="Transport"/>
    <s v="Investigation"/>
    <n v="1500"/>
    <n v="2.8116055579818666"/>
    <n v="533.50300000000004"/>
    <s v="P29"/>
    <s v="P29-N-D1"/>
    <s v="PALF"/>
    <x v="7"/>
    <s v="Congo"/>
    <m/>
    <m/>
    <m/>
  </r>
  <r>
    <x v="298"/>
    <s v="Taxi agence-hotel"/>
    <s v="Transport"/>
    <s v="Investigation"/>
    <n v="1000"/>
    <n v="1.8744037053212446"/>
    <n v="533.50300000000004"/>
    <s v="P29"/>
    <s v="P29-N-D1"/>
    <s v="PALF"/>
    <x v="7"/>
    <s v="Congo"/>
    <m/>
    <m/>
    <m/>
  </r>
  <r>
    <x v="298"/>
    <s v="IT87-CONGO Ration du 28/11/2025 au 02/12/2025 à Gamboma et Ngo"/>
    <s v="Travel Subsistence"/>
    <s v="Investigation"/>
    <n v="40000"/>
    <n v="74.976148212849779"/>
    <n v="533.50300000000004"/>
    <s v="IT87"/>
    <s v="IT87-N-D4"/>
    <s v="PALF"/>
    <x v="7"/>
    <s v="Congo"/>
    <m/>
    <m/>
    <m/>
  </r>
  <r>
    <x v="298"/>
    <s v="Taxi : Domicile - Agence Trans bony/ Départ de Brazzaville pour Gamboma"/>
    <s v="Transport"/>
    <s v="Investigation"/>
    <n v="2000"/>
    <n v="3.7488074106424891"/>
    <n v="533.50300000000004"/>
    <s v="IT87"/>
    <s v="IT87-N-D1"/>
    <s v="PALF"/>
    <x v="7"/>
    <s v="Congo"/>
    <m/>
    <m/>
    <m/>
  </r>
  <r>
    <x v="298"/>
    <s v="Achat billet Brazzaville - Gamboma/ IT87"/>
    <s v="Transport"/>
    <s v="Investigation"/>
    <n v="5000"/>
    <n v="9.3720185266062224"/>
    <n v="533.50300000000004"/>
    <s v="IT87"/>
    <s v="IT87-N-R7"/>
    <s v="PALF"/>
    <x v="7"/>
    <s v="Congo"/>
    <m/>
    <m/>
    <m/>
  </r>
  <r>
    <x v="298"/>
    <s v="Taxi moto : Agence trans bony - Hôtel Baobab/ Arrivé à Gamboma"/>
    <s v="Transport"/>
    <s v="Investigation"/>
    <n v="500"/>
    <n v="0.93720185266062228"/>
    <n v="533.50300000000004"/>
    <s v="IT87"/>
    <s v="IT87-N-D1"/>
    <s v="PALF"/>
    <x v="7"/>
    <s v="Congo"/>
    <m/>
    <m/>
    <m/>
  </r>
  <r>
    <x v="298"/>
    <s v="Taxi moto : Hôtel Baobab - Quartier Mpaire/ Prospection"/>
    <s v="Transport"/>
    <s v="Investigation"/>
    <n v="500"/>
    <n v="0.93720185266062228"/>
    <n v="533.50300000000004"/>
    <s v="IT87"/>
    <s v="IT87-N-D1"/>
    <s v="PALF"/>
    <x v="7"/>
    <s v="Congo"/>
    <m/>
    <m/>
    <m/>
  </r>
  <r>
    <x v="298"/>
    <s v="Taxi moto : Quartier Mpaire - Hôtel Baobab/ Retour de prospection"/>
    <s v="Transport"/>
    <s v="Investigation"/>
    <n v="500"/>
    <n v="0.93720185266062228"/>
    <n v="533.50300000000004"/>
    <s v="IT87"/>
    <s v="IT87-N-D1"/>
    <s v="PALF"/>
    <x v="7"/>
    <s v="Congo"/>
    <m/>
    <m/>
    <m/>
  </r>
  <r>
    <x v="298"/>
    <s v="G12-CONGO Ration du 28 au 02 /12/2025 à Kinkala - Louingui"/>
    <s v="Travel subsistence"/>
    <s v="Investigation"/>
    <n v="40000"/>
    <n v="74.976148212849779"/>
    <n v="533.50300000000004"/>
    <s v="G12"/>
    <s v="G12-N-D4"/>
    <s v="PALF"/>
    <x v="7"/>
    <s v="Congo"/>
    <m/>
    <m/>
    <m/>
  </r>
  <r>
    <x v="298"/>
    <s v="Taxi: Domicile - la gare routière  / depart pour kinkala"/>
    <s v="Transport"/>
    <s v="Investigation"/>
    <n v="1000"/>
    <n v="1.8744037053212446"/>
    <n v="533.50300000000004"/>
    <s v="G12"/>
    <s v="G12-N-D1"/>
    <s v="PALF"/>
    <x v="7"/>
    <s v="Congo"/>
    <m/>
    <m/>
    <m/>
  </r>
  <r>
    <x v="298"/>
    <s v="Achat billet Brazzaville - Kinkala"/>
    <s v="Transport"/>
    <s v="Investigation"/>
    <n v="5000"/>
    <n v="9.3720185266062224"/>
    <n v="533.50300000000004"/>
    <s v="G12"/>
    <s v="G12-N-R11"/>
    <s v="PALF"/>
    <x v="7"/>
    <s v="Congo"/>
    <m/>
    <m/>
    <m/>
  </r>
  <r>
    <x v="298"/>
    <s v="Taxi moto : Gare routière - hotel "/>
    <s v="Transport"/>
    <s v="Investigation"/>
    <n v="500"/>
    <n v="0.93720185266062228"/>
    <n v="533.50300000000004"/>
    <s v="G12"/>
    <s v="G12-N-D1"/>
    <s v="PALF"/>
    <x v="7"/>
    <s v="Congo"/>
    <m/>
    <m/>
    <m/>
  </r>
  <r>
    <x v="298"/>
    <s v="Taxi moto: Hotel - zone de la préfecture"/>
    <s v="Transport"/>
    <s v="Investigation"/>
    <n v="500"/>
    <n v="0.93720185266062228"/>
    <n v="533.50300000000004"/>
    <s v="G12"/>
    <s v="G12-N-D1"/>
    <s v="PALF"/>
    <x v="7"/>
    <s v="Congo"/>
    <m/>
    <m/>
    <m/>
  </r>
  <r>
    <x v="298"/>
    <s v="Taxi moto: Zone de la préfecture - l'église protestante"/>
    <s v="Transport"/>
    <s v="Investigation"/>
    <n v="500"/>
    <n v="0.93720185266062228"/>
    <n v="533.50300000000004"/>
    <s v="G12"/>
    <s v="G12-N-D1"/>
    <s v="PALF"/>
    <x v="7"/>
    <s v="Congo"/>
    <m/>
    <m/>
    <m/>
  </r>
  <r>
    <x v="298"/>
    <s v="Achat boissonavec une  cible"/>
    <s v="Trust building"/>
    <s v="Investigation"/>
    <n v="1500"/>
    <n v="2.7602044759475781"/>
    <n v="543.43799999999999"/>
    <s v="G12"/>
    <s v="G12-N-D2"/>
    <s v="PALF"/>
    <x v="8"/>
    <s v="Congo"/>
    <m/>
    <m/>
    <m/>
  </r>
  <r>
    <x v="298"/>
    <s v="Taxi moto: L'église protestante - hotel"/>
    <s v="Transport"/>
    <s v="Investigation"/>
    <n v="500"/>
    <n v="0.93720185266062228"/>
    <n v="533.50300000000004"/>
    <s v="G12"/>
    <s v="G12-N-D1"/>
    <s v="PALF"/>
    <x v="7"/>
    <s v="Congo"/>
    <m/>
    <m/>
    <m/>
  </r>
  <r>
    <x v="298"/>
    <s v="DONALD ROMEO-CONGO Frais d'hôtel du 25 au 28/11/2025 à Impfondo (03 nuitées)"/>
    <s v="Travel Subsistence"/>
    <s v="Legal"/>
    <n v="45000"/>
    <n v="84.348166739456005"/>
    <n v="533.50300000000004"/>
    <s v="Donald-Romeo"/>
    <s v="DR-N-R8"/>
    <s v="PALF"/>
    <x v="7"/>
    <s v="Congo"/>
    <m/>
    <m/>
    <m/>
  </r>
  <r>
    <x v="298"/>
    <s v="Taxi moto Hôtel Mithé-Agence océan du Nord/ Pour Brazzaville"/>
    <s v="Transport "/>
    <s v="Legal"/>
    <n v="500"/>
    <n v="0.93720185266062228"/>
    <n v="533.50300000000004"/>
    <s v="Donald-Romeo"/>
    <s v="DR-N-D1"/>
    <s v="PALF"/>
    <x v="7"/>
    <s v="Congo"/>
    <m/>
    <m/>
    <m/>
  </r>
  <r>
    <x v="298"/>
    <s v="Taxi moto agence océan du Nord- Hôtel Paulina/ A Enyellé"/>
    <s v="Transport "/>
    <s v="Legal"/>
    <n v="500"/>
    <n v="0.93720185266062228"/>
    <n v="533.50300000000004"/>
    <s v="Donald-Romeo"/>
    <s v="DR-N-D1"/>
    <s v="PALF"/>
    <x v="7"/>
    <s v="Congo"/>
    <m/>
    <m/>
    <m/>
  </r>
  <r>
    <x v="299"/>
    <s v="Règlement Loyer Coordinateur du mois de novembre 2025"/>
    <s v="Personnel"/>
    <s v="Management"/>
    <n v="174625"/>
    <n v="327.31774704172233"/>
    <n v="533.50300000000004"/>
    <s v="DOVI"/>
    <s v="DH-N-R5"/>
    <s v="PALF"/>
    <x v="7"/>
    <s v="Congo"/>
    <m/>
    <m/>
    <m/>
  </r>
  <r>
    <x v="299"/>
    <s v="Taxi tricycle hotel-otia,prospection"/>
    <s v="Transport"/>
    <s v="Investigation"/>
    <n v="700"/>
    <n v="1.3120825937248712"/>
    <n v="533.50300000000004"/>
    <s v="P29"/>
    <s v="P29-N-D1"/>
    <s v="PALF"/>
    <x v="7"/>
    <s v="Congo"/>
    <m/>
    <m/>
    <m/>
  </r>
  <r>
    <x v="299"/>
    <s v="Taxi tricycle otia-cabane,prospection"/>
    <s v="Transport"/>
    <s v="Investigation"/>
    <n v="700"/>
    <n v="1.3120825937248712"/>
    <n v="533.50300000000004"/>
    <s v="P29"/>
    <s v="P29-N-D1"/>
    <s v="PALF"/>
    <x v="7"/>
    <s v="Congo"/>
    <m/>
    <m/>
    <m/>
  </r>
  <r>
    <x v="299"/>
    <s v="Taxi tricycle cabane-bouale,prospection"/>
    <s v="Transport"/>
    <s v="Investigation"/>
    <n v="700"/>
    <n v="1.3120825937248712"/>
    <n v="533.50300000000004"/>
    <s v="P29"/>
    <s v="P29-N-D1"/>
    <s v="PALF"/>
    <x v="7"/>
    <s v="Congo"/>
    <m/>
    <m/>
    <m/>
  </r>
  <r>
    <x v="299"/>
    <s v="Taxi tricyycle bouale-hotel"/>
    <s v="Transport"/>
    <s v="Investigation"/>
    <n v="700"/>
    <n v="1.3120825937248712"/>
    <n v="533.50300000000004"/>
    <s v="P29"/>
    <s v="P29-N-D1"/>
    <s v="PALF"/>
    <x v="7"/>
    <s v="Congo"/>
    <m/>
    <m/>
    <m/>
  </r>
  <r>
    <x v="299"/>
    <s v=" Achat boisson avec une cible"/>
    <s v="Trust building"/>
    <s v="Investigation"/>
    <n v="2000"/>
    <n v="3.6802726345967711"/>
    <n v="543.43799999999999"/>
    <s v="P29"/>
    <s v="P29-N-D3"/>
    <s v="PALF"/>
    <x v="8"/>
    <s v="Congo"/>
    <m/>
    <m/>
    <m/>
  </r>
  <r>
    <x v="299"/>
    <s v="Taxi moto : Hôtel - Marché de Gamboma/ Prospection"/>
    <s v="Transport"/>
    <s v="Investigation"/>
    <n v="500"/>
    <n v="0.93720185266062228"/>
    <n v="533.50300000000004"/>
    <s v="IT87"/>
    <s v="IT87-N-D1"/>
    <s v="PALF"/>
    <x v="7"/>
    <s v="Congo"/>
    <m/>
    <m/>
    <m/>
  </r>
  <r>
    <x v="299"/>
    <s v="Achat repas avec la cible"/>
    <s v="Trust Building"/>
    <s v="Investigation"/>
    <n v="2000"/>
    <n v="3.6802726345967711"/>
    <n v="543.43799999999999"/>
    <s v="IT87"/>
    <s v="IT87-N-D2"/>
    <s v="PALF"/>
    <x v="8"/>
    <s v="Congo"/>
    <m/>
    <m/>
    <m/>
  </r>
  <r>
    <x v="299"/>
    <s v="Taxi moto : Marché de Gamboma - Quartier Nkeni/ Prospection"/>
    <s v="Transport"/>
    <s v="Investigation"/>
    <n v="500"/>
    <n v="0.93720185266062228"/>
    <n v="533.50300000000004"/>
    <s v="IT87"/>
    <s v="IT87-N-D1"/>
    <s v="PALF"/>
    <x v="7"/>
    <s v="Congo"/>
    <m/>
    <m/>
    <m/>
  </r>
  <r>
    <x v="299"/>
    <s v="Taxi moto : Quartier Nkeni - Marché de nuit/ Prospection"/>
    <s v="Transport"/>
    <s v="Investigation"/>
    <n v="500"/>
    <n v="0.93720185266062228"/>
    <n v="533.50300000000004"/>
    <s v="IT87"/>
    <s v="IT87-N-D1"/>
    <s v="PALF"/>
    <x v="7"/>
    <s v="Congo"/>
    <m/>
    <m/>
    <m/>
  </r>
  <r>
    <x v="299"/>
    <s v="Taxi moto : Marché de nuit - Hôtel/ Retour de prospection"/>
    <s v="Transport"/>
    <s v="Investigation"/>
    <n v="500"/>
    <n v="0.93720185266062228"/>
    <n v="533.50300000000004"/>
    <s v="IT87"/>
    <s v="IT87-N-D1"/>
    <s v="PALF"/>
    <x v="7"/>
    <s v="Congo"/>
    <m/>
    <m/>
    <m/>
  </r>
  <r>
    <x v="299"/>
    <s v="Taxi moto: Hotel - quertier moudjema"/>
    <s v="Transport"/>
    <s v="Investigation"/>
    <n v="500"/>
    <n v="0.93720185266062228"/>
    <n v="533.50300000000004"/>
    <s v="G12"/>
    <s v="G12-N-D1"/>
    <s v="PALF"/>
    <x v="7"/>
    <s v="Congo"/>
    <m/>
    <m/>
    <m/>
  </r>
  <r>
    <x v="299"/>
    <s v="Taxi moto: Quartier moudjema - la zone du lycée"/>
    <s v="Transport"/>
    <s v="Investigation"/>
    <n v="500"/>
    <n v="0.93720185266062228"/>
    <n v="533.50300000000004"/>
    <s v="G12"/>
    <s v="G12-N-D1"/>
    <s v="PALF"/>
    <x v="7"/>
    <s v="Congo"/>
    <m/>
    <m/>
    <m/>
  </r>
  <r>
    <x v="299"/>
    <s v="Achat boissonavec une  cible"/>
    <s v="Trust building"/>
    <s v="Investigation"/>
    <n v="1500"/>
    <n v="2.7602044759475781"/>
    <n v="543.43799999999999"/>
    <s v="G12"/>
    <s v="G12-N-D2"/>
    <s v="PALF"/>
    <x v="8"/>
    <s v="Congo"/>
    <m/>
    <m/>
    <m/>
  </r>
  <r>
    <x v="299"/>
    <s v="Taxi moto: La zone du lycée - le boulevard"/>
    <s v="Transport"/>
    <s v="Investigation"/>
    <n v="500"/>
    <n v="0.93720185266062228"/>
    <n v="533.50300000000004"/>
    <s v="G12"/>
    <s v="G12-N-D1"/>
    <s v="PALF"/>
    <x v="7"/>
    <s v="Congo"/>
    <m/>
    <m/>
    <m/>
  </r>
  <r>
    <x v="299"/>
    <s v="Taxi moto: Boulevard - hotel"/>
    <s v="Transport"/>
    <s v="Investigation"/>
    <n v="500"/>
    <n v="0.93720185266062228"/>
    <n v="533.50300000000004"/>
    <s v="G12"/>
    <s v="G12-N-D1"/>
    <s v="PALF"/>
    <x v="7"/>
    <s v="Congo"/>
    <m/>
    <m/>
    <m/>
  </r>
  <r>
    <x v="299"/>
    <s v="DONALD ROMEO-CONGO Frais d'hôtel du 28 au 29/11/2025 à Enyellé (01 nuitée)"/>
    <s v="Travel Subsistence"/>
    <s v="Legal"/>
    <n v="15000"/>
    <n v="28.116055579818667"/>
    <n v="533.50300000000004"/>
    <s v="Donald-Romeo"/>
    <s v="DR-N-R9"/>
    <s v="PALF"/>
    <x v="7"/>
    <s v="Congo"/>
    <m/>
    <m/>
    <m/>
  </r>
  <r>
    <x v="299"/>
    <s v="Taxi moto  Hôtel Paulina-agence océan du Nord"/>
    <s v="Transport "/>
    <s v="Legal"/>
    <n v="500"/>
    <n v="0.93720185266062228"/>
    <n v="533.50300000000004"/>
    <s v="Donald-Romeo"/>
    <s v="DR-N-D1"/>
    <s v="PALF"/>
    <x v="7"/>
    <s v="Congo"/>
    <m/>
    <m/>
    <m/>
  </r>
  <r>
    <x v="299"/>
    <s v="Taxi moto agence océan du Nord-Hôtel baobab"/>
    <s v="Transport "/>
    <s v="Legal"/>
    <n v="500"/>
    <n v="0.93720185266062228"/>
    <n v="533.50300000000004"/>
    <s v="Donald-Romeo"/>
    <s v="DR-N-D1"/>
    <s v="PALF"/>
    <x v="7"/>
    <s v="Congo"/>
    <m/>
    <m/>
    <m/>
  </r>
  <r>
    <x v="300"/>
    <s v="Maison-Bureau"/>
    <s v="Transport"/>
    <s v="Management"/>
    <n v="1000"/>
    <n v="1.8744037053212446"/>
    <n v="533.50300000000004"/>
    <s v="DOVI"/>
    <s v="DH-N-D1"/>
    <s v="PALF"/>
    <x v="7"/>
    <s v="Congo"/>
    <m/>
    <m/>
    <m/>
  </r>
  <r>
    <x v="300"/>
    <s v="Bureau -Maison"/>
    <s v="Transport"/>
    <s v="Management"/>
    <n v="1000"/>
    <n v="1.8744037053212446"/>
    <n v="533.50300000000004"/>
    <s v="DOVI"/>
    <s v="DH-N-D1"/>
    <s v="PALF"/>
    <x v="7"/>
    <s v="Congo"/>
    <m/>
    <m/>
    <m/>
  </r>
  <r>
    <x v="300"/>
    <s v="Taxi hotel-parking,départ pour ivoumba"/>
    <s v="Transport"/>
    <s v="Investigation"/>
    <n v="1000"/>
    <n v="1.8744037053212446"/>
    <n v="533.50300000000004"/>
    <s v="P29"/>
    <s v="P29-N-D1"/>
    <s v="PALF"/>
    <x v="7"/>
    <s v="Congo"/>
    <m/>
    <m/>
    <m/>
  </r>
  <r>
    <x v="300"/>
    <s v="Taxi parking-hotel,arrivé à ivoumba"/>
    <s v="Transport"/>
    <s v="Investigation"/>
    <n v="1000"/>
    <n v="1.8744037053212446"/>
    <n v="533.50300000000004"/>
    <s v="P29"/>
    <s v="P29-N-D1"/>
    <s v="PALF"/>
    <x v="7"/>
    <s v="Congo"/>
    <m/>
    <m/>
    <m/>
  </r>
  <r>
    <x v="300"/>
    <s v="P29 -CONGO Frais d'hotel du 28 au 30/11/2025 à ikouele (2 Nuitées)"/>
    <s v="Travel Subsistence"/>
    <s v="Investigation"/>
    <n v="30000"/>
    <n v="56.232111159637334"/>
    <n v="533.50300000000004"/>
    <s v="P29"/>
    <s v="P29-N-R8"/>
    <s v="PALF"/>
    <x v="7"/>
    <s v="Congo"/>
    <m/>
    <m/>
    <m/>
  </r>
  <r>
    <x v="300"/>
    <s v="Achat billet Ikouele-Ivoumba/P29"/>
    <s v="Transport"/>
    <s v="Investigation"/>
    <n v="5000"/>
    <n v="9.3720185266062224"/>
    <n v="533.50300000000004"/>
    <s v="P29"/>
    <s v="P29-N-R9"/>
    <s v="PALF"/>
    <x v="7"/>
    <s v="Congo"/>
    <m/>
    <m/>
    <m/>
  </r>
  <r>
    <x v="300"/>
    <s v="IT87-CONGO Frais d'hôtel  du 28 au 30/11/2025 à Gamboma (02 Nuitées)"/>
    <s v="Travel Subsistence"/>
    <s v="Investigation"/>
    <n v="30000"/>
    <n v="56.232111159637334"/>
    <n v="533.50300000000004"/>
    <s v="IT87"/>
    <s v="IT87-N-R8"/>
    <s v="PALF"/>
    <x v="7"/>
    <s v="Congo"/>
    <m/>
    <m/>
    <m/>
  </r>
  <r>
    <x v="300"/>
    <s v="Taxi moto : Hôtel Baobab - Parking/ Départ de Gamboma pour Ngo"/>
    <s v="Transport"/>
    <s v="Investigation"/>
    <n v="500"/>
    <n v="0.93720185266062228"/>
    <n v="533.50300000000004"/>
    <s v="IT87"/>
    <s v="IT87-N-D1"/>
    <s v="PALF"/>
    <x v="7"/>
    <s v="Congo"/>
    <m/>
    <m/>
    <m/>
  </r>
  <r>
    <x v="300"/>
    <s v="Achat billet Gamboma - Ngo/ IT87"/>
    <s v="Transport"/>
    <s v="Investigation"/>
    <n v="3000"/>
    <n v="5.6232111159637332"/>
    <n v="533.50300000000004"/>
    <s v="IT87"/>
    <s v="IT87-N-R9"/>
    <s v="PALF"/>
    <x v="7"/>
    <s v="Congo"/>
    <m/>
    <m/>
    <m/>
  </r>
  <r>
    <x v="300"/>
    <s v="Taxi moto : Parking - Hôtel Concorde/ Arrivé à Ngo"/>
    <s v="Transport"/>
    <s v="Investigation"/>
    <n v="500"/>
    <n v="0.93720185266062228"/>
    <n v="533.50300000000004"/>
    <s v="IT87"/>
    <s v="IT87-N-D1"/>
    <s v="PALF"/>
    <x v="7"/>
    <s v="Congo"/>
    <m/>
    <m/>
    <m/>
  </r>
  <r>
    <x v="300"/>
    <s v="Taxi moto : Hôtel Concorde - Marché/ Prospection"/>
    <s v="Transport"/>
    <s v="Investigation"/>
    <n v="500"/>
    <n v="0.93720185266062228"/>
    <n v="533.50300000000004"/>
    <s v="IT87"/>
    <s v="IT87-N-D1"/>
    <s v="PALF"/>
    <x v="7"/>
    <s v="Congo"/>
    <m/>
    <m/>
    <m/>
  </r>
  <r>
    <x v="300"/>
    <s v="Achat boissons avec une cible"/>
    <s v="Trust Building"/>
    <s v="Investigation"/>
    <n v="1700"/>
    <n v="3.1282317394072554"/>
    <n v="543.43799999999999"/>
    <s v="IT87"/>
    <s v="IT87-N-D2"/>
    <s v="PALF"/>
    <x v="8"/>
    <s v="Congo"/>
    <m/>
    <m/>
    <m/>
  </r>
  <r>
    <x v="300"/>
    <s v="Taxi moto : Marché - Parking de Mpouya/ Prospection"/>
    <s v="Transport"/>
    <s v="Investigation"/>
    <n v="500"/>
    <n v="0.93720185266062228"/>
    <n v="533.50300000000004"/>
    <s v="IT87"/>
    <s v="IT87-N-D1"/>
    <s v="PALF"/>
    <x v="7"/>
    <s v="Congo"/>
    <m/>
    <m/>
    <m/>
  </r>
  <r>
    <x v="300"/>
    <s v="Taxi moto : Parking de Mpouya - Hôtel Concorde/ Retour de prospection"/>
    <s v="Transport"/>
    <s v="Investigation"/>
    <n v="500"/>
    <n v="0.93720185266062228"/>
    <n v="533.50300000000004"/>
    <s v="IT87"/>
    <s v="IT87-N-D1"/>
    <s v="PALF"/>
    <x v="7"/>
    <s v="Congo"/>
    <m/>
    <m/>
    <m/>
  </r>
  <r>
    <x v="300"/>
    <s v="G12-CONGO Frais d'hotel du 28 au 30 /11/2025 à Kinkala (02 nuitées)"/>
    <s v="Travel subsistence"/>
    <s v="Investigation"/>
    <n v="30000"/>
    <n v="56.232111159637334"/>
    <n v="533.50300000000004"/>
    <s v="G12"/>
    <s v="G12-N-R12"/>
    <s v="PALF"/>
    <x v="7"/>
    <s v="Congo"/>
    <m/>
    <m/>
    <m/>
  </r>
  <r>
    <x v="300"/>
    <s v="Achat billet Kinkala - Louingui"/>
    <s v="Transport"/>
    <s v="Investigation"/>
    <n v="2000"/>
    <n v="3.7488074106424891"/>
    <n v="533.50300000000004"/>
    <s v="G12"/>
    <s v="G12-N-R13"/>
    <s v="PALF"/>
    <x v="7"/>
    <s v="Congo"/>
    <m/>
    <m/>
    <m/>
  </r>
  <r>
    <x v="300"/>
    <s v="Taxi moto: Hotel - la gare routière"/>
    <s v="Transport"/>
    <s v="Investigation"/>
    <n v="500"/>
    <n v="0.93720185266062228"/>
    <n v="533.50300000000004"/>
    <s v="G12"/>
    <s v="G12-N-D1"/>
    <s v="PALF"/>
    <x v="7"/>
    <s v="Congo"/>
    <m/>
    <m/>
    <m/>
  </r>
  <r>
    <x v="300"/>
    <s v="Taxi moto: Gare routière - hotel /depart pour louingui"/>
    <s v="Transport"/>
    <s v="Investigation"/>
    <n v="1000"/>
    <n v="1.8744037053212446"/>
    <n v="533.50300000000004"/>
    <s v="G12"/>
    <s v="G12-N-D1"/>
    <s v="PALF"/>
    <x v="7"/>
    <s v="Congo"/>
    <m/>
    <m/>
    <m/>
  </r>
  <r>
    <x v="300"/>
    <s v="Taxi moto: Hotel - marché"/>
    <s v="Transport"/>
    <s v="Investigation"/>
    <n v="500"/>
    <n v="0.93720185266062228"/>
    <n v="533.50300000000004"/>
    <s v="G12"/>
    <s v="G12-N-D1"/>
    <s v="PALF"/>
    <x v="7"/>
    <s v="Congo"/>
    <m/>
    <m/>
    <m/>
  </r>
  <r>
    <x v="300"/>
    <s v="Achat boissonavec une  cible"/>
    <s v="Trust building"/>
    <s v="Investigation"/>
    <n v="1500"/>
    <n v="2.7602044759475781"/>
    <n v="543.43799999999999"/>
    <s v="G12"/>
    <s v="G12-N-D2"/>
    <s v="PALF"/>
    <x v="8"/>
    <s v="Congo"/>
    <m/>
    <m/>
    <m/>
  </r>
  <r>
    <x v="300"/>
    <s v="Taxi moto: Marché - hotel"/>
    <s v="Transport"/>
    <s v="Investigation"/>
    <n v="500"/>
    <n v="0.93720185266062228"/>
    <n v="533.50300000000004"/>
    <s v="G12"/>
    <s v="G12-N-D1"/>
    <s v="PALF"/>
    <x v="7"/>
    <s v="Congo"/>
    <m/>
    <m/>
    <m/>
  </r>
  <r>
    <x v="300"/>
    <s v="DONALD ROMEO-CONGO Frais d'hôte du 29 au 30/11/2025 à Gamboma (01 nuitée)"/>
    <s v="Travel Subsistence"/>
    <s v="Legal"/>
    <n v="15000"/>
    <n v="28.116055579818667"/>
    <n v="533.50300000000004"/>
    <s v="Donald-Romeo"/>
    <s v="DR-N-R10"/>
    <s v="PALF"/>
    <x v="7"/>
    <s v="Congo"/>
    <m/>
    <m/>
    <m/>
  </r>
  <r>
    <x v="300"/>
    <s v="Taxi moto Hôtel Baobab-Agence Océan du Nord de Gamboma/ Pour Brazzaville"/>
    <s v="Transport "/>
    <s v="Legal"/>
    <n v="500"/>
    <n v="0.93720185266062228"/>
    <n v="533.50300000000004"/>
    <s v="Donald-Romeo"/>
    <s v="DR-N-D1"/>
    <s v="PALF"/>
    <x v="7"/>
    <s v="Congo"/>
    <m/>
    <m/>
    <m/>
  </r>
  <r>
    <x v="300"/>
    <s v="Taxi Agence Ocean du Nord de Talangaï- Domicile"/>
    <s v="Transport "/>
    <s v="Legal"/>
    <n v="3000"/>
    <n v="5.6232111159637332"/>
    <n v="533.50300000000004"/>
    <s v="Donald-Romeo"/>
    <s v="DR-N-D1"/>
    <s v="PALF"/>
    <x v="7"/>
    <s v="Congo"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00000000}" name="Tableau croisé dynamique1" cacheId="2" applyNumberFormats="0" applyBorderFormats="0" applyFontFormats="0" applyPatternFormats="0" applyAlignmentFormats="0" applyWidthHeightFormats="1" dataCaption="Valeurs" updatedVersion="7" minRefreshableVersion="3" useAutoFormatting="1" itemPrintTitles="1" createdVersion="6" indent="0" outline="1" outlineData="1" multipleFieldFilters="0">
  <location ref="B2:C16" firstHeaderRow="1" firstDataRow="1" firstDataCol="1"/>
  <pivotFields count="15">
    <pivotField showAll="0"/>
    <pivotField showAll="0"/>
    <pivotField showAll="0"/>
    <pivotField showAll="0"/>
    <pivotField dataField="1" showAll="0"/>
    <pivotField showAll="0"/>
    <pivotField showAll="0"/>
    <pivotField axis="axisRow" showAll="0">
      <items count="15">
        <item x="10"/>
        <item x="2"/>
        <item x="4"/>
        <item x="11"/>
        <item x="3"/>
        <item x="0"/>
        <item x="5"/>
        <item x="1"/>
        <item x="12"/>
        <item x="6"/>
        <item x="7"/>
        <item x="8"/>
        <item x="9"/>
        <item m="1" x="13"/>
        <item t="default"/>
      </items>
    </pivotField>
    <pivotField showAll="0"/>
    <pivotField showAll="0"/>
    <pivotField showAll="0"/>
    <pivotField showAll="0"/>
    <pivotField showAll="0"/>
    <pivotField showAll="0"/>
    <pivotField showAll="0"/>
  </pivotFields>
  <rowFields count="1">
    <field x="7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dataFields count="1">
    <dataField name="Somme de Spent  in XAF" fld="4" baseField="7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0000000}" name="Tableau croisé dynamique2" cacheId="1" applyNumberFormats="0" applyBorderFormats="0" applyFontFormats="0" applyPatternFormats="0" applyAlignmentFormats="0" applyWidthHeightFormats="1" dataCaption="Valeurs" updatedVersion="7" minRefreshableVersion="3" useAutoFormatting="1" itemPrintTitles="1" createdVersion="6" indent="0" outline="1" outlineData="1" multipleFieldFilters="0">
  <location ref="B2:D18" firstHeaderRow="0" firstDataRow="1" firstDataCol="1"/>
  <pivotFields count="10">
    <pivotField numFmtId="14" showAll="0"/>
    <pivotField showAll="0"/>
    <pivotField showAll="0"/>
    <pivotField showAll="0"/>
    <pivotField dataField="1" showAll="0"/>
    <pivotField dataField="1" showAll="0"/>
    <pivotField numFmtId="168" showAll="0"/>
    <pivotField axis="axisRow" showAll="0">
      <items count="18">
        <item x="3"/>
        <item x="4"/>
        <item x="14"/>
        <item x="8"/>
        <item x="7"/>
        <item x="9"/>
        <item x="11"/>
        <item x="13"/>
        <item x="5"/>
        <item x="2"/>
        <item x="12"/>
        <item x="10"/>
        <item x="0"/>
        <item m="1" x="15"/>
        <item m="1" x="16"/>
        <item x="1"/>
        <item x="6"/>
        <item t="default"/>
      </items>
    </pivotField>
    <pivotField showAll="0"/>
    <pivotField showAll="0"/>
  </pivotFields>
  <rowFields count="1">
    <field x="7"/>
  </rowFields>
  <rowItems count="1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5"/>
    </i>
    <i>
      <x v="16"/>
    </i>
    <i t="grand">
      <x/>
    </i>
  </rowItems>
  <colFields count="1">
    <field x="-2"/>
  </colFields>
  <colItems count="2">
    <i>
      <x/>
    </i>
    <i i="1">
      <x v="1"/>
    </i>
  </colItems>
  <dataFields count="2">
    <dataField name="Somme de Spent " fld="4" baseField="7" baseItem="0"/>
    <dataField name="Somme de Received" fld="5" baseField="7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500-000000000000}" name="Tableau croisé dynamique3" cacheId="2" applyNumberFormats="0" applyBorderFormats="0" applyFontFormats="0" applyPatternFormats="0" applyAlignmentFormats="0" applyWidthHeightFormats="1" dataCaption="Valeurs" updatedVersion="7" minRefreshableVersion="3" useAutoFormatting="1" itemPrintTitles="1" createdVersion="6" indent="0" outline="1" outlineData="1" multipleFieldFilters="0">
  <location ref="B2:R10" firstHeaderRow="1" firstDataRow="2" firstDataCol="1"/>
  <pivotFields count="15">
    <pivotField showAll="0"/>
    <pivotField showAll="0"/>
    <pivotField axis="axisCol" showAll="0">
      <items count="18">
        <item x="7"/>
        <item x="14"/>
        <item x="1"/>
        <item x="5"/>
        <item x="12"/>
        <item x="8"/>
        <item x="10"/>
        <item x="2"/>
        <item x="4"/>
        <item x="0"/>
        <item x="13"/>
        <item x="3"/>
        <item x="11"/>
        <item x="9"/>
        <item m="1" x="16"/>
        <item x="6"/>
        <item m="1" x="15"/>
        <item t="default"/>
      </items>
    </pivotField>
    <pivotField axis="axisRow" showAll="0">
      <items count="7">
        <item x="4"/>
        <item x="1"/>
        <item x="2"/>
        <item x="0"/>
        <item x="3"/>
        <item x="5"/>
        <item t="default"/>
      </items>
    </pivotField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3"/>
  </rowFields>
  <rowItems count="7">
    <i>
      <x/>
    </i>
    <i>
      <x v="1"/>
    </i>
    <i>
      <x v="2"/>
    </i>
    <i>
      <x v="3"/>
    </i>
    <i>
      <x v="4"/>
    </i>
    <i>
      <x v="5"/>
    </i>
    <i t="grand">
      <x/>
    </i>
  </rowItems>
  <colFields count="1">
    <field x="2"/>
  </colFields>
  <colItems count="1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5"/>
    </i>
    <i t="grand">
      <x/>
    </i>
  </colItems>
  <dataFields count="1">
    <dataField name="Somme de Spent  in XAF" fld="4" baseField="3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B00-000000000000}" name="Tableau croisé dynamique4" cacheId="3" applyNumberFormats="0" applyBorderFormats="0" applyFontFormats="0" applyPatternFormats="0" applyAlignmentFormats="0" applyWidthHeightFormats="1" dataCaption="Valeurs" updatedVersion="7" minRefreshableVersion="3" useAutoFormatting="1" itemPrintTitles="1" createdVersion="6" indent="0" outline="1" outlineData="1" multipleFieldFilters="0">
  <location ref="K2:O38" firstHeaderRow="0" firstDataRow="1" firstDataCol="1"/>
  <pivotFields count="16">
    <pivotField axis="axisRow" showAll="0">
      <items count="36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t="default"/>
      </items>
    </pivotField>
    <pivotField showAll="0"/>
    <pivotField showAll="0"/>
    <pivotField showAll="0"/>
    <pivotField dataField="1" showAll="0"/>
    <pivotField dataField="1" showAll="0"/>
    <pivotField showAll="0"/>
    <pivotField showAll="0"/>
    <pivotField showAll="0"/>
    <pivotField showAll="0"/>
    <pivotField axis="axisRow" showAll="0">
      <items count="10">
        <item x="7"/>
        <item x="6"/>
        <item x="8"/>
        <item x="1"/>
        <item x="3"/>
        <item x="2"/>
        <item x="4"/>
        <item x="0"/>
        <item x="5"/>
        <item t="default"/>
      </items>
    </pivotField>
    <pivotField showAll="0"/>
    <pivotField dataField="1" showAll="0"/>
    <pivotField dataField="1" showAll="0"/>
    <pivotField showAll="0"/>
    <pivotField axis="axisRow" showAll="0" defaultSubtotal="0">
      <items count="14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</items>
    </pivotField>
  </pivotFields>
  <rowFields count="3">
    <field x="10"/>
    <field x="15"/>
    <field x="0"/>
  </rowFields>
  <rowItems count="36">
    <i>
      <x/>
    </i>
    <i r="1">
      <x v="8"/>
    </i>
    <i r="1">
      <x v="9"/>
    </i>
    <i r="1">
      <x v="11"/>
    </i>
    <i>
      <x v="1"/>
    </i>
    <i r="1">
      <x v="7"/>
    </i>
    <i>
      <x v="2"/>
    </i>
    <i r="1">
      <x v="10"/>
    </i>
    <i r="1">
      <x v="11"/>
    </i>
    <i>
      <x v="3"/>
    </i>
    <i r="1">
      <x v="2"/>
    </i>
    <i r="1">
      <x v="3"/>
    </i>
    <i r="1">
      <x v="4"/>
    </i>
    <i r="1">
      <x v="5"/>
    </i>
    <i r="1">
      <x v="6"/>
    </i>
    <i>
      <x v="4"/>
    </i>
    <i r="1">
      <x v="3"/>
    </i>
    <i r="1">
      <x v="4"/>
    </i>
    <i r="1">
      <x v="7"/>
    </i>
    <i r="1">
      <x v="9"/>
    </i>
    <i>
      <x v="5"/>
    </i>
    <i r="1">
      <x v="2"/>
    </i>
    <i>
      <x v="6"/>
    </i>
    <i r="1">
      <x v="3"/>
    </i>
    <i>
      <x v="7"/>
    </i>
    <i r="1">
      <x v="1"/>
    </i>
    <i r="1">
      <x v="2"/>
    </i>
    <i>
      <x v="8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dataFields count="4">
    <dataField name="Somme de Spent  in XAF" fld="4" baseField="10" baseItem="0"/>
    <dataField name="Somme de Spent in $" fld="5" baseField="10" baseItem="0"/>
    <dataField name="Somme de Receved in XAF" fld="12" baseField="10" baseItem="0"/>
    <dataField name="Somme de Receved  $" fld="13" baseField="1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C00-000000000000}" name="Tableau croisé dynamique4" cacheId="0" applyNumberFormats="0" applyBorderFormats="0" applyFontFormats="0" applyPatternFormats="0" applyAlignmentFormats="0" applyWidthHeightFormats="1" dataCaption="Valeurs" updatedVersion="7" minRefreshableVersion="3" useAutoFormatting="1" itemPrintTitles="1" createdVersion="6" indent="0" outline="1" outlineData="1" multipleFieldFilters="0">
  <location ref="G2:H16" firstHeaderRow="1" firstDataRow="1" firstDataCol="1"/>
  <pivotFields count="5">
    <pivotField numFmtId="14" showAll="0"/>
    <pivotField showAll="0"/>
    <pivotField dataField="1" showAll="0"/>
    <pivotField numFmtId="3" showAll="0"/>
    <pivotField axis="axisRow" showAll="0">
      <items count="14">
        <item x="6"/>
        <item x="3"/>
        <item x="4"/>
        <item x="1"/>
        <item x="8"/>
        <item x="10"/>
        <item x="12"/>
        <item x="11"/>
        <item x="2"/>
        <item x="5"/>
        <item x="7"/>
        <item x="9"/>
        <item x="0"/>
        <item t="default"/>
      </items>
    </pivotField>
  </pivotFields>
  <rowFields count="1">
    <field x="4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dataFields count="1">
    <dataField name="Somme de distributed" fld="2" baseField="4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C2" dT="2024-11-19T16:38:26.73" personId="{98584D5A-8469-40CB-92DE-DDEA7199F951}" id="{A12D1BC1-2A0A-4E82-995E-AE42C351895A}">
    <text>Link to the personal balance</text>
  </threadedComment>
  <threadedComment ref="D2" dT="2024-11-19T16:46:00.44" personId="{98584D5A-8469-40CB-92DE-DDEA7199F951}" id="{B9DA9024-4CA0-46CF-BCB7-17B9FFFC34E0}">
    <text>Link to the pivot table „Cash journal“</text>
  </threadedComment>
  <threadedComment ref="E2" dT="2024-11-19T16:46:19.39" personId="{98584D5A-8469-40CB-92DE-DDEA7199F951}" id="{62FAAB4B-6EAF-4972-9E02-C37D118F3FE1}">
    <text>Link to the pivot table „data“</text>
  </threadedComment>
  <threadedComment ref="H2" dT="2024-11-19T16:38:41.72" personId="{98584D5A-8469-40CB-92DE-DDEA7199F951}" id="{CD553CA5-AD13-43FC-A1F7-EF2DE5EF7A94}">
    <text>Link to the personal balance</text>
  </threadedComment>
  <threadedComment ref="I2" dT="2024-11-19T16:38:50.52" personId="{98584D5A-8469-40CB-92DE-DDEA7199F951}" id="{5991BF77-FCF5-4586-9875-1F89E2825A51}">
    <text>formula</text>
  </threadedComment>
  <threadedComment ref="C19" dT="2024-11-19T16:39:21.61" personId="{98584D5A-8469-40CB-92DE-DDEA7199F951}" id="{D10F2EAC-DC88-4867-AF3C-128AC3A279F6}">
    <text>Link to the bank journal</text>
  </threadedComment>
  <threadedComment ref="I19" dT="2024-11-19T16:39:34.22" personId="{98584D5A-8469-40CB-92DE-DDEA7199F951}" id="{E4BF8878-824E-43F9-ABC1-A73CD708EDCD}">
    <text>Link to the bank journal</text>
  </threadedComment>
  <threadedComment ref="C25" dT="2024-11-19T16:39:51.68" personId="{98584D5A-8469-40CB-92DE-DDEA7199F951}" id="{5E3CEF0F-AC62-41D5-A934-AC03EDB0B8D2}">
    <text>Link to the cash journal</text>
  </threadedComment>
  <threadedComment ref="H25" dT="2024-11-19T16:40:03.44" personId="{98584D5A-8469-40CB-92DE-DDEA7199F951}" id="{A6199460-FC62-44E6-AB78-D712E7363C57}">
    <text>Link to the cash journal</text>
  </threadedComment>
</ThreadedComments>
</file>

<file path=xl/threadedComments/threadedComment2.xml><?xml version="1.0" encoding="utf-8"?>
<ThreadedComments xmlns="http://schemas.microsoft.com/office/spreadsheetml/2018/threadedcomments" xmlns:x="http://schemas.openxmlformats.org/spreadsheetml/2006/main">
  <threadedComment ref="C6" dT="2024-11-19T17:03:20.17" personId="{98584D5A-8469-40CB-92DE-DDEA7199F951}" id="{C1DF0F66-A833-40DC-8B4A-5A54471ED649}">
    <text>Adjust that according to your country</text>
  </threadedComment>
  <threadedComment ref="F23" dT="2024-11-19T17:02:43.89" personId="{98584D5A-8469-40CB-92DE-DDEA7199F951}" id="{F88D673A-DD35-4DCB-976B-8A96F322437E}">
    <text>Link to the cash journal</text>
  </threadedComment>
</ThreadedComments>
</file>

<file path=xl/worksheets/_rels/sheet1.xml.rels><?xml version="1.0" encoding="UTF-8" standalone="yes"?>
<Relationships xmlns="http://schemas.openxmlformats.org/package/2006/relationships"><Relationship Id="rId3" Type="http://schemas.microsoft.com/office/2017/10/relationships/threadedComment" Target="../threadedComments/threadedComment1.xml"/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7.bin"/><Relationship Id="rId5" Type="http://schemas.microsoft.com/office/2017/10/relationships/threadedComment" Target="../threadedComments/threadedComment2.xml"/><Relationship Id="rId4" Type="http://schemas.openxmlformats.org/officeDocument/2006/relationships/comments" Target="../comments2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.bin"/><Relationship Id="rId1" Type="http://schemas.openxmlformats.org/officeDocument/2006/relationships/pivotTable" Target="../pivotTables/pivotTable4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5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"/>
  <dimension ref="A1:M32"/>
  <sheetViews>
    <sheetView zoomScale="83" zoomScaleNormal="83" workbookViewId="0">
      <selection activeCell="L28" sqref="L28"/>
    </sheetView>
  </sheetViews>
  <sheetFormatPr baseColWidth="10" defaultColWidth="8.69921875" defaultRowHeight="13.8"/>
  <cols>
    <col min="1" max="3" width="17.3984375" customWidth="1"/>
    <col min="4" max="4" width="18.5" customWidth="1"/>
    <col min="5" max="10" width="17.3984375" customWidth="1"/>
    <col min="12" max="13" width="14.69921875" customWidth="1"/>
  </cols>
  <sheetData>
    <row r="1" spans="1:13" ht="41.4">
      <c r="A1" s="79" t="s">
        <v>10</v>
      </c>
      <c r="B1" s="80" t="s">
        <v>11</v>
      </c>
      <c r="C1" s="80" t="s">
        <v>4718</v>
      </c>
      <c r="D1" s="80" t="s">
        <v>12</v>
      </c>
      <c r="E1" s="81" t="s">
        <v>13</v>
      </c>
      <c r="F1" s="81"/>
      <c r="G1" s="81" t="s">
        <v>465</v>
      </c>
      <c r="H1" s="80" t="s">
        <v>4719</v>
      </c>
      <c r="I1" s="82" t="s">
        <v>14</v>
      </c>
      <c r="J1" s="5" t="s">
        <v>15</v>
      </c>
      <c r="L1" s="76" t="s">
        <v>1513</v>
      </c>
      <c r="M1" s="76"/>
    </row>
    <row r="2" spans="1:13" ht="14.4">
      <c r="A2" s="129" t="s">
        <v>438</v>
      </c>
      <c r="B2" s="6" t="s">
        <v>117</v>
      </c>
      <c r="C2" s="7">
        <f>+'Personals balance  '!H4</f>
        <v>12731</v>
      </c>
      <c r="D2" s="228">
        <f>GETPIVOTDATA("Somme de Spent ",'Individual received  '!$B$2,"Name","DOVI")+'Balance   '!M2</f>
        <v>427500</v>
      </c>
      <c r="E2" s="8">
        <f>GETPIVOTDATA("Spent  in XAF",'Individual costs  '!$B$2,"Name","DOVI")</f>
        <v>436750</v>
      </c>
      <c r="F2" s="8"/>
      <c r="G2" s="7">
        <f>GETPIVOTDATA("Somme de Received",'Individual received  '!$B$2,"Name","DOVI")</f>
        <v>0</v>
      </c>
      <c r="H2" s="9">
        <f>'Personals balance  '!H66</f>
        <v>3481</v>
      </c>
      <c r="I2" s="10">
        <f>C2+D2-E2+F2-G2</f>
        <v>3481</v>
      </c>
      <c r="J2" s="11">
        <f>H2-I2</f>
        <v>0</v>
      </c>
      <c r="L2" s="129" t="s">
        <v>438</v>
      </c>
      <c r="M2" s="95">
        <f>+GETPIVOTDATA("distributed",'phone credit '!$G$2,"name","Dovi")</f>
        <v>37500</v>
      </c>
    </row>
    <row r="3" spans="1:13" ht="14.4">
      <c r="A3" s="129" t="s">
        <v>198</v>
      </c>
      <c r="B3" s="6" t="s">
        <v>117</v>
      </c>
      <c r="C3" s="7">
        <f>+'Personals balance  '!H70</f>
        <v>135520</v>
      </c>
      <c r="D3" s="228">
        <f>GETPIVOTDATA("Somme de Spent ",'Individual received  '!$B$2,"Name","Crépin")+'Balance   '!M3</f>
        <v>172000</v>
      </c>
      <c r="E3" s="8">
        <f>GETPIVOTDATA("Spent  in XAF",'Individual costs  '!$B$2,"Name","Crépin")</f>
        <v>266500</v>
      </c>
      <c r="F3" s="8"/>
      <c r="G3" s="7">
        <v>0</v>
      </c>
      <c r="H3" s="9">
        <f>+'Personals balance  '!H93</f>
        <v>41020</v>
      </c>
      <c r="I3" s="10">
        <f>C3+D3-E3+F3-G3</f>
        <v>41020</v>
      </c>
      <c r="J3" s="11">
        <f t="shared" ref="J3:J15" si="0">H3-I3</f>
        <v>0</v>
      </c>
      <c r="L3" s="129" t="s">
        <v>198</v>
      </c>
      <c r="M3" s="95">
        <f>GETPIVOTDATA("distributed",'phone credit '!$G$2,"name","Crepin")</f>
        <v>30000</v>
      </c>
    </row>
    <row r="4" spans="1:13" ht="14.4">
      <c r="A4" s="129" t="s">
        <v>155</v>
      </c>
      <c r="B4" s="6" t="s">
        <v>116</v>
      </c>
      <c r="C4" s="7">
        <f>'Personals balance  '!H98</f>
        <v>0</v>
      </c>
      <c r="D4" s="228">
        <f>0+M4</f>
        <v>0</v>
      </c>
      <c r="E4" s="8">
        <v>0</v>
      </c>
      <c r="F4" s="8"/>
      <c r="G4" s="7">
        <v>0</v>
      </c>
      <c r="H4" s="9">
        <f>+'Personals balance  '!H99</f>
        <v>0</v>
      </c>
      <c r="I4" s="10">
        <f t="shared" ref="I4:I10" si="1">C4+D4-E4+F4-G4</f>
        <v>0</v>
      </c>
      <c r="J4" s="11">
        <f t="shared" si="0"/>
        <v>0</v>
      </c>
      <c r="L4" s="129" t="s">
        <v>155</v>
      </c>
      <c r="M4" s="76">
        <v>0</v>
      </c>
    </row>
    <row r="5" spans="1:13" ht="14.4">
      <c r="A5" s="129" t="s">
        <v>581</v>
      </c>
      <c r="B5" s="6" t="s">
        <v>116</v>
      </c>
      <c r="C5" s="7">
        <f>+'Personals balance  '!H104</f>
        <v>7000</v>
      </c>
      <c r="D5" s="228">
        <f>GETPIVOTDATA("Somme de Spent ",'Individual received  '!$B$2,"Name","Parfaite")+'Balance   '!M5</f>
        <v>540455</v>
      </c>
      <c r="E5" s="8">
        <f>GETPIVOTDATA("Spent  in XAF",'Individual costs  '!$B$2,"Name","Parfaite")</f>
        <v>538455</v>
      </c>
      <c r="F5" s="8"/>
      <c r="G5" s="7">
        <v>0</v>
      </c>
      <c r="H5" s="9">
        <f>+'Personals balance  '!H211</f>
        <v>9000</v>
      </c>
      <c r="I5" s="10">
        <f>C5+D5-E5+F5-G5</f>
        <v>9000</v>
      </c>
      <c r="J5" s="11">
        <f>H5-I5</f>
        <v>0</v>
      </c>
      <c r="L5" s="129" t="s">
        <v>581</v>
      </c>
      <c r="M5" s="95">
        <f>+GETPIVOTDATA("distributed",'phone credit '!$G$2,"name","Parfaite")</f>
        <v>22500</v>
      </c>
    </row>
    <row r="6" spans="1:13" ht="14.4">
      <c r="A6" s="131" t="s">
        <v>439</v>
      </c>
      <c r="B6" s="132" t="s">
        <v>440</v>
      </c>
      <c r="C6" s="152">
        <v>233614</v>
      </c>
      <c r="D6" s="153"/>
      <c r="E6" s="153"/>
      <c r="F6" s="153"/>
      <c r="G6" s="152"/>
      <c r="H6" s="154">
        <v>233614</v>
      </c>
      <c r="I6" s="155">
        <f t="shared" si="1"/>
        <v>233614</v>
      </c>
      <c r="J6" s="11">
        <f t="shared" si="0"/>
        <v>0</v>
      </c>
      <c r="L6" s="131" t="s">
        <v>439</v>
      </c>
      <c r="M6" s="76"/>
    </row>
    <row r="7" spans="1:13" ht="14.4">
      <c r="A7" s="131" t="s">
        <v>441</v>
      </c>
      <c r="B7" s="132" t="s">
        <v>440</v>
      </c>
      <c r="C7" s="152">
        <v>249769</v>
      </c>
      <c r="D7" s="153"/>
      <c r="E7" s="153"/>
      <c r="F7" s="153"/>
      <c r="G7" s="152"/>
      <c r="H7" s="154">
        <v>249769</v>
      </c>
      <c r="I7" s="155">
        <f t="shared" si="1"/>
        <v>249769</v>
      </c>
      <c r="J7" s="11">
        <f t="shared" si="0"/>
        <v>0</v>
      </c>
      <c r="L7" s="131" t="s">
        <v>441</v>
      </c>
      <c r="M7" s="76"/>
    </row>
    <row r="8" spans="1:13" ht="15">
      <c r="A8" s="130" t="s">
        <v>315</v>
      </c>
      <c r="B8" s="6" t="s">
        <v>440</v>
      </c>
      <c r="C8" s="7">
        <f>+'Personals balance  '!H390</f>
        <v>7200</v>
      </c>
      <c r="D8" s="228">
        <f>GETPIVOTDATA("Somme de Spent ",'Individual received  '!$B$2,"Name","IT87")+'Balance   '!M8</f>
        <v>425000</v>
      </c>
      <c r="E8" s="8">
        <f>GETPIVOTDATA("Spent  in XAF",'Individual costs  '!$B$2,"Name","IT87")</f>
        <v>477200</v>
      </c>
      <c r="F8" s="8"/>
      <c r="G8" s="7">
        <v>0</v>
      </c>
      <c r="H8" s="9">
        <f>+'Personals balance  '!H477</f>
        <v>-45000</v>
      </c>
      <c r="I8" s="10">
        <f t="shared" si="1"/>
        <v>-45000</v>
      </c>
      <c r="J8" s="11">
        <f t="shared" si="0"/>
        <v>0</v>
      </c>
      <c r="L8" s="130" t="s">
        <v>315</v>
      </c>
      <c r="M8" s="95">
        <f>GETPIVOTDATA("distributed",'phone credit '!$G$2,"name","IT87")</f>
        <v>30000</v>
      </c>
    </row>
    <row r="9" spans="1:13" ht="14.4">
      <c r="A9" s="129" t="s">
        <v>182</v>
      </c>
      <c r="B9" s="6" t="s">
        <v>440</v>
      </c>
      <c r="C9" s="7">
        <f>+'Personals balance  '!H216</f>
        <v>16110</v>
      </c>
      <c r="D9" s="228">
        <f>GETPIVOTDATA("Somme de Spent ",'Individual received  '!$B$2,"Name","P29")+M9</f>
        <v>430000</v>
      </c>
      <c r="E9" s="8">
        <f>GETPIVOTDATA("Spent  in XAF",'Individual costs  '!$B$2,"Name","P29")</f>
        <v>467200</v>
      </c>
      <c r="F9" s="8"/>
      <c r="G9" s="7">
        <f>+GETPIVOTDATA("Somme de Received",'Individual received  '!$B$2,"Name","P29")</f>
        <v>0</v>
      </c>
      <c r="H9" s="9">
        <f>+'Personals balance  '!H308</f>
        <v>-21090</v>
      </c>
      <c r="I9" s="10">
        <f t="shared" si="1"/>
        <v>-21090</v>
      </c>
      <c r="J9" s="11">
        <f t="shared" si="0"/>
        <v>0</v>
      </c>
      <c r="L9" s="129" t="s">
        <v>182</v>
      </c>
      <c r="M9" s="95">
        <f>GETPIVOTDATA("distributed",'phone credit '!$G$2,"name","P29")</f>
        <v>30000</v>
      </c>
    </row>
    <row r="10" spans="1:13" ht="14.4">
      <c r="A10" s="129" t="s">
        <v>173</v>
      </c>
      <c r="B10" s="6" t="s">
        <v>440</v>
      </c>
      <c r="C10" s="7">
        <f>+'Personals balance  '!H313</f>
        <v>57950</v>
      </c>
      <c r="D10" s="228">
        <f>GETPIVOTDATA("Somme de Spent ",'Individual received  '!$B$2,"Name","T73")+M10</f>
        <v>248000</v>
      </c>
      <c r="E10" s="8">
        <f>GETPIVOTDATA("Spent  in XAF",'Individual costs  '!$B$2,"Name","T73")</f>
        <v>243000</v>
      </c>
      <c r="F10" s="8"/>
      <c r="G10" s="7">
        <f>+GETPIVOTDATA("Somme de Received",'Individual received  '!$B$2,"Name","T73")</f>
        <v>0</v>
      </c>
      <c r="H10" s="9">
        <f>+'Personals balance  '!H385</f>
        <v>62950</v>
      </c>
      <c r="I10" s="10">
        <f t="shared" si="1"/>
        <v>62950</v>
      </c>
      <c r="J10" s="11">
        <f t="shared" si="0"/>
        <v>0</v>
      </c>
      <c r="L10" s="129" t="s">
        <v>173</v>
      </c>
      <c r="M10" s="95">
        <f>GETPIVOTDATA("distributed",'phone credit '!$G$2,"name","T73")</f>
        <v>30000</v>
      </c>
    </row>
    <row r="11" spans="1:13" ht="14.4">
      <c r="A11" s="125" t="s">
        <v>321</v>
      </c>
      <c r="B11" s="226" t="s">
        <v>440</v>
      </c>
      <c r="C11" s="227">
        <f>+'Personals balance  '!H482</f>
        <v>3000</v>
      </c>
      <c r="D11" s="228">
        <f>GETPIVOTDATA("Somme de Spent ",'Individual received  '!$B$2,"Name","G12")+M11</f>
        <v>264000</v>
      </c>
      <c r="E11" s="228">
        <f>GETPIVOTDATA("Spent  in XAF",'Individual costs  '!$B$2,"Name","G12")</f>
        <v>320500</v>
      </c>
      <c r="F11" s="228"/>
      <c r="G11" s="227">
        <f>+GETPIVOTDATA("Somme de Received",'Individual received  '!$B$2,"Name","G12")</f>
        <v>0</v>
      </c>
      <c r="H11" s="229">
        <f>+'Personals balance  '!H567</f>
        <v>-53500</v>
      </c>
      <c r="I11" s="230">
        <f t="shared" ref="I11:I16" si="2">C11+D11-E11+F11-G11</f>
        <v>-53500</v>
      </c>
      <c r="J11" s="11">
        <f t="shared" si="0"/>
        <v>0</v>
      </c>
      <c r="L11" s="76" t="s">
        <v>321</v>
      </c>
      <c r="M11" s="95">
        <f>GETPIVOTDATA("distributed",'phone credit '!$G$2,"name","G12")</f>
        <v>30000</v>
      </c>
    </row>
    <row r="12" spans="1:13" ht="14.4">
      <c r="A12" s="231" t="s">
        <v>185</v>
      </c>
      <c r="B12" s="226" t="s">
        <v>115</v>
      </c>
      <c r="C12" s="232">
        <f>+'Personals balance  '!H936</f>
        <v>149747</v>
      </c>
      <c r="D12" s="228">
        <f>GETPIVOTDATA("Somme de Spent ",'Individual received  '!$B$2,"Name","Romain")+M12</f>
        <v>311687</v>
      </c>
      <c r="E12" s="233">
        <f>+GETPIVOTDATA("Spent  in XAF",'Individual costs  '!$B$2,"Name","Romain")</f>
        <v>458187</v>
      </c>
      <c r="F12" s="125"/>
      <c r="G12" s="125">
        <f>+GETPIVOTDATA("Somme de Received",'Individual received  '!$B$2,"Name",)</f>
        <v>0</v>
      </c>
      <c r="H12" s="232">
        <f>+'Personals balance  '!H1016</f>
        <v>3247</v>
      </c>
      <c r="I12" s="230">
        <f t="shared" si="2"/>
        <v>3247</v>
      </c>
      <c r="J12" s="11">
        <f t="shared" si="0"/>
        <v>0</v>
      </c>
      <c r="L12" s="129" t="s">
        <v>185</v>
      </c>
      <c r="M12" s="95">
        <f>+GETPIVOTDATA("distributed",'phone credit '!$G$2,"name","Romain")</f>
        <v>22500</v>
      </c>
    </row>
    <row r="13" spans="1:13" ht="14.4">
      <c r="A13" s="129" t="s">
        <v>435</v>
      </c>
      <c r="B13" s="6" t="s">
        <v>115</v>
      </c>
      <c r="C13" s="12">
        <f>+'Personals balance  '!H691</f>
        <v>22130</v>
      </c>
      <c r="D13" s="232">
        <f>GETPIVOTDATA("Somme de Spent ",'Individual received  '!$B$2,"Name","Donald-Roméo")+M13</f>
        <v>565000</v>
      </c>
      <c r="E13" s="13">
        <f>GETPIVOTDATA("Spent  in XAF",'Individual costs  '!$B$2,"Name","Donald-Romeo")</f>
        <v>574000</v>
      </c>
      <c r="F13" s="76"/>
      <c r="G13" s="122">
        <f>+GETPIVOTDATA("Somme de Received",'Individual received  '!$B$2,"Name","Donald-Roméo")</f>
        <v>0</v>
      </c>
      <c r="H13" s="123">
        <f>+'Personals balance  '!H740</f>
        <v>13130</v>
      </c>
      <c r="I13" s="10">
        <f t="shared" si="2"/>
        <v>13130</v>
      </c>
      <c r="J13" s="11">
        <f t="shared" si="0"/>
        <v>0</v>
      </c>
      <c r="L13" s="129" t="s">
        <v>435</v>
      </c>
      <c r="M13" s="95">
        <f>GETPIVOTDATA("distributed",'phone credit '!$G$2,"name","Donald-Romeo")</f>
        <v>30000</v>
      </c>
    </row>
    <row r="14" spans="1:13" ht="14.4">
      <c r="A14" s="129" t="s">
        <v>188</v>
      </c>
      <c r="B14" s="6" t="s">
        <v>115</v>
      </c>
      <c r="C14" s="12">
        <f>+'Personals balance  '!H571</f>
        <v>5450</v>
      </c>
      <c r="D14" s="232">
        <f>GETPIVOTDATA("Somme de Spent ",'Individual received  '!$B$2,"Name","Abraham")+M14</f>
        <v>360330</v>
      </c>
      <c r="E14" s="13">
        <f>+GETPIVOTDATA("Spent  in XAF",'Individual costs  '!$B$2,"Name","Abraham")</f>
        <v>363330</v>
      </c>
      <c r="F14" s="76"/>
      <c r="G14" s="122">
        <f>+GETPIVOTDATA("Somme de Received",'Individual received  '!$B$2,"Name","Abraham")</f>
        <v>0</v>
      </c>
      <c r="H14" s="123">
        <f>+'Personals balance  '!H628</f>
        <v>2450</v>
      </c>
      <c r="I14" s="10">
        <f t="shared" si="2"/>
        <v>2450</v>
      </c>
      <c r="J14" s="11">
        <f t="shared" si="0"/>
        <v>0</v>
      </c>
      <c r="L14" s="129" t="s">
        <v>188</v>
      </c>
      <c r="M14" s="95">
        <f>+GETPIVOTDATA("distributed",'phone credit '!$G$2,"name","Abraham")</f>
        <v>22500</v>
      </c>
    </row>
    <row r="15" spans="1:13" ht="14.4">
      <c r="A15" s="129" t="s">
        <v>191</v>
      </c>
      <c r="B15" s="6" t="s">
        <v>115</v>
      </c>
      <c r="C15" s="12">
        <f>+'Personals balance  '!H634</f>
        <v>100600</v>
      </c>
      <c r="D15" s="232">
        <f>GETPIVOTDATA("Somme de Spent ",'Individual received  '!$B$2,"Name","Roderlin")+M15</f>
        <v>179500</v>
      </c>
      <c r="E15" s="13">
        <f>+GETPIVOTDATA("Spent  in XAF",'Individual costs  '!$B$2,"Name","Roderlin")</f>
        <v>272500</v>
      </c>
      <c r="F15" s="76"/>
      <c r="G15" s="122">
        <f>+GETPIVOTDATA("Somme de Received",'Individual received  '!$B$2,"Name","Roderlin")</f>
        <v>0</v>
      </c>
      <c r="H15" s="123">
        <f>+'Personals balance  '!H687</f>
        <v>7600</v>
      </c>
      <c r="I15" s="10">
        <f t="shared" si="2"/>
        <v>7600</v>
      </c>
      <c r="J15" s="11">
        <f t="shared" si="0"/>
        <v>0</v>
      </c>
      <c r="L15" s="129" t="s">
        <v>191</v>
      </c>
      <c r="M15" s="95">
        <f>+GETPIVOTDATA("distributed",'phone credit '!$G$2,"name","Roderlin")</f>
        <v>22500</v>
      </c>
    </row>
    <row r="16" spans="1:13" ht="14.4">
      <c r="A16" s="129" t="s">
        <v>211</v>
      </c>
      <c r="B16" s="6" t="s">
        <v>118</v>
      </c>
      <c r="C16" s="12">
        <f>+'Personals balance  '!H744</f>
        <v>10750</v>
      </c>
      <c r="D16" s="232">
        <f>GETPIVOTDATA("Somme de Spent ",'Individual received  '!$B$2,"Name","Evariste")+M16</f>
        <v>518000</v>
      </c>
      <c r="E16" s="13">
        <f>+GETPIVOTDATA("Spent  in XAF",'Individual costs  '!$B$2,"Name","Evariste")</f>
        <v>527100</v>
      </c>
      <c r="F16" s="76"/>
      <c r="G16" s="122">
        <f>+GETPIVOTDATA("Somme de Received",'Individual received  '!$B$2,"Name","Evariste")</f>
        <v>0</v>
      </c>
      <c r="H16" s="123">
        <f>'Personals balance  '!H930</f>
        <v>1650</v>
      </c>
      <c r="I16" s="10">
        <f t="shared" si="2"/>
        <v>1650</v>
      </c>
      <c r="J16" s="11">
        <f>H16-I16</f>
        <v>0</v>
      </c>
      <c r="L16" s="129" t="s">
        <v>211</v>
      </c>
      <c r="M16" s="95">
        <f>GETPIVOTDATA("distributed",'phone credit '!$G$2,"name","Evariste")</f>
        <v>30000</v>
      </c>
    </row>
    <row r="17" spans="1:13" ht="14.4">
      <c r="A17" s="14" t="s">
        <v>18</v>
      </c>
      <c r="B17" s="15"/>
      <c r="C17" s="16">
        <f t="shared" ref="C17:I17" si="3">SUM(C2:C16)</f>
        <v>1011571</v>
      </c>
      <c r="D17" s="16">
        <f t="shared" si="3"/>
        <v>4441472</v>
      </c>
      <c r="E17" s="16">
        <f t="shared" si="3"/>
        <v>4944722</v>
      </c>
      <c r="F17" s="16">
        <f t="shared" si="3"/>
        <v>0</v>
      </c>
      <c r="G17" s="16">
        <f t="shared" si="3"/>
        <v>0</v>
      </c>
      <c r="H17" s="16">
        <f t="shared" si="3"/>
        <v>508321</v>
      </c>
      <c r="I17" s="16">
        <f t="shared" si="3"/>
        <v>508321</v>
      </c>
      <c r="J17" s="17">
        <f>H17-I17</f>
        <v>0</v>
      </c>
      <c r="M17" s="71">
        <f>SUM(M2:M16)</f>
        <v>337500</v>
      </c>
    </row>
    <row r="18" spans="1:13" ht="14.4">
      <c r="A18" s="18"/>
      <c r="B18" s="19"/>
      <c r="C18" s="20"/>
      <c r="D18" s="21"/>
      <c r="E18" s="21"/>
      <c r="F18" s="77" t="s">
        <v>16</v>
      </c>
      <c r="G18" s="78" t="s">
        <v>17</v>
      </c>
      <c r="H18" s="20"/>
      <c r="I18" s="22"/>
      <c r="J18" s="11"/>
    </row>
    <row r="19" spans="1:13" ht="14.4">
      <c r="A19" s="23" t="s">
        <v>28</v>
      </c>
      <c r="B19" s="24"/>
      <c r="C19" s="25">
        <f>+'Bank journal  '!G2</f>
        <v>9830380</v>
      </c>
      <c r="D19" s="26">
        <f>'DATA '!M302+'DATA '!M303</f>
        <v>0</v>
      </c>
      <c r="E19" s="25">
        <f>GETPIVOTDATA("Spent  in XAF",'Individual costs  '!$B$2,"Name","BCI")</f>
        <v>1610000</v>
      </c>
      <c r="F19" s="25"/>
      <c r="G19" s="25">
        <f>GETPIVOTDATA("Somme de Received",'Individual received  '!$B$2,"Name","BCI")</f>
        <v>4050000</v>
      </c>
      <c r="H19" s="26">
        <f>'Bank reconciliation  '!D52</f>
        <v>4170380</v>
      </c>
      <c r="I19" s="27">
        <f>C19+D19-E19+F19-G19</f>
        <v>4170380</v>
      </c>
      <c r="J19" s="11">
        <f>H19-I19</f>
        <v>0</v>
      </c>
    </row>
    <row r="20" spans="1:13" ht="14.4">
      <c r="A20" s="83" t="s">
        <v>19</v>
      </c>
      <c r="B20" s="84"/>
      <c r="C20" s="84">
        <f t="shared" ref="C20:I20" si="4">SUM(C19:C19)</f>
        <v>9830380</v>
      </c>
      <c r="D20" s="84">
        <f t="shared" si="4"/>
        <v>0</v>
      </c>
      <c r="E20" s="84">
        <f t="shared" si="4"/>
        <v>1610000</v>
      </c>
      <c r="F20" s="84">
        <f t="shared" si="4"/>
        <v>0</v>
      </c>
      <c r="G20" s="84">
        <f t="shared" si="4"/>
        <v>4050000</v>
      </c>
      <c r="H20" s="84">
        <f t="shared" si="4"/>
        <v>4170380</v>
      </c>
      <c r="I20" s="85">
        <f t="shared" si="4"/>
        <v>4170380</v>
      </c>
      <c r="J20" s="17">
        <f>H20-I20</f>
        <v>0</v>
      </c>
    </row>
    <row r="21" spans="1:13" ht="14.4">
      <c r="A21" s="28" t="s">
        <v>20</v>
      </c>
      <c r="B21" s="29"/>
      <c r="C21" s="29"/>
      <c r="D21" s="30"/>
      <c r="E21" s="31"/>
      <c r="F21" s="29"/>
      <c r="G21" s="29"/>
      <c r="H21" s="29"/>
      <c r="I21" s="32"/>
      <c r="J21" s="33"/>
    </row>
    <row r="22" spans="1:13" ht="15" thickBot="1">
      <c r="A22" s="34"/>
      <c r="B22" s="35"/>
      <c r="C22" s="35"/>
      <c r="D22" s="35"/>
      <c r="E22" s="35"/>
      <c r="F22" s="35"/>
      <c r="G22" s="35"/>
      <c r="H22" s="35"/>
      <c r="I22" s="36"/>
      <c r="J22" s="11"/>
    </row>
    <row r="23" spans="1:13" ht="15" thickBot="1">
      <c r="A23" s="37" t="s">
        <v>21</v>
      </c>
      <c r="B23" s="38"/>
      <c r="C23" s="38"/>
      <c r="D23" s="38"/>
      <c r="E23" s="38">
        <f>E17+E20</f>
        <v>6554722</v>
      </c>
      <c r="F23" s="38"/>
      <c r="G23" s="38"/>
      <c r="H23" s="38"/>
      <c r="I23" s="39"/>
      <c r="J23" s="40"/>
    </row>
    <row r="24" spans="1:13" ht="14.4">
      <c r="A24" s="41"/>
      <c r="B24" s="42"/>
      <c r="C24" s="42"/>
      <c r="D24" s="42"/>
      <c r="E24" s="42"/>
      <c r="F24" s="42"/>
      <c r="G24" s="42"/>
      <c r="H24" s="42"/>
      <c r="I24" s="43"/>
      <c r="J24" s="11"/>
    </row>
    <row r="25" spans="1:13" ht="14.4">
      <c r="A25" s="44" t="s">
        <v>22</v>
      </c>
      <c r="B25" s="45"/>
      <c r="C25" s="46">
        <f>'Cash journal   '!G2</f>
        <v>396225</v>
      </c>
      <c r="D25" s="47">
        <f>GETPIVOTDATA("Somme de Received",'Individual received  '!$B$2)</f>
        <v>4050000</v>
      </c>
      <c r="E25" s="47">
        <f>GETPIVOTDATA("Somme de Spent ",'Individual received  '!$B$2)</f>
        <v>4441472</v>
      </c>
      <c r="F25" s="47"/>
      <c r="G25" s="47"/>
      <c r="H25" s="47">
        <f>'Cash desk closing '!F23</f>
        <v>4753</v>
      </c>
      <c r="I25" s="48">
        <f>C25+D25-E25+F25</f>
        <v>4753</v>
      </c>
      <c r="J25" s="11">
        <f>H25-I25</f>
        <v>0</v>
      </c>
    </row>
    <row r="26" spans="1:13" ht="15" thickBot="1">
      <c r="A26" s="49"/>
      <c r="B26" s="50"/>
      <c r="C26" s="50"/>
      <c r="D26" s="50"/>
      <c r="E26" s="50"/>
      <c r="F26" s="50"/>
      <c r="G26" s="50"/>
      <c r="H26" s="50"/>
      <c r="I26" s="50"/>
      <c r="J26" s="51"/>
    </row>
    <row r="27" spans="1:13" ht="15.6">
      <c r="A27" s="52"/>
      <c r="B27" s="53"/>
      <c r="C27" s="54"/>
      <c r="D27" s="640" t="s">
        <v>23</v>
      </c>
      <c r="E27" s="640"/>
      <c r="F27" s="54"/>
      <c r="G27" s="54"/>
      <c r="H27" s="54"/>
      <c r="I27" s="55"/>
      <c r="J27" s="56"/>
    </row>
    <row r="28" spans="1:13" ht="46.8">
      <c r="A28" s="57"/>
      <c r="B28" s="58"/>
      <c r="C28" s="59" t="s">
        <v>4720</v>
      </c>
      <c r="D28" s="59" t="s">
        <v>31</v>
      </c>
      <c r="E28" s="59" t="s">
        <v>24</v>
      </c>
      <c r="F28" s="59"/>
      <c r="G28" s="59"/>
      <c r="H28" s="59" t="s">
        <v>4721</v>
      </c>
      <c r="I28" s="59" t="s">
        <v>25</v>
      </c>
      <c r="J28" s="60" t="s">
        <v>26</v>
      </c>
    </row>
    <row r="29" spans="1:13" ht="16.2" thickBot="1">
      <c r="A29" s="61" t="s">
        <v>27</v>
      </c>
      <c r="B29" s="62"/>
      <c r="C29" s="63">
        <f>C25+C20+C17</f>
        <v>11238176</v>
      </c>
      <c r="D29" s="63">
        <f>+D20</f>
        <v>0</v>
      </c>
      <c r="E29" s="63">
        <f>E23</f>
        <v>6554722</v>
      </c>
      <c r="F29" s="64"/>
      <c r="G29" s="63"/>
      <c r="H29" s="63">
        <f>+H25+H20+H17</f>
        <v>4683454</v>
      </c>
      <c r="I29" s="63">
        <f>C29+D29-E29</f>
        <v>4683454</v>
      </c>
      <c r="J29" s="65">
        <f>H29-I29</f>
        <v>0</v>
      </c>
    </row>
    <row r="31" spans="1:13">
      <c r="F31" s="159"/>
    </row>
    <row r="32" spans="1:13">
      <c r="F32" s="159"/>
    </row>
  </sheetData>
  <mergeCells count="1">
    <mergeCell ref="D27:E27"/>
  </mergeCells>
  <phoneticPr fontId="28" type="noConversion"/>
  <pageMargins left="0.7" right="0.7" top="0.78740157499999996" bottom="0.78740157499999996" header="0.3" footer="0.3"/>
  <legacy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Feuil10"/>
  <dimension ref="B1:G31"/>
  <sheetViews>
    <sheetView topLeftCell="A16" workbookViewId="0">
      <selection activeCell="S12" sqref="S12"/>
    </sheetView>
  </sheetViews>
  <sheetFormatPr baseColWidth="10" defaultColWidth="8.69921875" defaultRowHeight="13.8"/>
  <cols>
    <col min="1" max="1" width="2.69921875" customWidth="1"/>
    <col min="2" max="2" width="15.09765625" customWidth="1"/>
    <col min="3" max="3" width="11.09765625" style="71" customWidth="1"/>
    <col min="4" max="4" width="11.09765625" style="97" customWidth="1"/>
    <col min="5" max="5" width="11.09765625" customWidth="1"/>
    <col min="6" max="6" width="14.69921875" customWidth="1"/>
  </cols>
  <sheetData>
    <row r="1" spans="2:6">
      <c r="B1" t="s">
        <v>66</v>
      </c>
      <c r="C1" s="71" t="s">
        <v>96</v>
      </c>
    </row>
    <row r="2" spans="2:6">
      <c r="B2" t="s">
        <v>67</v>
      </c>
      <c r="C2" s="71" t="s">
        <v>4725</v>
      </c>
    </row>
    <row r="3" spans="2:6">
      <c r="B3" t="s">
        <v>68</v>
      </c>
      <c r="C3" s="145">
        <v>2025</v>
      </c>
    </row>
    <row r="4" spans="2:6">
      <c r="C4"/>
    </row>
    <row r="5" spans="2:6">
      <c r="B5" s="91" t="s">
        <v>56</v>
      </c>
      <c r="C5" s="95"/>
      <c r="D5" s="96"/>
      <c r="E5" s="76"/>
      <c r="F5" s="76"/>
    </row>
    <row r="6" spans="2:6">
      <c r="B6" s="91"/>
      <c r="C6" s="95" t="s">
        <v>62</v>
      </c>
      <c r="D6" s="96"/>
      <c r="E6" s="76" t="s">
        <v>63</v>
      </c>
      <c r="F6" s="76"/>
    </row>
    <row r="7" spans="2:6">
      <c r="B7" s="76"/>
      <c r="C7" s="95">
        <v>10000</v>
      </c>
      <c r="D7" s="96" t="s">
        <v>57</v>
      </c>
      <c r="E7" s="76">
        <v>0</v>
      </c>
      <c r="F7" s="92">
        <f>C7*E7</f>
        <v>0</v>
      </c>
    </row>
    <row r="8" spans="2:6">
      <c r="B8" s="76"/>
      <c r="C8" s="95">
        <v>5000</v>
      </c>
      <c r="D8" s="96" t="s">
        <v>57</v>
      </c>
      <c r="E8" s="76">
        <v>0</v>
      </c>
      <c r="F8" s="92">
        <f>C8*E8</f>
        <v>0</v>
      </c>
    </row>
    <row r="9" spans="2:6">
      <c r="B9" s="76"/>
      <c r="C9" s="95">
        <v>2000</v>
      </c>
      <c r="D9" s="96" t="s">
        <v>57</v>
      </c>
      <c r="E9" s="76">
        <v>1</v>
      </c>
      <c r="F9" s="92">
        <f>C9*E9</f>
        <v>2000</v>
      </c>
    </row>
    <row r="10" spans="2:6">
      <c r="B10" s="76"/>
      <c r="C10" s="95">
        <v>1000</v>
      </c>
      <c r="D10" s="96" t="s">
        <v>57</v>
      </c>
      <c r="E10" s="76">
        <v>2</v>
      </c>
      <c r="F10" s="92">
        <f>C10*E10</f>
        <v>2000</v>
      </c>
    </row>
    <row r="11" spans="2:6">
      <c r="B11" s="76"/>
      <c r="C11" s="95">
        <v>500</v>
      </c>
      <c r="D11" s="96" t="s">
        <v>57</v>
      </c>
      <c r="E11" s="76">
        <v>0</v>
      </c>
      <c r="F11" s="92">
        <f>C11*E11</f>
        <v>0</v>
      </c>
    </row>
    <row r="12" spans="2:6">
      <c r="B12" s="76"/>
      <c r="C12" s="95"/>
      <c r="D12" s="96"/>
      <c r="E12" s="76"/>
      <c r="F12" s="76"/>
    </row>
    <row r="13" spans="2:6">
      <c r="B13" s="93" t="s">
        <v>58</v>
      </c>
      <c r="C13" s="95"/>
      <c r="D13" s="96"/>
      <c r="E13" s="76"/>
      <c r="F13" s="76"/>
    </row>
    <row r="14" spans="2:6">
      <c r="B14" s="76"/>
      <c r="C14" s="95">
        <v>500</v>
      </c>
      <c r="D14" s="96" t="s">
        <v>57</v>
      </c>
      <c r="E14" s="76">
        <v>1</v>
      </c>
      <c r="F14" s="76">
        <f t="shared" ref="F14:F19" si="0">C14*E14</f>
        <v>500</v>
      </c>
    </row>
    <row r="15" spans="2:6">
      <c r="B15" s="76"/>
      <c r="C15" s="95">
        <v>100</v>
      </c>
      <c r="D15" s="96" t="s">
        <v>57</v>
      </c>
      <c r="E15" s="76">
        <v>2</v>
      </c>
      <c r="F15" s="76">
        <f t="shared" si="0"/>
        <v>200</v>
      </c>
    </row>
    <row r="16" spans="2:6">
      <c r="B16" s="76"/>
      <c r="C16" s="95">
        <v>50</v>
      </c>
      <c r="D16" s="96" t="s">
        <v>57</v>
      </c>
      <c r="E16" s="76">
        <v>1</v>
      </c>
      <c r="F16" s="76">
        <f t="shared" si="0"/>
        <v>50</v>
      </c>
    </row>
    <row r="17" spans="2:7">
      <c r="B17" s="76"/>
      <c r="C17" s="95">
        <v>25</v>
      </c>
      <c r="D17" s="96" t="s">
        <v>57</v>
      </c>
      <c r="E17" s="76">
        <v>1</v>
      </c>
      <c r="F17" s="76">
        <f t="shared" si="0"/>
        <v>25</v>
      </c>
    </row>
    <row r="18" spans="2:7">
      <c r="B18" s="76"/>
      <c r="C18" s="95">
        <v>10</v>
      </c>
      <c r="D18" s="96" t="s">
        <v>57</v>
      </c>
      <c r="E18" s="76">
        <v>0</v>
      </c>
      <c r="F18" s="76">
        <f t="shared" si="0"/>
        <v>0</v>
      </c>
    </row>
    <row r="19" spans="2:7">
      <c r="B19" s="76"/>
      <c r="C19" s="95">
        <v>5</v>
      </c>
      <c r="D19" s="96" t="s">
        <v>57</v>
      </c>
      <c r="E19" s="76">
        <v>0</v>
      </c>
      <c r="F19" s="76">
        <f t="shared" si="0"/>
        <v>0</v>
      </c>
    </row>
    <row r="20" spans="2:7">
      <c r="B20" s="76"/>
      <c r="C20" s="95"/>
      <c r="D20" s="96"/>
      <c r="E20" s="76"/>
      <c r="F20" s="94">
        <f>SUM(F7:F19)</f>
        <v>4775</v>
      </c>
    </row>
    <row r="21" spans="2:7">
      <c r="B21" s="76"/>
      <c r="C21" s="95"/>
      <c r="D21" s="96"/>
      <c r="E21" s="76"/>
      <c r="F21" s="91"/>
    </row>
    <row r="22" spans="2:7">
      <c r="B22" s="76" t="s">
        <v>59</v>
      </c>
      <c r="C22" s="95"/>
      <c r="D22" s="96"/>
      <c r="E22" s="76"/>
      <c r="F22" s="94">
        <f>F20</f>
        <v>4775</v>
      </c>
    </row>
    <row r="23" spans="2:7">
      <c r="B23" s="76" t="s">
        <v>60</v>
      </c>
      <c r="C23" s="95"/>
      <c r="D23" s="96"/>
      <c r="E23" s="76"/>
      <c r="F23" s="94">
        <f>'Cash journal   '!G160</f>
        <v>4753</v>
      </c>
    </row>
    <row r="24" spans="2:7">
      <c r="B24" s="76" t="s">
        <v>61</v>
      </c>
      <c r="C24" s="95"/>
      <c r="D24" s="96"/>
      <c r="E24" s="76"/>
      <c r="F24" s="92">
        <f>+F22-F23</f>
        <v>22</v>
      </c>
    </row>
    <row r="26" spans="2:7">
      <c r="B26" t="s">
        <v>1427</v>
      </c>
    </row>
    <row r="28" spans="2:7">
      <c r="B28" t="s">
        <v>64</v>
      </c>
      <c r="F28" t="s">
        <v>65</v>
      </c>
    </row>
    <row r="31" spans="2:7">
      <c r="B31" s="90" t="s">
        <v>1899</v>
      </c>
      <c r="C31" s="149"/>
      <c r="D31" s="150"/>
      <c r="E31" s="148"/>
      <c r="F31" s="151" t="s">
        <v>469</v>
      </c>
      <c r="G31" s="148"/>
    </row>
  </sheetData>
  <pageMargins left="0.7" right="0.7" top="0.78740157499999996" bottom="0.78740157499999996" header="0.3" footer="0.3"/>
  <pageSetup paperSize="9" orientation="portrait" r:id="rId1"/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Feuil11" filterMode="1"/>
  <dimension ref="A1:O4601"/>
  <sheetViews>
    <sheetView workbookViewId="0">
      <pane ySplit="181" topLeftCell="A4053" activePane="bottomLeft" state="frozen"/>
      <selection pane="bottomLeft" activeCell="B4602" sqref="B4602"/>
    </sheetView>
  </sheetViews>
  <sheetFormatPr baseColWidth="10" defaultColWidth="9.09765625" defaultRowHeight="14.4"/>
  <cols>
    <col min="1" max="1" width="13.8984375" style="276" customWidth="1"/>
    <col min="2" max="2" width="47" style="276" customWidth="1"/>
    <col min="3" max="10" width="13.8984375" style="276" customWidth="1"/>
    <col min="11" max="11" width="12.09765625" style="276" customWidth="1"/>
    <col min="12" max="15" width="13.8984375" style="276" customWidth="1"/>
    <col min="16" max="16384" width="9.09765625" style="276"/>
  </cols>
  <sheetData>
    <row r="1" spans="1:15">
      <c r="A1" s="246" t="s">
        <v>0</v>
      </c>
      <c r="B1" s="1" t="s">
        <v>1</v>
      </c>
      <c r="C1" s="1" t="s">
        <v>2</v>
      </c>
      <c r="D1" s="1" t="s">
        <v>3</v>
      </c>
      <c r="E1" s="70" t="s">
        <v>148</v>
      </c>
      <c r="F1" s="72" t="s">
        <v>4</v>
      </c>
      <c r="G1" s="2" t="s">
        <v>5</v>
      </c>
      <c r="H1" s="3" t="s">
        <v>10</v>
      </c>
      <c r="I1" s="3" t="s">
        <v>6</v>
      </c>
      <c r="J1" s="3" t="s">
        <v>7</v>
      </c>
      <c r="K1" s="4" t="s">
        <v>8</v>
      </c>
      <c r="L1" s="3" t="s">
        <v>9</v>
      </c>
      <c r="M1" s="70" t="s">
        <v>147</v>
      </c>
      <c r="N1" s="70" t="s">
        <v>466</v>
      </c>
      <c r="O1" s="3" t="s">
        <v>69</v>
      </c>
    </row>
    <row r="2" spans="1:15" hidden="1">
      <c r="A2" s="247">
        <v>45659</v>
      </c>
      <c r="B2" s="248" t="s">
        <v>149</v>
      </c>
      <c r="C2" s="248" t="s">
        <v>150</v>
      </c>
      <c r="D2" s="249" t="s">
        <v>117</v>
      </c>
      <c r="E2" s="250">
        <v>20000</v>
      </c>
      <c r="F2" s="250">
        <v>35.074489446962986</v>
      </c>
      <c r="G2" s="251">
        <v>570.21500000000003</v>
      </c>
      <c r="H2" s="252" t="s">
        <v>151</v>
      </c>
      <c r="I2" s="252" t="s">
        <v>152</v>
      </c>
      <c r="J2" s="252" t="s">
        <v>96</v>
      </c>
      <c r="K2" s="253" t="s">
        <v>1905</v>
      </c>
      <c r="L2" s="252" t="s">
        <v>2089</v>
      </c>
      <c r="M2" s="248"/>
      <c r="N2" s="248"/>
      <c r="O2" s="248"/>
    </row>
    <row r="3" spans="1:15" hidden="1">
      <c r="A3" s="247">
        <v>45659</v>
      </c>
      <c r="B3" s="248" t="s">
        <v>154</v>
      </c>
      <c r="C3" s="248" t="s">
        <v>150</v>
      </c>
      <c r="D3" s="248" t="s">
        <v>116</v>
      </c>
      <c r="E3" s="250">
        <v>21000</v>
      </c>
      <c r="F3" s="250">
        <v>36.828213919311132</v>
      </c>
      <c r="G3" s="251">
        <v>570.21500000000003</v>
      </c>
      <c r="H3" s="252" t="s">
        <v>155</v>
      </c>
      <c r="I3" s="252" t="s">
        <v>156</v>
      </c>
      <c r="J3" s="252" t="s">
        <v>96</v>
      </c>
      <c r="K3" s="253" t="s">
        <v>1905</v>
      </c>
      <c r="L3" s="252" t="s">
        <v>2089</v>
      </c>
      <c r="M3" s="248"/>
      <c r="N3" s="248"/>
      <c r="O3" s="248"/>
    </row>
    <row r="4" spans="1:15" hidden="1">
      <c r="A4" s="247">
        <v>45659</v>
      </c>
      <c r="B4" s="248" t="s">
        <v>157</v>
      </c>
      <c r="C4" s="248" t="s">
        <v>150</v>
      </c>
      <c r="D4" s="249" t="s">
        <v>115</v>
      </c>
      <c r="E4" s="250">
        <v>95000</v>
      </c>
      <c r="F4" s="250">
        <v>166.60382487307419</v>
      </c>
      <c r="G4" s="251">
        <v>570.21500000000003</v>
      </c>
      <c r="H4" s="252" t="s">
        <v>155</v>
      </c>
      <c r="I4" s="252" t="s">
        <v>158</v>
      </c>
      <c r="J4" s="252" t="s">
        <v>96</v>
      </c>
      <c r="K4" s="253" t="s">
        <v>1905</v>
      </c>
      <c r="L4" s="252" t="s">
        <v>2089</v>
      </c>
      <c r="M4" s="248"/>
      <c r="N4" s="248"/>
      <c r="O4" s="248"/>
    </row>
    <row r="5" spans="1:15" hidden="1">
      <c r="A5" s="247">
        <v>45659</v>
      </c>
      <c r="B5" s="248" t="s">
        <v>159</v>
      </c>
      <c r="C5" s="248" t="s">
        <v>150</v>
      </c>
      <c r="D5" s="249" t="s">
        <v>440</v>
      </c>
      <c r="E5" s="250">
        <v>88000</v>
      </c>
      <c r="F5" s="250">
        <v>154.32775356663714</v>
      </c>
      <c r="G5" s="251">
        <v>570.21500000000003</v>
      </c>
      <c r="H5" s="252" t="s">
        <v>155</v>
      </c>
      <c r="I5" s="252" t="s">
        <v>160</v>
      </c>
      <c r="J5" s="252" t="s">
        <v>96</v>
      </c>
      <c r="K5" s="253" t="s">
        <v>1905</v>
      </c>
      <c r="L5" s="252" t="s">
        <v>2089</v>
      </c>
      <c r="M5" s="248"/>
      <c r="N5" s="248"/>
      <c r="O5" s="248"/>
    </row>
    <row r="6" spans="1:15" hidden="1">
      <c r="A6" s="247">
        <v>45659</v>
      </c>
      <c r="B6" s="248" t="s">
        <v>161</v>
      </c>
      <c r="C6" s="248" t="s">
        <v>150</v>
      </c>
      <c r="D6" s="248" t="s">
        <v>118</v>
      </c>
      <c r="E6" s="250">
        <v>10000</v>
      </c>
      <c r="F6" s="250">
        <v>17.537244723481493</v>
      </c>
      <c r="G6" s="251">
        <v>570.21500000000003</v>
      </c>
      <c r="H6" s="252" t="s">
        <v>155</v>
      </c>
      <c r="I6" s="252" t="s">
        <v>162</v>
      </c>
      <c r="J6" s="252" t="s">
        <v>96</v>
      </c>
      <c r="K6" s="253" t="s">
        <v>1905</v>
      </c>
      <c r="L6" s="252" t="s">
        <v>2089</v>
      </c>
      <c r="M6" s="248"/>
      <c r="N6" s="248"/>
      <c r="O6" s="248"/>
    </row>
    <row r="7" spans="1:15" hidden="1">
      <c r="A7" s="247">
        <v>45659</v>
      </c>
      <c r="B7" s="248" t="s">
        <v>163</v>
      </c>
      <c r="C7" s="248" t="s">
        <v>150</v>
      </c>
      <c r="D7" s="249" t="s">
        <v>115</v>
      </c>
      <c r="E7" s="250">
        <v>10000</v>
      </c>
      <c r="F7" s="250">
        <v>17.537244723481493</v>
      </c>
      <c r="G7" s="251">
        <v>570.21500000000003</v>
      </c>
      <c r="H7" s="252" t="s">
        <v>155</v>
      </c>
      <c r="I7" s="252" t="s">
        <v>164</v>
      </c>
      <c r="J7" s="252" t="s">
        <v>96</v>
      </c>
      <c r="K7" s="253" t="s">
        <v>1905</v>
      </c>
      <c r="L7" s="252" t="s">
        <v>2089</v>
      </c>
      <c r="M7" s="248"/>
      <c r="N7" s="248"/>
      <c r="O7" s="248"/>
    </row>
    <row r="8" spans="1:15" hidden="1">
      <c r="A8" s="247">
        <v>45659</v>
      </c>
      <c r="B8" s="248" t="s">
        <v>165</v>
      </c>
      <c r="C8" s="248" t="s">
        <v>150</v>
      </c>
      <c r="D8" s="249" t="s">
        <v>440</v>
      </c>
      <c r="E8" s="250">
        <v>16000</v>
      </c>
      <c r="F8" s="250">
        <v>28.059591557570389</v>
      </c>
      <c r="G8" s="251">
        <v>570.21500000000003</v>
      </c>
      <c r="H8" s="252" t="s">
        <v>155</v>
      </c>
      <c r="I8" s="252" t="s">
        <v>166</v>
      </c>
      <c r="J8" s="252" t="s">
        <v>96</v>
      </c>
      <c r="K8" s="253" t="s">
        <v>1905</v>
      </c>
      <c r="L8" s="252" t="s">
        <v>2089</v>
      </c>
      <c r="M8" s="248"/>
      <c r="N8" s="248"/>
      <c r="O8" s="248"/>
    </row>
    <row r="9" spans="1:15" hidden="1">
      <c r="A9" s="247">
        <v>45659</v>
      </c>
      <c r="B9" s="248" t="s">
        <v>167</v>
      </c>
      <c r="C9" s="248" t="s">
        <v>150</v>
      </c>
      <c r="D9" s="248" t="s">
        <v>118</v>
      </c>
      <c r="E9" s="250">
        <v>11000</v>
      </c>
      <c r="F9" s="250">
        <v>19.290969195829643</v>
      </c>
      <c r="G9" s="251">
        <v>570.21500000000003</v>
      </c>
      <c r="H9" s="252" t="s">
        <v>155</v>
      </c>
      <c r="I9" s="252" t="s">
        <v>168</v>
      </c>
      <c r="J9" s="252" t="s">
        <v>96</v>
      </c>
      <c r="K9" s="253" t="s">
        <v>1905</v>
      </c>
      <c r="L9" s="252" t="s">
        <v>2089</v>
      </c>
      <c r="M9" s="248"/>
      <c r="N9" s="248"/>
      <c r="O9" s="248"/>
    </row>
    <row r="10" spans="1:15" hidden="1">
      <c r="A10" s="247">
        <v>45660</v>
      </c>
      <c r="B10" s="248" t="s">
        <v>169</v>
      </c>
      <c r="C10" s="254" t="s">
        <v>1168</v>
      </c>
      <c r="D10" s="248" t="s">
        <v>116</v>
      </c>
      <c r="E10" s="250">
        <v>25000</v>
      </c>
      <c r="F10" s="250">
        <v>43.843111808703732</v>
      </c>
      <c r="G10" s="251">
        <v>570.21500000000003</v>
      </c>
      <c r="H10" s="252" t="s">
        <v>155</v>
      </c>
      <c r="I10" s="252" t="s">
        <v>171</v>
      </c>
      <c r="J10" s="252" t="s">
        <v>96</v>
      </c>
      <c r="K10" s="253" t="s">
        <v>1905</v>
      </c>
      <c r="L10" s="252" t="s">
        <v>2089</v>
      </c>
      <c r="M10" s="248"/>
      <c r="N10" s="248"/>
      <c r="O10" s="248"/>
    </row>
    <row r="11" spans="1:15" hidden="1">
      <c r="A11" s="247">
        <v>45663</v>
      </c>
      <c r="B11" s="248" t="s">
        <v>99</v>
      </c>
      <c r="C11" s="248" t="s">
        <v>121</v>
      </c>
      <c r="D11" s="249" t="s">
        <v>115</v>
      </c>
      <c r="E11" s="250">
        <v>300000</v>
      </c>
      <c r="F11" s="250">
        <v>526.11734170444481</v>
      </c>
      <c r="G11" s="251">
        <v>570.21500000000003</v>
      </c>
      <c r="H11" s="252" t="s">
        <v>146</v>
      </c>
      <c r="I11" s="252" t="s">
        <v>127</v>
      </c>
      <c r="J11" s="252" t="s">
        <v>96</v>
      </c>
      <c r="K11" s="253" t="s">
        <v>1905</v>
      </c>
      <c r="L11" s="252" t="s">
        <v>2089</v>
      </c>
      <c r="M11" s="248"/>
      <c r="N11" s="248"/>
      <c r="O11" s="248"/>
    </row>
    <row r="12" spans="1:15" hidden="1">
      <c r="A12" s="247">
        <v>45663</v>
      </c>
      <c r="B12" s="248" t="s">
        <v>100</v>
      </c>
      <c r="C12" s="248" t="s">
        <v>121</v>
      </c>
      <c r="D12" s="249" t="s">
        <v>115</v>
      </c>
      <c r="E12" s="250">
        <v>300000</v>
      </c>
      <c r="F12" s="250">
        <v>526.11734170444481</v>
      </c>
      <c r="G12" s="251">
        <v>570.21500000000003</v>
      </c>
      <c r="H12" s="252" t="s">
        <v>146</v>
      </c>
      <c r="I12" s="252" t="s">
        <v>128</v>
      </c>
      <c r="J12" s="252" t="s">
        <v>96</v>
      </c>
      <c r="K12" s="253" t="s">
        <v>1905</v>
      </c>
      <c r="L12" s="252" t="s">
        <v>2089</v>
      </c>
      <c r="M12" s="248"/>
      <c r="N12" s="248"/>
      <c r="O12" s="248"/>
    </row>
    <row r="13" spans="1:15" hidden="1">
      <c r="A13" s="247">
        <v>45663</v>
      </c>
      <c r="B13" s="248" t="s">
        <v>470</v>
      </c>
      <c r="C13" s="254" t="s">
        <v>124</v>
      </c>
      <c r="D13" s="248" t="s">
        <v>116</v>
      </c>
      <c r="E13" s="250">
        <v>500000</v>
      </c>
      <c r="F13" s="250">
        <v>838.65459674971032</v>
      </c>
      <c r="G13" s="251">
        <v>596.19299999999998</v>
      </c>
      <c r="H13" s="252" t="s">
        <v>146</v>
      </c>
      <c r="I13" s="252" t="s">
        <v>130</v>
      </c>
      <c r="J13" s="252" t="s">
        <v>96</v>
      </c>
      <c r="K13" s="253" t="s">
        <v>1905</v>
      </c>
      <c r="L13" s="252" t="s">
        <v>2089</v>
      </c>
      <c r="M13" s="248"/>
      <c r="N13" s="248"/>
      <c r="O13" s="248"/>
    </row>
    <row r="14" spans="1:15" hidden="1">
      <c r="A14" s="247">
        <v>45663</v>
      </c>
      <c r="B14" s="248" t="s">
        <v>473</v>
      </c>
      <c r="C14" s="254" t="s">
        <v>302</v>
      </c>
      <c r="D14" s="248" t="s">
        <v>116</v>
      </c>
      <c r="E14" s="250">
        <v>260000</v>
      </c>
      <c r="F14" s="250">
        <v>436.10039030984933</v>
      </c>
      <c r="G14" s="251">
        <v>596.19299999999998</v>
      </c>
      <c r="H14" s="252" t="s">
        <v>146</v>
      </c>
      <c r="I14" s="252" t="s">
        <v>140</v>
      </c>
      <c r="J14" s="252" t="s">
        <v>96</v>
      </c>
      <c r="K14" s="253" t="s">
        <v>1905</v>
      </c>
      <c r="L14" s="252" t="s">
        <v>2089</v>
      </c>
      <c r="M14" s="248"/>
      <c r="N14" s="248"/>
      <c r="O14" s="248"/>
    </row>
    <row r="15" spans="1:15" hidden="1">
      <c r="A15" s="247">
        <v>45663</v>
      </c>
      <c r="B15" s="248" t="s">
        <v>474</v>
      </c>
      <c r="C15" s="248" t="s">
        <v>121</v>
      </c>
      <c r="D15" s="249" t="s">
        <v>115</v>
      </c>
      <c r="E15" s="250">
        <v>150000</v>
      </c>
      <c r="F15" s="250">
        <v>251.59637902491309</v>
      </c>
      <c r="G15" s="251">
        <v>596.19299999999998</v>
      </c>
      <c r="H15" s="252" t="s">
        <v>146</v>
      </c>
      <c r="I15" s="252" t="s">
        <v>141</v>
      </c>
      <c r="J15" s="252" t="s">
        <v>96</v>
      </c>
      <c r="K15" s="253" t="s">
        <v>1905</v>
      </c>
      <c r="L15" s="252" t="s">
        <v>2089</v>
      </c>
      <c r="M15" s="248"/>
      <c r="N15" s="248"/>
      <c r="O15" s="248"/>
    </row>
    <row r="16" spans="1:15" hidden="1">
      <c r="A16" s="247">
        <v>45664</v>
      </c>
      <c r="B16" s="248" t="s">
        <v>4774</v>
      </c>
      <c r="C16" s="254" t="s">
        <v>172</v>
      </c>
      <c r="D16" s="249" t="s">
        <v>440</v>
      </c>
      <c r="E16" s="250">
        <v>7000</v>
      </c>
      <c r="F16" s="250">
        <v>12.276071306437045</v>
      </c>
      <c r="G16" s="251">
        <v>570.21500000000003</v>
      </c>
      <c r="H16" s="252" t="s">
        <v>173</v>
      </c>
      <c r="I16" s="252" t="s">
        <v>174</v>
      </c>
      <c r="J16" s="252" t="s">
        <v>96</v>
      </c>
      <c r="K16" s="253" t="s">
        <v>1905</v>
      </c>
      <c r="L16" s="252" t="s">
        <v>2089</v>
      </c>
      <c r="M16" s="248"/>
      <c r="N16" s="248"/>
      <c r="O16" s="248"/>
    </row>
    <row r="17" spans="1:15" hidden="1">
      <c r="A17" s="247">
        <v>45664</v>
      </c>
      <c r="B17" s="248" t="s">
        <v>4775</v>
      </c>
      <c r="C17" s="254" t="s">
        <v>175</v>
      </c>
      <c r="D17" s="249" t="s">
        <v>440</v>
      </c>
      <c r="E17" s="250">
        <v>100000</v>
      </c>
      <c r="F17" s="250">
        <v>175.37244723481493</v>
      </c>
      <c r="G17" s="251">
        <v>570.21500000000003</v>
      </c>
      <c r="H17" s="252" t="s">
        <v>173</v>
      </c>
      <c r="I17" s="252" t="s">
        <v>176</v>
      </c>
      <c r="J17" s="252" t="s">
        <v>96</v>
      </c>
      <c r="K17" s="253" t="s">
        <v>1905</v>
      </c>
      <c r="L17" s="252" t="s">
        <v>2089</v>
      </c>
      <c r="M17" s="248"/>
      <c r="N17" s="248"/>
      <c r="O17" s="248"/>
    </row>
    <row r="18" spans="1:15" hidden="1">
      <c r="A18" s="247">
        <v>45665</v>
      </c>
      <c r="B18" s="248" t="s">
        <v>177</v>
      </c>
      <c r="C18" s="254" t="s">
        <v>172</v>
      </c>
      <c r="D18" s="249" t="s">
        <v>117</v>
      </c>
      <c r="E18" s="250">
        <v>226000</v>
      </c>
      <c r="F18" s="250">
        <v>396.34173075068173</v>
      </c>
      <c r="G18" s="251">
        <v>570.21500000000003</v>
      </c>
      <c r="H18" s="252" t="s">
        <v>151</v>
      </c>
      <c r="I18" s="252" t="s">
        <v>178</v>
      </c>
      <c r="J18" s="252" t="s">
        <v>96</v>
      </c>
      <c r="K18" s="253" t="s">
        <v>1905</v>
      </c>
      <c r="L18" s="252" t="s">
        <v>2089</v>
      </c>
      <c r="M18" s="248"/>
      <c r="N18" s="248"/>
      <c r="O18" s="248"/>
    </row>
    <row r="19" spans="1:15" hidden="1">
      <c r="A19" s="247">
        <v>45665</v>
      </c>
      <c r="B19" s="248" t="s">
        <v>179</v>
      </c>
      <c r="C19" s="255" t="s">
        <v>2090</v>
      </c>
      <c r="D19" s="248" t="s">
        <v>116</v>
      </c>
      <c r="E19" s="250">
        <v>22640</v>
      </c>
      <c r="F19" s="250">
        <v>39.704322053962102</v>
      </c>
      <c r="G19" s="251">
        <v>570.21500000000003</v>
      </c>
      <c r="H19" s="252" t="s">
        <v>155</v>
      </c>
      <c r="I19" s="252" t="s">
        <v>181</v>
      </c>
      <c r="J19" s="252" t="s">
        <v>96</v>
      </c>
      <c r="K19" s="253" t="s">
        <v>1905</v>
      </c>
      <c r="L19" s="252" t="s">
        <v>2089</v>
      </c>
      <c r="M19" s="248"/>
      <c r="N19" s="248"/>
      <c r="O19" s="248"/>
    </row>
    <row r="20" spans="1:15" hidden="1">
      <c r="A20" s="247">
        <v>45665</v>
      </c>
      <c r="B20" s="248" t="s">
        <v>4776</v>
      </c>
      <c r="C20" s="254" t="s">
        <v>172</v>
      </c>
      <c r="D20" s="249" t="s">
        <v>440</v>
      </c>
      <c r="E20" s="250">
        <v>7000</v>
      </c>
      <c r="F20" s="250">
        <v>12.276071306437045</v>
      </c>
      <c r="G20" s="251">
        <v>570.21500000000003</v>
      </c>
      <c r="H20" s="252" t="s">
        <v>182</v>
      </c>
      <c r="I20" s="252" t="s">
        <v>183</v>
      </c>
      <c r="J20" s="252" t="s">
        <v>96</v>
      </c>
      <c r="K20" s="253" t="s">
        <v>1905</v>
      </c>
      <c r="L20" s="252" t="s">
        <v>2089</v>
      </c>
      <c r="M20" s="248"/>
      <c r="N20" s="248"/>
      <c r="O20" s="248"/>
    </row>
    <row r="21" spans="1:15" hidden="1">
      <c r="A21" s="247">
        <v>45665</v>
      </c>
      <c r="B21" s="248" t="s">
        <v>184</v>
      </c>
      <c r="C21" s="254" t="s">
        <v>172</v>
      </c>
      <c r="D21" s="249" t="s">
        <v>115</v>
      </c>
      <c r="E21" s="250">
        <v>7000</v>
      </c>
      <c r="F21" s="250">
        <v>12.276071306437045</v>
      </c>
      <c r="G21" s="251">
        <v>570.21500000000003</v>
      </c>
      <c r="H21" s="252" t="s">
        <v>185</v>
      </c>
      <c r="I21" s="252" t="s">
        <v>186</v>
      </c>
      <c r="J21" s="252" t="s">
        <v>96</v>
      </c>
      <c r="K21" s="253" t="s">
        <v>1905</v>
      </c>
      <c r="L21" s="252" t="s">
        <v>2089</v>
      </c>
      <c r="M21" s="248"/>
      <c r="N21" s="248"/>
      <c r="O21" s="248"/>
    </row>
    <row r="22" spans="1:15" ht="15" hidden="1" customHeight="1">
      <c r="A22" s="247">
        <v>45665</v>
      </c>
      <c r="B22" s="248" t="s">
        <v>187</v>
      </c>
      <c r="C22" s="254" t="s">
        <v>172</v>
      </c>
      <c r="D22" s="249" t="s">
        <v>115</v>
      </c>
      <c r="E22" s="250">
        <v>7000</v>
      </c>
      <c r="F22" s="250">
        <v>12.276071306437045</v>
      </c>
      <c r="G22" s="251">
        <v>570.21500000000003</v>
      </c>
      <c r="H22" s="252" t="s">
        <v>188</v>
      </c>
      <c r="I22" s="252" t="s">
        <v>189</v>
      </c>
      <c r="J22" s="252" t="s">
        <v>96</v>
      </c>
      <c r="K22" s="253" t="s">
        <v>1905</v>
      </c>
      <c r="L22" s="252" t="s">
        <v>2089</v>
      </c>
      <c r="M22" s="248"/>
      <c r="N22" s="248"/>
      <c r="O22" s="248"/>
    </row>
    <row r="23" spans="1:15" hidden="1">
      <c r="A23" s="247">
        <v>45665</v>
      </c>
      <c r="B23" s="248" t="s">
        <v>190</v>
      </c>
      <c r="C23" s="255" t="s">
        <v>2090</v>
      </c>
      <c r="D23" s="248" t="s">
        <v>116</v>
      </c>
      <c r="E23" s="250">
        <v>1860</v>
      </c>
      <c r="F23" s="250">
        <v>3.2619275185675578</v>
      </c>
      <c r="G23" s="251">
        <v>570.21500000000003</v>
      </c>
      <c r="H23" s="252" t="s">
        <v>191</v>
      </c>
      <c r="I23" s="252" t="s">
        <v>192</v>
      </c>
      <c r="J23" s="252" t="s">
        <v>96</v>
      </c>
      <c r="K23" s="253" t="s">
        <v>1905</v>
      </c>
      <c r="L23" s="252" t="s">
        <v>2089</v>
      </c>
      <c r="M23" s="248"/>
      <c r="N23" s="248"/>
      <c r="O23" s="248"/>
    </row>
    <row r="24" spans="1:15" hidden="1">
      <c r="A24" s="247">
        <v>45665</v>
      </c>
      <c r="B24" s="248" t="s">
        <v>193</v>
      </c>
      <c r="C24" s="254" t="s">
        <v>172</v>
      </c>
      <c r="D24" s="249" t="s">
        <v>115</v>
      </c>
      <c r="E24" s="250">
        <v>7000</v>
      </c>
      <c r="F24" s="250">
        <v>12.276071306437045</v>
      </c>
      <c r="G24" s="251">
        <v>570.21500000000003</v>
      </c>
      <c r="H24" s="252" t="s">
        <v>195</v>
      </c>
      <c r="I24" s="252" t="s">
        <v>196</v>
      </c>
      <c r="J24" s="252" t="s">
        <v>96</v>
      </c>
      <c r="K24" s="253" t="s">
        <v>1905</v>
      </c>
      <c r="L24" s="252" t="s">
        <v>2089</v>
      </c>
      <c r="M24" s="248"/>
      <c r="N24" s="248"/>
      <c r="O24" s="248"/>
    </row>
    <row r="25" spans="1:15" hidden="1">
      <c r="A25" s="247">
        <v>45666</v>
      </c>
      <c r="B25" s="248" t="s">
        <v>197</v>
      </c>
      <c r="C25" s="254" t="s">
        <v>172</v>
      </c>
      <c r="D25" s="248" t="s">
        <v>2091</v>
      </c>
      <c r="E25" s="250">
        <v>7000</v>
      </c>
      <c r="F25" s="250">
        <v>12.276071306437045</v>
      </c>
      <c r="G25" s="251">
        <v>570.21500000000003</v>
      </c>
      <c r="H25" s="252" t="s">
        <v>198</v>
      </c>
      <c r="I25" s="252" t="s">
        <v>199</v>
      </c>
      <c r="J25" s="252" t="s">
        <v>96</v>
      </c>
      <c r="K25" s="253" t="s">
        <v>1905</v>
      </c>
      <c r="L25" s="252" t="s">
        <v>2089</v>
      </c>
      <c r="M25" s="248"/>
      <c r="N25" s="248"/>
      <c r="O25" s="248"/>
    </row>
    <row r="26" spans="1:15" hidden="1">
      <c r="A26" s="247">
        <v>45666</v>
      </c>
      <c r="B26" s="248" t="s">
        <v>4777</v>
      </c>
      <c r="C26" s="254" t="s">
        <v>175</v>
      </c>
      <c r="D26" s="249" t="s">
        <v>440</v>
      </c>
      <c r="E26" s="250">
        <v>80000</v>
      </c>
      <c r="F26" s="250">
        <v>140.29795778785194</v>
      </c>
      <c r="G26" s="251">
        <v>570.21500000000003</v>
      </c>
      <c r="H26" s="252" t="s">
        <v>182</v>
      </c>
      <c r="I26" s="252" t="s">
        <v>201</v>
      </c>
      <c r="J26" s="252" t="s">
        <v>96</v>
      </c>
      <c r="K26" s="253" t="s">
        <v>1905</v>
      </c>
      <c r="L26" s="252" t="s">
        <v>2089</v>
      </c>
      <c r="M26" s="248"/>
      <c r="N26" s="248"/>
      <c r="O26" s="248"/>
    </row>
    <row r="27" spans="1:15" hidden="1">
      <c r="A27" s="247">
        <v>45666</v>
      </c>
      <c r="B27" s="248" t="s">
        <v>202</v>
      </c>
      <c r="C27" s="254" t="s">
        <v>175</v>
      </c>
      <c r="D27" s="249" t="s">
        <v>115</v>
      </c>
      <c r="E27" s="250">
        <v>160000</v>
      </c>
      <c r="F27" s="250">
        <v>280.59591557570388</v>
      </c>
      <c r="G27" s="251">
        <v>570.21500000000003</v>
      </c>
      <c r="H27" s="252" t="s">
        <v>185</v>
      </c>
      <c r="I27" s="252" t="s">
        <v>203</v>
      </c>
      <c r="J27" s="252" t="s">
        <v>96</v>
      </c>
      <c r="K27" s="253" t="s">
        <v>1905</v>
      </c>
      <c r="L27" s="252" t="s">
        <v>2089</v>
      </c>
      <c r="M27" s="248"/>
      <c r="N27" s="248"/>
      <c r="O27" s="248"/>
    </row>
    <row r="28" spans="1:15" hidden="1">
      <c r="A28" s="247">
        <v>45666</v>
      </c>
      <c r="B28" s="248" t="s">
        <v>204</v>
      </c>
      <c r="C28" s="254" t="s">
        <v>175</v>
      </c>
      <c r="D28" s="249" t="s">
        <v>115</v>
      </c>
      <c r="E28" s="250">
        <v>80000</v>
      </c>
      <c r="F28" s="250">
        <v>140.29795778785194</v>
      </c>
      <c r="G28" s="251">
        <v>570.21500000000003</v>
      </c>
      <c r="H28" s="252" t="s">
        <v>188</v>
      </c>
      <c r="I28" s="252" t="s">
        <v>205</v>
      </c>
      <c r="J28" s="252" t="s">
        <v>96</v>
      </c>
      <c r="K28" s="253" t="s">
        <v>1905</v>
      </c>
      <c r="L28" s="252" t="s">
        <v>2089</v>
      </c>
      <c r="M28" s="248"/>
      <c r="N28" s="248"/>
      <c r="O28" s="248"/>
    </row>
    <row r="29" spans="1:15" hidden="1">
      <c r="A29" s="247">
        <v>45666</v>
      </c>
      <c r="B29" s="248" t="s">
        <v>206</v>
      </c>
      <c r="C29" s="255" t="s">
        <v>2090</v>
      </c>
      <c r="D29" s="248" t="s">
        <v>116</v>
      </c>
      <c r="E29" s="250">
        <v>32070</v>
      </c>
      <c r="F29" s="250">
        <v>56.241943828205144</v>
      </c>
      <c r="G29" s="251">
        <v>570.21500000000003</v>
      </c>
      <c r="H29" s="252" t="s">
        <v>191</v>
      </c>
      <c r="I29" s="252" t="s">
        <v>207</v>
      </c>
      <c r="J29" s="252" t="s">
        <v>96</v>
      </c>
      <c r="K29" s="253" t="s">
        <v>1905</v>
      </c>
      <c r="L29" s="252" t="s">
        <v>2089</v>
      </c>
      <c r="M29" s="248"/>
      <c r="N29" s="248"/>
      <c r="O29" s="248"/>
    </row>
    <row r="30" spans="1:15" hidden="1">
      <c r="A30" s="247">
        <v>45666</v>
      </c>
      <c r="B30" s="248" t="s">
        <v>208</v>
      </c>
      <c r="C30" s="254" t="s">
        <v>175</v>
      </c>
      <c r="D30" s="249" t="s">
        <v>115</v>
      </c>
      <c r="E30" s="250">
        <v>100000</v>
      </c>
      <c r="F30" s="250">
        <v>175.37244723481493</v>
      </c>
      <c r="G30" s="251">
        <v>570.21500000000003</v>
      </c>
      <c r="H30" s="252" t="s">
        <v>195</v>
      </c>
      <c r="I30" s="252" t="s">
        <v>209</v>
      </c>
      <c r="J30" s="252" t="s">
        <v>96</v>
      </c>
      <c r="K30" s="253" t="s">
        <v>1905</v>
      </c>
      <c r="L30" s="252" t="s">
        <v>2089</v>
      </c>
      <c r="M30" s="248"/>
      <c r="N30" s="248"/>
      <c r="O30" s="248"/>
    </row>
    <row r="31" spans="1:15" hidden="1">
      <c r="A31" s="247">
        <v>45666</v>
      </c>
      <c r="B31" s="248" t="s">
        <v>210</v>
      </c>
      <c r="C31" s="254" t="s">
        <v>172</v>
      </c>
      <c r="D31" s="248" t="s">
        <v>118</v>
      </c>
      <c r="E31" s="250">
        <v>7000</v>
      </c>
      <c r="F31" s="250">
        <v>12.276071306437045</v>
      </c>
      <c r="G31" s="251">
        <v>570.21500000000003</v>
      </c>
      <c r="H31" s="252" t="s">
        <v>211</v>
      </c>
      <c r="I31" s="252" t="s">
        <v>212</v>
      </c>
      <c r="J31" s="252" t="s">
        <v>96</v>
      </c>
      <c r="K31" s="253" t="s">
        <v>1905</v>
      </c>
      <c r="L31" s="252" t="s">
        <v>2089</v>
      </c>
      <c r="M31" s="248"/>
      <c r="N31" s="248"/>
      <c r="O31" s="248"/>
    </row>
    <row r="32" spans="1:15" hidden="1">
      <c r="A32" s="247">
        <v>45667</v>
      </c>
      <c r="B32" s="248" t="s">
        <v>213</v>
      </c>
      <c r="C32" s="254" t="s">
        <v>175</v>
      </c>
      <c r="D32" s="249" t="s">
        <v>115</v>
      </c>
      <c r="E32" s="250">
        <v>150000</v>
      </c>
      <c r="F32" s="250">
        <v>263.05867085222241</v>
      </c>
      <c r="G32" s="251">
        <v>570.21500000000003</v>
      </c>
      <c r="H32" s="252" t="s">
        <v>198</v>
      </c>
      <c r="I32" s="252" t="s">
        <v>214</v>
      </c>
      <c r="J32" s="252" t="s">
        <v>96</v>
      </c>
      <c r="K32" s="253" t="s">
        <v>1905</v>
      </c>
      <c r="L32" s="252" t="s">
        <v>2089</v>
      </c>
      <c r="M32" s="248"/>
      <c r="N32" s="248"/>
      <c r="O32" s="248"/>
    </row>
    <row r="33" spans="1:15" hidden="1">
      <c r="A33" s="247">
        <v>45667</v>
      </c>
      <c r="B33" s="248" t="s">
        <v>216</v>
      </c>
      <c r="C33" s="254" t="s">
        <v>124</v>
      </c>
      <c r="D33" s="248" t="s">
        <v>116</v>
      </c>
      <c r="E33" s="250">
        <v>59466</v>
      </c>
      <c r="F33" s="250">
        <v>104.28697947265505</v>
      </c>
      <c r="G33" s="251">
        <v>570.21500000000003</v>
      </c>
      <c r="H33" s="252" t="s">
        <v>191</v>
      </c>
      <c r="I33" s="252" t="s">
        <v>217</v>
      </c>
      <c r="J33" s="252" t="s">
        <v>96</v>
      </c>
      <c r="K33" s="253" t="s">
        <v>1905</v>
      </c>
      <c r="L33" s="252" t="s">
        <v>2089</v>
      </c>
      <c r="M33" s="248"/>
      <c r="N33" s="248"/>
      <c r="O33" s="248"/>
    </row>
    <row r="34" spans="1:15" hidden="1">
      <c r="A34" s="247">
        <v>45667</v>
      </c>
      <c r="B34" s="248" t="s">
        <v>218</v>
      </c>
      <c r="C34" s="254" t="s">
        <v>175</v>
      </c>
      <c r="D34" s="248" t="s">
        <v>118</v>
      </c>
      <c r="E34" s="250">
        <v>70000</v>
      </c>
      <c r="F34" s="250">
        <v>122.76071306437045</v>
      </c>
      <c r="G34" s="251">
        <v>570.21500000000003</v>
      </c>
      <c r="H34" s="252" t="s">
        <v>211</v>
      </c>
      <c r="I34" s="252" t="s">
        <v>219</v>
      </c>
      <c r="J34" s="252" t="s">
        <v>96</v>
      </c>
      <c r="K34" s="253" t="s">
        <v>1905</v>
      </c>
      <c r="L34" s="252" t="s">
        <v>2089</v>
      </c>
      <c r="M34" s="248"/>
      <c r="N34" s="248"/>
      <c r="O34" s="248"/>
    </row>
    <row r="35" spans="1:15" hidden="1">
      <c r="A35" s="247">
        <v>45670</v>
      </c>
      <c r="B35" s="248" t="s">
        <v>220</v>
      </c>
      <c r="C35" s="254" t="s">
        <v>175</v>
      </c>
      <c r="D35" s="248" t="s">
        <v>2091</v>
      </c>
      <c r="E35" s="250">
        <v>45000</v>
      </c>
      <c r="F35" s="250">
        <v>78.917601255666725</v>
      </c>
      <c r="G35" s="251">
        <v>570.21500000000003</v>
      </c>
      <c r="H35" s="252" t="s">
        <v>198</v>
      </c>
      <c r="I35" s="252" t="s">
        <v>221</v>
      </c>
      <c r="J35" s="252" t="s">
        <v>96</v>
      </c>
      <c r="K35" s="253" t="s">
        <v>1905</v>
      </c>
      <c r="L35" s="252" t="s">
        <v>2089</v>
      </c>
      <c r="M35" s="248"/>
      <c r="N35" s="248"/>
      <c r="O35" s="248"/>
    </row>
    <row r="36" spans="1:15" hidden="1">
      <c r="A36" s="247">
        <v>45670</v>
      </c>
      <c r="B36" s="248" t="s">
        <v>4778</v>
      </c>
      <c r="C36" s="254" t="s">
        <v>175</v>
      </c>
      <c r="D36" s="249" t="s">
        <v>440</v>
      </c>
      <c r="E36" s="250">
        <v>60000</v>
      </c>
      <c r="F36" s="250">
        <v>105.22346834088896</v>
      </c>
      <c r="G36" s="251">
        <v>570.21500000000003</v>
      </c>
      <c r="H36" s="252" t="s">
        <v>182</v>
      </c>
      <c r="I36" s="252" t="s">
        <v>222</v>
      </c>
      <c r="J36" s="252" t="s">
        <v>96</v>
      </c>
      <c r="K36" s="253" t="s">
        <v>1905</v>
      </c>
      <c r="L36" s="252" t="s">
        <v>2089</v>
      </c>
      <c r="M36" s="248"/>
      <c r="N36" s="248"/>
      <c r="O36" s="248"/>
    </row>
    <row r="37" spans="1:15" hidden="1">
      <c r="A37" s="247">
        <v>45670</v>
      </c>
      <c r="B37" s="248" t="s">
        <v>190</v>
      </c>
      <c r="C37" s="255" t="s">
        <v>2090</v>
      </c>
      <c r="D37" s="248" t="s">
        <v>116</v>
      </c>
      <c r="E37" s="250">
        <v>1000</v>
      </c>
      <c r="F37" s="250">
        <v>1.7537244723481493</v>
      </c>
      <c r="G37" s="251">
        <v>570.21500000000003</v>
      </c>
      <c r="H37" s="252" t="s">
        <v>191</v>
      </c>
      <c r="I37" s="252" t="s">
        <v>223</v>
      </c>
      <c r="J37" s="252" t="s">
        <v>96</v>
      </c>
      <c r="K37" s="253" t="s">
        <v>1905</v>
      </c>
      <c r="L37" s="252" t="s">
        <v>2089</v>
      </c>
      <c r="M37" s="248"/>
      <c r="N37" s="248"/>
      <c r="O37" s="248"/>
    </row>
    <row r="38" spans="1:15" hidden="1">
      <c r="A38" s="247">
        <v>45671</v>
      </c>
      <c r="B38" s="248" t="s">
        <v>468</v>
      </c>
      <c r="C38" s="254" t="s">
        <v>175</v>
      </c>
      <c r="D38" s="249" t="s">
        <v>117</v>
      </c>
      <c r="E38" s="250">
        <v>245000</v>
      </c>
      <c r="F38" s="250">
        <v>429.66249572529659</v>
      </c>
      <c r="G38" s="251">
        <v>570.21500000000003</v>
      </c>
      <c r="H38" s="252" t="s">
        <v>188</v>
      </c>
      <c r="I38" s="252" t="s">
        <v>215</v>
      </c>
      <c r="J38" s="252" t="s">
        <v>96</v>
      </c>
      <c r="K38" s="253" t="s">
        <v>1905</v>
      </c>
      <c r="L38" s="252" t="s">
        <v>2089</v>
      </c>
      <c r="M38" s="248"/>
      <c r="N38" s="248"/>
      <c r="O38" s="248"/>
    </row>
    <row r="39" spans="1:15" hidden="1">
      <c r="A39" s="247">
        <v>45671</v>
      </c>
      <c r="B39" s="248" t="s">
        <v>224</v>
      </c>
      <c r="C39" s="255" t="s">
        <v>2090</v>
      </c>
      <c r="D39" s="248" t="s">
        <v>116</v>
      </c>
      <c r="E39" s="250">
        <v>8100</v>
      </c>
      <c r="F39" s="250">
        <v>14.205168226020009</v>
      </c>
      <c r="G39" s="251">
        <v>570.21500000000003</v>
      </c>
      <c r="H39" s="252" t="s">
        <v>191</v>
      </c>
      <c r="I39" s="252" t="s">
        <v>225</v>
      </c>
      <c r="J39" s="252" t="s">
        <v>96</v>
      </c>
      <c r="K39" s="253" t="s">
        <v>1905</v>
      </c>
      <c r="L39" s="252" t="s">
        <v>2089</v>
      </c>
      <c r="M39" s="248"/>
      <c r="N39" s="248"/>
      <c r="O39" s="248"/>
    </row>
    <row r="40" spans="1:15" hidden="1">
      <c r="A40" s="247">
        <v>45672</v>
      </c>
      <c r="B40" s="248" t="s">
        <v>226</v>
      </c>
      <c r="C40" s="254" t="s">
        <v>175</v>
      </c>
      <c r="D40" s="248" t="s">
        <v>2091</v>
      </c>
      <c r="E40" s="250">
        <v>9750</v>
      </c>
      <c r="F40" s="250">
        <v>17.098813605394454</v>
      </c>
      <c r="G40" s="251">
        <v>570.21500000000003</v>
      </c>
      <c r="H40" s="252" t="s">
        <v>198</v>
      </c>
      <c r="I40" s="252" t="s">
        <v>227</v>
      </c>
      <c r="J40" s="252" t="s">
        <v>96</v>
      </c>
      <c r="K40" s="253" t="s">
        <v>1905</v>
      </c>
      <c r="L40" s="252" t="s">
        <v>2089</v>
      </c>
      <c r="M40" s="248"/>
      <c r="N40" s="248"/>
      <c r="O40" s="248"/>
    </row>
    <row r="41" spans="1:15" hidden="1">
      <c r="A41" s="247">
        <v>45672</v>
      </c>
      <c r="B41" s="248" t="s">
        <v>228</v>
      </c>
      <c r="C41" s="248" t="s">
        <v>150</v>
      </c>
      <c r="D41" s="249" t="s">
        <v>117</v>
      </c>
      <c r="E41" s="250">
        <v>31000</v>
      </c>
      <c r="F41" s="250">
        <v>54.365458642792625</v>
      </c>
      <c r="G41" s="251">
        <v>570.21500000000003</v>
      </c>
      <c r="H41" s="252" t="s">
        <v>155</v>
      </c>
      <c r="I41" s="252" t="s">
        <v>229</v>
      </c>
      <c r="J41" s="252" t="s">
        <v>96</v>
      </c>
      <c r="K41" s="253" t="s">
        <v>1905</v>
      </c>
      <c r="L41" s="252" t="s">
        <v>2089</v>
      </c>
      <c r="M41" s="248"/>
      <c r="N41" s="248"/>
      <c r="O41" s="248"/>
    </row>
    <row r="42" spans="1:15" hidden="1">
      <c r="A42" s="247">
        <v>45672</v>
      </c>
      <c r="B42" s="248" t="s">
        <v>230</v>
      </c>
      <c r="C42" s="248" t="s">
        <v>150</v>
      </c>
      <c r="D42" s="249" t="s">
        <v>115</v>
      </c>
      <c r="E42" s="250">
        <v>35000</v>
      </c>
      <c r="F42" s="250">
        <v>61.380356532185225</v>
      </c>
      <c r="G42" s="251">
        <v>570.21500000000003</v>
      </c>
      <c r="H42" s="252" t="s">
        <v>155</v>
      </c>
      <c r="I42" s="252" t="s">
        <v>231</v>
      </c>
      <c r="J42" s="252" t="s">
        <v>96</v>
      </c>
      <c r="K42" s="253" t="s">
        <v>1905</v>
      </c>
      <c r="L42" s="252" t="s">
        <v>2089</v>
      </c>
      <c r="M42" s="248"/>
      <c r="N42" s="248"/>
      <c r="O42" s="248"/>
    </row>
    <row r="43" spans="1:15" hidden="1">
      <c r="A43" s="247">
        <v>45672</v>
      </c>
      <c r="B43" s="248" t="s">
        <v>232</v>
      </c>
      <c r="C43" s="248" t="s">
        <v>150</v>
      </c>
      <c r="D43" s="249" t="s">
        <v>440</v>
      </c>
      <c r="E43" s="250">
        <v>50000</v>
      </c>
      <c r="F43" s="250">
        <v>87.686223617407464</v>
      </c>
      <c r="G43" s="251">
        <v>570.21500000000003</v>
      </c>
      <c r="H43" s="252" t="s">
        <v>155</v>
      </c>
      <c r="I43" s="252" t="s">
        <v>233</v>
      </c>
      <c r="J43" s="252" t="s">
        <v>96</v>
      </c>
      <c r="K43" s="253" t="s">
        <v>1905</v>
      </c>
      <c r="L43" s="252" t="s">
        <v>2089</v>
      </c>
      <c r="M43" s="248"/>
      <c r="N43" s="248"/>
      <c r="O43" s="248"/>
    </row>
    <row r="44" spans="1:15" hidden="1">
      <c r="A44" s="247">
        <v>45672</v>
      </c>
      <c r="B44" s="248" t="s">
        <v>234</v>
      </c>
      <c r="C44" s="248" t="s">
        <v>150</v>
      </c>
      <c r="D44" s="248" t="s">
        <v>118</v>
      </c>
      <c r="E44" s="250">
        <v>10000</v>
      </c>
      <c r="F44" s="250">
        <v>17.537244723481493</v>
      </c>
      <c r="G44" s="251">
        <v>570.21500000000003</v>
      </c>
      <c r="H44" s="252" t="s">
        <v>155</v>
      </c>
      <c r="I44" s="252" t="s">
        <v>235</v>
      </c>
      <c r="J44" s="252" t="s">
        <v>96</v>
      </c>
      <c r="K44" s="253" t="s">
        <v>1905</v>
      </c>
      <c r="L44" s="252" t="s">
        <v>2089</v>
      </c>
      <c r="M44" s="248"/>
      <c r="N44" s="248"/>
      <c r="O44" s="248"/>
    </row>
    <row r="45" spans="1:15" hidden="1">
      <c r="A45" s="247">
        <v>45672</v>
      </c>
      <c r="B45" s="248" t="s">
        <v>236</v>
      </c>
      <c r="C45" s="248" t="s">
        <v>150</v>
      </c>
      <c r="D45" s="249" t="s">
        <v>115</v>
      </c>
      <c r="E45" s="250">
        <v>10000</v>
      </c>
      <c r="F45" s="250">
        <v>17.537244723481493</v>
      </c>
      <c r="G45" s="251">
        <v>570.21500000000003</v>
      </c>
      <c r="H45" s="252" t="s">
        <v>155</v>
      </c>
      <c r="I45" s="252" t="s">
        <v>237</v>
      </c>
      <c r="J45" s="252" t="s">
        <v>96</v>
      </c>
      <c r="K45" s="253" t="s">
        <v>1905</v>
      </c>
      <c r="L45" s="252" t="s">
        <v>2089</v>
      </c>
      <c r="M45" s="248"/>
      <c r="N45" s="248"/>
      <c r="O45" s="248"/>
    </row>
    <row r="46" spans="1:15" hidden="1">
      <c r="A46" s="247">
        <v>45672</v>
      </c>
      <c r="B46" s="248" t="s">
        <v>238</v>
      </c>
      <c r="C46" s="248" t="s">
        <v>150</v>
      </c>
      <c r="D46" s="249" t="s">
        <v>440</v>
      </c>
      <c r="E46" s="250">
        <v>5000</v>
      </c>
      <c r="F46" s="250">
        <v>8.7686223617407464</v>
      </c>
      <c r="G46" s="251">
        <v>570.21500000000003</v>
      </c>
      <c r="H46" s="252" t="s">
        <v>155</v>
      </c>
      <c r="I46" s="252" t="s">
        <v>239</v>
      </c>
      <c r="J46" s="252" t="s">
        <v>96</v>
      </c>
      <c r="K46" s="253" t="s">
        <v>1905</v>
      </c>
      <c r="L46" s="252" t="s">
        <v>2089</v>
      </c>
      <c r="M46" s="248"/>
      <c r="N46" s="248"/>
      <c r="O46" s="248"/>
    </row>
    <row r="47" spans="1:15" hidden="1">
      <c r="A47" s="247">
        <v>45672</v>
      </c>
      <c r="B47" s="248" t="s">
        <v>4779</v>
      </c>
      <c r="C47" s="254" t="s">
        <v>172</v>
      </c>
      <c r="D47" s="249" t="s">
        <v>440</v>
      </c>
      <c r="E47" s="250">
        <v>50000</v>
      </c>
      <c r="F47" s="250">
        <v>87.686223617407464</v>
      </c>
      <c r="G47" s="251">
        <v>570.21500000000003</v>
      </c>
      <c r="H47" s="252" t="s">
        <v>182</v>
      </c>
      <c r="I47" s="252" t="s">
        <v>240</v>
      </c>
      <c r="J47" s="252" t="s">
        <v>96</v>
      </c>
      <c r="K47" s="253" t="s">
        <v>1905</v>
      </c>
      <c r="L47" s="252" t="s">
        <v>2089</v>
      </c>
      <c r="M47" s="248"/>
      <c r="N47" s="248"/>
      <c r="O47" s="248"/>
    </row>
    <row r="48" spans="1:15" hidden="1">
      <c r="A48" s="247">
        <v>45672</v>
      </c>
      <c r="B48" s="248" t="s">
        <v>4780</v>
      </c>
      <c r="C48" s="254" t="s">
        <v>175</v>
      </c>
      <c r="D48" s="249" t="s">
        <v>440</v>
      </c>
      <c r="E48" s="250">
        <v>120000</v>
      </c>
      <c r="F48" s="250">
        <v>210.44693668177791</v>
      </c>
      <c r="G48" s="251">
        <v>570.21500000000003</v>
      </c>
      <c r="H48" s="252" t="s">
        <v>173</v>
      </c>
      <c r="I48" s="252" t="s">
        <v>241</v>
      </c>
      <c r="J48" s="252" t="s">
        <v>96</v>
      </c>
      <c r="K48" s="253" t="s">
        <v>1905</v>
      </c>
      <c r="L48" s="252" t="s">
        <v>2089</v>
      </c>
      <c r="M48" s="248"/>
      <c r="N48" s="248"/>
      <c r="O48" s="248"/>
    </row>
    <row r="49" spans="1:15" hidden="1">
      <c r="A49" s="247">
        <v>45672</v>
      </c>
      <c r="B49" s="248" t="s">
        <v>242</v>
      </c>
      <c r="C49" s="254" t="s">
        <v>172</v>
      </c>
      <c r="D49" s="248" t="s">
        <v>2091</v>
      </c>
      <c r="E49" s="250">
        <v>8500</v>
      </c>
      <c r="F49" s="250">
        <v>14.90665801495927</v>
      </c>
      <c r="G49" s="251">
        <v>570.21500000000003</v>
      </c>
      <c r="H49" s="252" t="s">
        <v>185</v>
      </c>
      <c r="I49" s="252" t="s">
        <v>243</v>
      </c>
      <c r="J49" s="252" t="s">
        <v>96</v>
      </c>
      <c r="K49" s="253" t="s">
        <v>1905</v>
      </c>
      <c r="L49" s="252" t="s">
        <v>2089</v>
      </c>
      <c r="M49" s="248"/>
      <c r="N49" s="248"/>
      <c r="O49" s="248"/>
    </row>
    <row r="50" spans="1:15" hidden="1">
      <c r="A50" s="247">
        <v>45672</v>
      </c>
      <c r="B50" s="248" t="s">
        <v>242</v>
      </c>
      <c r="C50" s="254" t="s">
        <v>172</v>
      </c>
      <c r="D50" s="248" t="s">
        <v>2091</v>
      </c>
      <c r="E50" s="250">
        <v>8500</v>
      </c>
      <c r="F50" s="250">
        <v>14.90665801495927</v>
      </c>
      <c r="G50" s="251">
        <v>570.21500000000003</v>
      </c>
      <c r="H50" s="252" t="s">
        <v>185</v>
      </c>
      <c r="I50" s="252" t="s">
        <v>244</v>
      </c>
      <c r="J50" s="252" t="s">
        <v>96</v>
      </c>
      <c r="K50" s="253" t="s">
        <v>1905</v>
      </c>
      <c r="L50" s="252" t="s">
        <v>2089</v>
      </c>
      <c r="M50" s="248"/>
      <c r="N50" s="248"/>
      <c r="O50" s="248"/>
    </row>
    <row r="51" spans="1:15" hidden="1">
      <c r="A51" s="247">
        <v>45672</v>
      </c>
      <c r="B51" s="248" t="s">
        <v>245</v>
      </c>
      <c r="C51" s="254" t="s">
        <v>175</v>
      </c>
      <c r="D51" s="248" t="s">
        <v>2091</v>
      </c>
      <c r="E51" s="250">
        <v>10100</v>
      </c>
      <c r="F51" s="250">
        <v>17.712617170716307</v>
      </c>
      <c r="G51" s="251">
        <v>570.21500000000003</v>
      </c>
      <c r="H51" s="252" t="s">
        <v>185</v>
      </c>
      <c r="I51" s="252" t="s">
        <v>246</v>
      </c>
      <c r="J51" s="252" t="s">
        <v>96</v>
      </c>
      <c r="K51" s="253" t="s">
        <v>1905</v>
      </c>
      <c r="L51" s="252" t="s">
        <v>2089</v>
      </c>
      <c r="M51" s="248"/>
      <c r="N51" s="248"/>
      <c r="O51" s="248"/>
    </row>
    <row r="52" spans="1:15" hidden="1">
      <c r="A52" s="247">
        <v>45672</v>
      </c>
      <c r="B52" s="248" t="s">
        <v>247</v>
      </c>
      <c r="C52" s="254" t="s">
        <v>175</v>
      </c>
      <c r="D52" s="249" t="s">
        <v>115</v>
      </c>
      <c r="E52" s="250">
        <v>90000</v>
      </c>
      <c r="F52" s="250">
        <v>157.83520251133345</v>
      </c>
      <c r="G52" s="251">
        <v>570.21500000000003</v>
      </c>
      <c r="H52" s="252" t="s">
        <v>188</v>
      </c>
      <c r="I52" s="252" t="s">
        <v>248</v>
      </c>
      <c r="J52" s="252" t="s">
        <v>96</v>
      </c>
      <c r="K52" s="253" t="s">
        <v>1905</v>
      </c>
      <c r="L52" s="252" t="s">
        <v>2089</v>
      </c>
      <c r="M52" s="248"/>
      <c r="N52" s="248"/>
      <c r="O52" s="248"/>
    </row>
    <row r="53" spans="1:15" hidden="1">
      <c r="A53" s="247">
        <v>45672</v>
      </c>
      <c r="B53" s="248" t="s">
        <v>249</v>
      </c>
      <c r="C53" s="254" t="s">
        <v>175</v>
      </c>
      <c r="D53" s="248" t="s">
        <v>2091</v>
      </c>
      <c r="E53" s="250">
        <v>9600</v>
      </c>
      <c r="F53" s="250">
        <v>16.835754934542233</v>
      </c>
      <c r="G53" s="251">
        <v>570.21500000000003</v>
      </c>
      <c r="H53" s="252" t="s">
        <v>188</v>
      </c>
      <c r="I53" s="252" t="s">
        <v>250</v>
      </c>
      <c r="J53" s="252" t="s">
        <v>96</v>
      </c>
      <c r="K53" s="253" t="s">
        <v>1905</v>
      </c>
      <c r="L53" s="252" t="s">
        <v>2089</v>
      </c>
      <c r="M53" s="248"/>
      <c r="N53" s="248"/>
      <c r="O53" s="248"/>
    </row>
    <row r="54" spans="1:15" hidden="1">
      <c r="A54" s="247">
        <v>45672</v>
      </c>
      <c r="B54" s="248" t="s">
        <v>251</v>
      </c>
      <c r="C54" s="254" t="s">
        <v>172</v>
      </c>
      <c r="D54" s="249" t="s">
        <v>115</v>
      </c>
      <c r="E54" s="250">
        <v>8000</v>
      </c>
      <c r="F54" s="250">
        <v>14.029795778785195</v>
      </c>
      <c r="G54" s="251">
        <v>570.21500000000003</v>
      </c>
      <c r="H54" s="252" t="s">
        <v>191</v>
      </c>
      <c r="I54" s="252" t="s">
        <v>252</v>
      </c>
      <c r="J54" s="252" t="s">
        <v>96</v>
      </c>
      <c r="K54" s="253" t="s">
        <v>1905</v>
      </c>
      <c r="L54" s="252" t="s">
        <v>2089</v>
      </c>
      <c r="M54" s="248"/>
      <c r="N54" s="248"/>
      <c r="O54" s="248"/>
    </row>
    <row r="55" spans="1:15" hidden="1">
      <c r="A55" s="247">
        <v>45672</v>
      </c>
      <c r="B55" s="248" t="s">
        <v>253</v>
      </c>
      <c r="C55" s="248" t="s">
        <v>254</v>
      </c>
      <c r="D55" s="249" t="s">
        <v>115</v>
      </c>
      <c r="E55" s="250">
        <v>72000</v>
      </c>
      <c r="F55" s="250">
        <v>126.26816200906674</v>
      </c>
      <c r="G55" s="251">
        <v>570.21500000000003</v>
      </c>
      <c r="H55" s="252" t="s">
        <v>191</v>
      </c>
      <c r="I55" s="252" t="s">
        <v>255</v>
      </c>
      <c r="J55" s="252" t="s">
        <v>96</v>
      </c>
      <c r="K55" s="253" t="s">
        <v>1905</v>
      </c>
      <c r="L55" s="252" t="s">
        <v>2089</v>
      </c>
      <c r="M55" s="248"/>
      <c r="N55" s="248"/>
      <c r="O55" s="248"/>
    </row>
    <row r="56" spans="1:15" hidden="1">
      <c r="A56" s="247">
        <v>45672</v>
      </c>
      <c r="B56" s="248" t="s">
        <v>256</v>
      </c>
      <c r="C56" s="254" t="s">
        <v>172</v>
      </c>
      <c r="D56" s="248" t="s">
        <v>2091</v>
      </c>
      <c r="E56" s="250">
        <v>25000</v>
      </c>
      <c r="F56" s="250">
        <v>43.843111808703732</v>
      </c>
      <c r="G56" s="251">
        <v>570.21500000000003</v>
      </c>
      <c r="H56" s="252" t="s">
        <v>195</v>
      </c>
      <c r="I56" s="252" t="s">
        <v>257</v>
      </c>
      <c r="J56" s="252" t="s">
        <v>96</v>
      </c>
      <c r="K56" s="253" t="s">
        <v>1905</v>
      </c>
      <c r="L56" s="252" t="s">
        <v>2089</v>
      </c>
      <c r="M56" s="248"/>
      <c r="N56" s="248"/>
      <c r="O56" s="248"/>
    </row>
    <row r="57" spans="1:15" hidden="1">
      <c r="A57" s="247">
        <v>45672</v>
      </c>
      <c r="B57" s="248" t="s">
        <v>258</v>
      </c>
      <c r="C57" s="254" t="s">
        <v>175</v>
      </c>
      <c r="D57" s="248" t="s">
        <v>2091</v>
      </c>
      <c r="E57" s="250">
        <v>19600</v>
      </c>
      <c r="F57" s="250">
        <v>34.372999658023723</v>
      </c>
      <c r="G57" s="251">
        <v>570.21500000000003</v>
      </c>
      <c r="H57" s="252" t="s">
        <v>195</v>
      </c>
      <c r="I57" s="252" t="s">
        <v>259</v>
      </c>
      <c r="J57" s="252" t="s">
        <v>96</v>
      </c>
      <c r="K57" s="253" t="s">
        <v>1905</v>
      </c>
      <c r="L57" s="252" t="s">
        <v>2089</v>
      </c>
      <c r="M57" s="248"/>
      <c r="N57" s="248"/>
      <c r="O57" s="248"/>
    </row>
    <row r="58" spans="1:15" hidden="1">
      <c r="A58" s="247">
        <v>45672</v>
      </c>
      <c r="B58" s="248" t="s">
        <v>260</v>
      </c>
      <c r="C58" s="254" t="s">
        <v>175</v>
      </c>
      <c r="D58" s="248" t="s">
        <v>2091</v>
      </c>
      <c r="E58" s="250">
        <v>9700</v>
      </c>
      <c r="F58" s="250">
        <v>17.011127381777047</v>
      </c>
      <c r="G58" s="251">
        <v>570.21500000000003</v>
      </c>
      <c r="H58" s="252" t="s">
        <v>211</v>
      </c>
      <c r="I58" s="252" t="s">
        <v>261</v>
      </c>
      <c r="J58" s="252" t="s">
        <v>96</v>
      </c>
      <c r="K58" s="253" t="s">
        <v>1905</v>
      </c>
      <c r="L58" s="252" t="s">
        <v>2089</v>
      </c>
      <c r="M58" s="248"/>
      <c r="N58" s="248"/>
      <c r="O58" s="248"/>
    </row>
    <row r="59" spans="1:15" hidden="1">
      <c r="A59" s="247">
        <v>45673</v>
      </c>
      <c r="B59" s="248" t="s">
        <v>262</v>
      </c>
      <c r="C59" s="248" t="s">
        <v>263</v>
      </c>
      <c r="D59" s="248" t="s">
        <v>2091</v>
      </c>
      <c r="E59" s="250">
        <v>160000</v>
      </c>
      <c r="F59" s="250">
        <v>280.59591557570388</v>
      </c>
      <c r="G59" s="251">
        <v>570.21500000000003</v>
      </c>
      <c r="H59" s="252" t="s">
        <v>198</v>
      </c>
      <c r="I59" s="252" t="s">
        <v>264</v>
      </c>
      <c r="J59" s="252" t="s">
        <v>96</v>
      </c>
      <c r="K59" s="253" t="s">
        <v>1905</v>
      </c>
      <c r="L59" s="252" t="s">
        <v>2089</v>
      </c>
      <c r="M59" s="248"/>
      <c r="N59" s="248"/>
      <c r="O59" s="248"/>
    </row>
    <row r="60" spans="1:15" hidden="1">
      <c r="A60" s="247">
        <v>45673</v>
      </c>
      <c r="B60" s="248" t="s">
        <v>265</v>
      </c>
      <c r="C60" s="248" t="s">
        <v>263</v>
      </c>
      <c r="D60" s="248" t="s">
        <v>2091</v>
      </c>
      <c r="E60" s="250">
        <v>20000</v>
      </c>
      <c r="F60" s="250">
        <v>35.074489446962986</v>
      </c>
      <c r="G60" s="251">
        <v>570.21500000000003</v>
      </c>
      <c r="H60" s="252" t="s">
        <v>198</v>
      </c>
      <c r="I60" s="252" t="s">
        <v>266</v>
      </c>
      <c r="J60" s="252" t="s">
        <v>96</v>
      </c>
      <c r="K60" s="253" t="s">
        <v>1905</v>
      </c>
      <c r="L60" s="252" t="s">
        <v>2089</v>
      </c>
      <c r="M60" s="248"/>
      <c r="N60" s="248"/>
      <c r="O60" s="248"/>
    </row>
    <row r="61" spans="1:15" hidden="1">
      <c r="A61" s="247">
        <v>45673</v>
      </c>
      <c r="B61" s="248" t="s">
        <v>267</v>
      </c>
      <c r="C61" s="255" t="s">
        <v>2090</v>
      </c>
      <c r="D61" s="248" t="s">
        <v>116</v>
      </c>
      <c r="E61" s="250">
        <v>6055</v>
      </c>
      <c r="F61" s="250">
        <v>10.618801680068044</v>
      </c>
      <c r="G61" s="251">
        <v>570.21500000000003</v>
      </c>
      <c r="H61" s="252" t="s">
        <v>155</v>
      </c>
      <c r="I61" s="252" t="s">
        <v>268</v>
      </c>
      <c r="J61" s="252" t="s">
        <v>96</v>
      </c>
      <c r="K61" s="253" t="s">
        <v>1905</v>
      </c>
      <c r="L61" s="252" t="s">
        <v>2089</v>
      </c>
      <c r="M61" s="248"/>
      <c r="N61" s="248"/>
      <c r="O61" s="248"/>
    </row>
    <row r="62" spans="1:15" hidden="1">
      <c r="A62" s="247">
        <v>45673</v>
      </c>
      <c r="B62" s="248" t="s">
        <v>269</v>
      </c>
      <c r="C62" s="254" t="s">
        <v>172</v>
      </c>
      <c r="D62" s="249" t="s">
        <v>115</v>
      </c>
      <c r="E62" s="250">
        <v>7000</v>
      </c>
      <c r="F62" s="250">
        <v>12.276071306437045</v>
      </c>
      <c r="G62" s="251">
        <v>570.21500000000003</v>
      </c>
      <c r="H62" s="252" t="s">
        <v>188</v>
      </c>
      <c r="I62" s="252" t="s">
        <v>270</v>
      </c>
      <c r="J62" s="252" t="s">
        <v>96</v>
      </c>
      <c r="K62" s="253" t="s">
        <v>1905</v>
      </c>
      <c r="L62" s="252" t="s">
        <v>2089</v>
      </c>
      <c r="M62" s="248"/>
      <c r="N62" s="248"/>
      <c r="O62" s="248"/>
    </row>
    <row r="63" spans="1:15" hidden="1">
      <c r="A63" s="247">
        <v>45673</v>
      </c>
      <c r="B63" s="248" t="s">
        <v>271</v>
      </c>
      <c r="C63" s="254" t="s">
        <v>175</v>
      </c>
      <c r="D63" s="249" t="s">
        <v>115</v>
      </c>
      <c r="E63" s="250">
        <v>20000</v>
      </c>
      <c r="F63" s="250">
        <v>35.074489446962986</v>
      </c>
      <c r="G63" s="251">
        <v>570.21500000000003</v>
      </c>
      <c r="H63" s="252" t="s">
        <v>191</v>
      </c>
      <c r="I63" s="252" t="s">
        <v>272</v>
      </c>
      <c r="J63" s="252" t="s">
        <v>96</v>
      </c>
      <c r="K63" s="253" t="s">
        <v>1905</v>
      </c>
      <c r="L63" s="252" t="s">
        <v>2089</v>
      </c>
      <c r="M63" s="248"/>
      <c r="N63" s="248"/>
      <c r="O63" s="248"/>
    </row>
    <row r="64" spans="1:15" hidden="1">
      <c r="A64" s="247">
        <v>45673</v>
      </c>
      <c r="B64" s="248" t="s">
        <v>273</v>
      </c>
      <c r="C64" s="254" t="s">
        <v>172</v>
      </c>
      <c r="D64" s="248" t="s">
        <v>118</v>
      </c>
      <c r="E64" s="250">
        <v>7000</v>
      </c>
      <c r="F64" s="250">
        <v>12.276071306437045</v>
      </c>
      <c r="G64" s="251">
        <v>570.21500000000003</v>
      </c>
      <c r="H64" s="252" t="s">
        <v>211</v>
      </c>
      <c r="I64" s="252" t="s">
        <v>274</v>
      </c>
      <c r="J64" s="252" t="s">
        <v>96</v>
      </c>
      <c r="K64" s="253" t="s">
        <v>1905</v>
      </c>
      <c r="L64" s="252" t="s">
        <v>2089</v>
      </c>
      <c r="M64" s="248"/>
      <c r="N64" s="248"/>
      <c r="O64" s="248"/>
    </row>
    <row r="65" spans="1:15" hidden="1">
      <c r="A65" s="247">
        <v>45674</v>
      </c>
      <c r="B65" s="248" t="s">
        <v>275</v>
      </c>
      <c r="C65" s="255" t="s">
        <v>2090</v>
      </c>
      <c r="D65" s="248" t="s">
        <v>116</v>
      </c>
      <c r="E65" s="250">
        <v>6720</v>
      </c>
      <c r="F65" s="250">
        <v>11.785028454179564</v>
      </c>
      <c r="G65" s="251">
        <v>570.21500000000003</v>
      </c>
      <c r="H65" s="252" t="s">
        <v>155</v>
      </c>
      <c r="I65" s="252" t="s">
        <v>276</v>
      </c>
      <c r="J65" s="252" t="s">
        <v>96</v>
      </c>
      <c r="K65" s="253" t="s">
        <v>1905</v>
      </c>
      <c r="L65" s="252" t="s">
        <v>2089</v>
      </c>
      <c r="M65" s="248"/>
      <c r="N65" s="248"/>
      <c r="O65" s="248"/>
    </row>
    <row r="66" spans="1:15" hidden="1">
      <c r="A66" s="247">
        <v>45674</v>
      </c>
      <c r="B66" s="248" t="s">
        <v>277</v>
      </c>
      <c r="C66" s="248" t="s">
        <v>254</v>
      </c>
      <c r="D66" s="249" t="s">
        <v>115</v>
      </c>
      <c r="E66" s="250">
        <v>176000</v>
      </c>
      <c r="F66" s="250">
        <v>308.65550713327428</v>
      </c>
      <c r="G66" s="251">
        <v>570.21500000000003</v>
      </c>
      <c r="H66" s="252" t="s">
        <v>155</v>
      </c>
      <c r="I66" s="252" t="s">
        <v>278</v>
      </c>
      <c r="J66" s="252" t="s">
        <v>96</v>
      </c>
      <c r="K66" s="253" t="s">
        <v>1905</v>
      </c>
      <c r="L66" s="252" t="s">
        <v>2089</v>
      </c>
      <c r="M66" s="248"/>
      <c r="N66" s="248"/>
      <c r="O66" s="248"/>
    </row>
    <row r="67" spans="1:15" hidden="1">
      <c r="A67" s="247">
        <v>45674</v>
      </c>
      <c r="B67" s="248" t="s">
        <v>4781</v>
      </c>
      <c r="C67" s="254" t="s">
        <v>175</v>
      </c>
      <c r="D67" s="249" t="s">
        <v>440</v>
      </c>
      <c r="E67" s="250">
        <v>100000</v>
      </c>
      <c r="F67" s="250">
        <v>175.37244723481493</v>
      </c>
      <c r="G67" s="251">
        <v>570.21500000000003</v>
      </c>
      <c r="H67" s="252" t="s">
        <v>182</v>
      </c>
      <c r="I67" s="252" t="s">
        <v>279</v>
      </c>
      <c r="J67" s="252" t="s">
        <v>96</v>
      </c>
      <c r="K67" s="253" t="s">
        <v>1905</v>
      </c>
      <c r="L67" s="252" t="s">
        <v>2089</v>
      </c>
      <c r="M67" s="248"/>
      <c r="N67" s="248"/>
      <c r="O67" s="248"/>
    </row>
    <row r="68" spans="1:15" hidden="1">
      <c r="A68" s="247">
        <v>45674</v>
      </c>
      <c r="B68" s="248" t="s">
        <v>4782</v>
      </c>
      <c r="C68" s="254" t="s">
        <v>175</v>
      </c>
      <c r="D68" s="249" t="s">
        <v>440</v>
      </c>
      <c r="E68" s="250">
        <v>100000</v>
      </c>
      <c r="F68" s="250">
        <v>175.37244723481493</v>
      </c>
      <c r="G68" s="251">
        <v>570.21500000000003</v>
      </c>
      <c r="H68" s="252" t="s">
        <v>182</v>
      </c>
      <c r="I68" s="252" t="s">
        <v>280</v>
      </c>
      <c r="J68" s="252" t="s">
        <v>96</v>
      </c>
      <c r="K68" s="253" t="s">
        <v>1905</v>
      </c>
      <c r="L68" s="252" t="s">
        <v>2089</v>
      </c>
      <c r="M68" s="248"/>
      <c r="N68" s="248"/>
      <c r="O68" s="248"/>
    </row>
    <row r="69" spans="1:15" hidden="1">
      <c r="A69" s="247">
        <v>45674</v>
      </c>
      <c r="B69" s="248" t="s">
        <v>4758</v>
      </c>
      <c r="C69" s="254" t="s">
        <v>172</v>
      </c>
      <c r="D69" s="249" t="s">
        <v>440</v>
      </c>
      <c r="E69" s="250">
        <v>7000</v>
      </c>
      <c r="F69" s="250">
        <v>12.276071306437045</v>
      </c>
      <c r="G69" s="251">
        <v>570.21500000000003</v>
      </c>
      <c r="H69" s="252" t="s">
        <v>182</v>
      </c>
      <c r="I69" s="252" t="s">
        <v>281</v>
      </c>
      <c r="J69" s="252" t="s">
        <v>96</v>
      </c>
      <c r="K69" s="253" t="s">
        <v>1905</v>
      </c>
      <c r="L69" s="252" t="s">
        <v>2089</v>
      </c>
      <c r="M69" s="248"/>
      <c r="N69" s="248"/>
      <c r="O69" s="248"/>
    </row>
    <row r="70" spans="1:15" hidden="1">
      <c r="A70" s="247">
        <v>45674</v>
      </c>
      <c r="B70" s="248" t="s">
        <v>4783</v>
      </c>
      <c r="C70" s="254" t="s">
        <v>175</v>
      </c>
      <c r="D70" s="249" t="s">
        <v>440</v>
      </c>
      <c r="E70" s="250">
        <v>30000</v>
      </c>
      <c r="F70" s="250">
        <v>52.611734170444478</v>
      </c>
      <c r="G70" s="251">
        <v>570.21500000000003</v>
      </c>
      <c r="H70" s="252" t="s">
        <v>182</v>
      </c>
      <c r="I70" s="252" t="s">
        <v>282</v>
      </c>
      <c r="J70" s="252" t="s">
        <v>96</v>
      </c>
      <c r="K70" s="253" t="s">
        <v>1905</v>
      </c>
      <c r="L70" s="252" t="s">
        <v>2089</v>
      </c>
      <c r="M70" s="248"/>
      <c r="N70" s="248"/>
      <c r="O70" s="248"/>
    </row>
    <row r="71" spans="1:15" hidden="1">
      <c r="A71" s="247">
        <v>45674</v>
      </c>
      <c r="B71" s="248" t="s">
        <v>4754</v>
      </c>
      <c r="C71" s="254" t="s">
        <v>175</v>
      </c>
      <c r="D71" s="249" t="s">
        <v>440</v>
      </c>
      <c r="E71" s="250">
        <v>30000</v>
      </c>
      <c r="F71" s="250">
        <v>52.611734170444478</v>
      </c>
      <c r="G71" s="251">
        <v>570.21500000000003</v>
      </c>
      <c r="H71" s="252" t="s">
        <v>173</v>
      </c>
      <c r="I71" s="252" t="s">
        <v>283</v>
      </c>
      <c r="J71" s="252" t="s">
        <v>96</v>
      </c>
      <c r="K71" s="253" t="s">
        <v>1905</v>
      </c>
      <c r="L71" s="252" t="s">
        <v>2089</v>
      </c>
      <c r="M71" s="248"/>
      <c r="N71" s="248"/>
      <c r="O71" s="248"/>
    </row>
    <row r="72" spans="1:15" hidden="1">
      <c r="A72" s="247">
        <v>45674</v>
      </c>
      <c r="B72" s="248" t="s">
        <v>4784</v>
      </c>
      <c r="C72" s="254" t="s">
        <v>172</v>
      </c>
      <c r="D72" s="249" t="s">
        <v>440</v>
      </c>
      <c r="E72" s="250">
        <v>7000</v>
      </c>
      <c r="F72" s="250">
        <v>12.276071306437045</v>
      </c>
      <c r="G72" s="251">
        <v>570.21500000000003</v>
      </c>
      <c r="H72" s="252" t="s">
        <v>173</v>
      </c>
      <c r="I72" s="252" t="s">
        <v>284</v>
      </c>
      <c r="J72" s="252" t="s">
        <v>96</v>
      </c>
      <c r="K72" s="253" t="s">
        <v>1905</v>
      </c>
      <c r="L72" s="252" t="s">
        <v>2089</v>
      </c>
      <c r="M72" s="248"/>
      <c r="N72" s="248"/>
      <c r="O72" s="248"/>
    </row>
    <row r="73" spans="1:15" hidden="1">
      <c r="A73" s="247">
        <v>45674</v>
      </c>
      <c r="B73" s="248" t="s">
        <v>285</v>
      </c>
      <c r="C73" s="254" t="s">
        <v>175</v>
      </c>
      <c r="D73" s="249" t="s">
        <v>115</v>
      </c>
      <c r="E73" s="250">
        <v>30000</v>
      </c>
      <c r="F73" s="250">
        <v>52.611734170444478</v>
      </c>
      <c r="G73" s="251">
        <v>570.21500000000003</v>
      </c>
      <c r="H73" s="252" t="s">
        <v>188</v>
      </c>
      <c r="I73" s="252" t="s">
        <v>286</v>
      </c>
      <c r="J73" s="252" t="s">
        <v>96</v>
      </c>
      <c r="K73" s="253" t="s">
        <v>1905</v>
      </c>
      <c r="L73" s="252" t="s">
        <v>2089</v>
      </c>
      <c r="M73" s="248"/>
      <c r="N73" s="248"/>
      <c r="O73" s="248"/>
    </row>
    <row r="74" spans="1:15" hidden="1">
      <c r="A74" s="247">
        <v>45674</v>
      </c>
      <c r="B74" s="248" t="s">
        <v>287</v>
      </c>
      <c r="C74" s="248" t="s">
        <v>311</v>
      </c>
      <c r="D74" s="249" t="s">
        <v>115</v>
      </c>
      <c r="E74" s="250">
        <v>12000</v>
      </c>
      <c r="F74" s="250">
        <v>21.044693668177793</v>
      </c>
      <c r="G74" s="251">
        <v>570.21500000000003</v>
      </c>
      <c r="H74" s="252" t="s">
        <v>191</v>
      </c>
      <c r="I74" s="252" t="s">
        <v>288</v>
      </c>
      <c r="J74" s="252" t="s">
        <v>96</v>
      </c>
      <c r="K74" s="253" t="s">
        <v>1905</v>
      </c>
      <c r="L74" s="252" t="s">
        <v>2089</v>
      </c>
      <c r="M74" s="248"/>
      <c r="N74" s="248"/>
      <c r="O74" s="248"/>
    </row>
    <row r="75" spans="1:15" hidden="1">
      <c r="A75" s="247">
        <v>45674</v>
      </c>
      <c r="B75" s="248" t="s">
        <v>289</v>
      </c>
      <c r="C75" s="254" t="s">
        <v>172</v>
      </c>
      <c r="D75" s="249" t="s">
        <v>115</v>
      </c>
      <c r="E75" s="250">
        <v>8000</v>
      </c>
      <c r="F75" s="250">
        <v>14.029795778785195</v>
      </c>
      <c r="G75" s="251">
        <v>570.21500000000003</v>
      </c>
      <c r="H75" s="252" t="s">
        <v>191</v>
      </c>
      <c r="I75" s="252" t="s">
        <v>290</v>
      </c>
      <c r="J75" s="252" t="s">
        <v>96</v>
      </c>
      <c r="K75" s="253" t="s">
        <v>1905</v>
      </c>
      <c r="L75" s="252" t="s">
        <v>2089</v>
      </c>
      <c r="M75" s="248"/>
      <c r="N75" s="248"/>
      <c r="O75" s="248"/>
    </row>
    <row r="76" spans="1:15" hidden="1">
      <c r="A76" s="247">
        <v>45674</v>
      </c>
      <c r="B76" s="248" t="s">
        <v>292</v>
      </c>
      <c r="C76" s="254" t="s">
        <v>175</v>
      </c>
      <c r="D76" s="248" t="s">
        <v>118</v>
      </c>
      <c r="E76" s="250">
        <v>105000</v>
      </c>
      <c r="F76" s="250">
        <v>184.14106959655567</v>
      </c>
      <c r="G76" s="251">
        <v>570.21500000000003</v>
      </c>
      <c r="H76" s="252" t="s">
        <v>211</v>
      </c>
      <c r="I76" s="252" t="s">
        <v>293</v>
      </c>
      <c r="J76" s="252" t="s">
        <v>96</v>
      </c>
      <c r="K76" s="253" t="s">
        <v>1905</v>
      </c>
      <c r="L76" s="252" t="s">
        <v>2089</v>
      </c>
      <c r="M76" s="248"/>
      <c r="N76" s="248"/>
      <c r="O76" s="248"/>
    </row>
    <row r="77" spans="1:15" hidden="1">
      <c r="A77" s="277">
        <v>45674</v>
      </c>
      <c r="B77" s="248" t="s">
        <v>101</v>
      </c>
      <c r="C77" s="248" t="s">
        <v>123</v>
      </c>
      <c r="D77" s="248"/>
      <c r="E77" s="278"/>
      <c r="F77" s="279"/>
      <c r="G77" s="280">
        <f>+M77/N77</f>
        <v>596.1932333333333</v>
      </c>
      <c r="H77" s="248" t="s">
        <v>146</v>
      </c>
      <c r="I77" s="248" t="s">
        <v>129</v>
      </c>
      <c r="J77" s="248" t="s">
        <v>96</v>
      </c>
      <c r="K77" s="248" t="s">
        <v>1905</v>
      </c>
      <c r="L77" s="248" t="s">
        <v>153</v>
      </c>
      <c r="M77" s="281">
        <v>17885797</v>
      </c>
      <c r="N77" s="248">
        <v>30000</v>
      </c>
      <c r="O77" s="248"/>
    </row>
    <row r="78" spans="1:15" hidden="1">
      <c r="A78" s="247">
        <v>45675</v>
      </c>
      <c r="B78" s="248" t="s">
        <v>294</v>
      </c>
      <c r="C78" s="254" t="s">
        <v>175</v>
      </c>
      <c r="D78" s="249" t="s">
        <v>115</v>
      </c>
      <c r="E78" s="250">
        <v>30000</v>
      </c>
      <c r="F78" s="250">
        <v>50.319275804982617</v>
      </c>
      <c r="G78" s="251">
        <v>596.19299999999998</v>
      </c>
      <c r="H78" s="252" t="s">
        <v>191</v>
      </c>
      <c r="I78" s="252" t="s">
        <v>295</v>
      </c>
      <c r="J78" s="252" t="s">
        <v>96</v>
      </c>
      <c r="K78" s="253" t="s">
        <v>1905</v>
      </c>
      <c r="L78" s="252" t="s">
        <v>2089</v>
      </c>
      <c r="M78" s="248"/>
      <c r="N78" s="248"/>
      <c r="O78" s="248"/>
    </row>
    <row r="79" spans="1:15" hidden="1">
      <c r="A79" s="247">
        <v>45676</v>
      </c>
      <c r="B79" s="248" t="s">
        <v>475</v>
      </c>
      <c r="C79" s="254" t="s">
        <v>172</v>
      </c>
      <c r="D79" s="249" t="s">
        <v>115</v>
      </c>
      <c r="E79" s="250">
        <v>7000</v>
      </c>
      <c r="F79" s="250">
        <v>12.276071306437045</v>
      </c>
      <c r="G79" s="251">
        <v>570.21500000000003</v>
      </c>
      <c r="H79" s="252" t="s">
        <v>195</v>
      </c>
      <c r="I79" s="252" t="s">
        <v>291</v>
      </c>
      <c r="J79" s="252" t="s">
        <v>96</v>
      </c>
      <c r="K79" s="253" t="s">
        <v>1905</v>
      </c>
      <c r="L79" s="252" t="s">
        <v>2089</v>
      </c>
      <c r="M79" s="248"/>
      <c r="N79" s="248"/>
      <c r="O79" s="248"/>
    </row>
    <row r="80" spans="1:15" hidden="1">
      <c r="A80" s="247">
        <v>45676</v>
      </c>
      <c r="B80" s="248" t="s">
        <v>296</v>
      </c>
      <c r="C80" s="254" t="s">
        <v>175</v>
      </c>
      <c r="D80" s="249" t="s">
        <v>115</v>
      </c>
      <c r="E80" s="250">
        <v>150000</v>
      </c>
      <c r="F80" s="250">
        <v>251.59637902491309</v>
      </c>
      <c r="G80" s="251">
        <v>596.19299999999998</v>
      </c>
      <c r="H80" s="252" t="s">
        <v>195</v>
      </c>
      <c r="I80" s="252" t="s">
        <v>297</v>
      </c>
      <c r="J80" s="252" t="s">
        <v>96</v>
      </c>
      <c r="K80" s="253" t="s">
        <v>1905</v>
      </c>
      <c r="L80" s="252" t="s">
        <v>2089</v>
      </c>
      <c r="M80" s="248"/>
      <c r="N80" s="248"/>
      <c r="O80" s="248"/>
    </row>
    <row r="81" spans="1:15" hidden="1">
      <c r="A81" s="247">
        <v>45676</v>
      </c>
      <c r="B81" s="248" t="s">
        <v>298</v>
      </c>
      <c r="C81" s="254" t="s">
        <v>172</v>
      </c>
      <c r="D81" s="249" t="s">
        <v>115</v>
      </c>
      <c r="E81" s="250">
        <v>12500</v>
      </c>
      <c r="F81" s="250">
        <v>20.966364918742755</v>
      </c>
      <c r="G81" s="251">
        <v>596.19299999999998</v>
      </c>
      <c r="H81" s="252" t="s">
        <v>195</v>
      </c>
      <c r="I81" s="252" t="s">
        <v>299</v>
      </c>
      <c r="J81" s="252" t="s">
        <v>96</v>
      </c>
      <c r="K81" s="253" t="s">
        <v>1905</v>
      </c>
      <c r="L81" s="252" t="s">
        <v>2089</v>
      </c>
      <c r="M81" s="248"/>
      <c r="N81" s="248"/>
      <c r="O81" s="248"/>
    </row>
    <row r="82" spans="1:15" hidden="1">
      <c r="A82" s="247">
        <v>45677</v>
      </c>
      <c r="B82" s="248" t="s">
        <v>476</v>
      </c>
      <c r="C82" s="254" t="s">
        <v>1168</v>
      </c>
      <c r="D82" s="248" t="s">
        <v>116</v>
      </c>
      <c r="E82" s="250">
        <v>195000</v>
      </c>
      <c r="F82" s="250">
        <v>327.07529273238703</v>
      </c>
      <c r="G82" s="251">
        <v>596.19299999999998</v>
      </c>
      <c r="H82" s="252" t="s">
        <v>155</v>
      </c>
      <c r="I82" s="252" t="s">
        <v>300</v>
      </c>
      <c r="J82" s="252" t="s">
        <v>96</v>
      </c>
      <c r="K82" s="253" t="s">
        <v>1905</v>
      </c>
      <c r="L82" s="252" t="s">
        <v>2089</v>
      </c>
      <c r="M82" s="248"/>
      <c r="N82" s="248"/>
      <c r="O82" s="248"/>
    </row>
    <row r="83" spans="1:15" hidden="1">
      <c r="A83" s="247">
        <v>45677</v>
      </c>
      <c r="B83" s="248" t="s">
        <v>301</v>
      </c>
      <c r="C83" s="254" t="s">
        <v>302</v>
      </c>
      <c r="D83" s="248" t="s">
        <v>116</v>
      </c>
      <c r="E83" s="250">
        <v>20000</v>
      </c>
      <c r="F83" s="250">
        <v>33.546183869988411</v>
      </c>
      <c r="G83" s="251">
        <v>596.19299999999998</v>
      </c>
      <c r="H83" s="252" t="s">
        <v>155</v>
      </c>
      <c r="I83" s="252" t="s">
        <v>303</v>
      </c>
      <c r="J83" s="252" t="s">
        <v>96</v>
      </c>
      <c r="K83" s="253" t="s">
        <v>1905</v>
      </c>
      <c r="L83" s="252" t="s">
        <v>2089</v>
      </c>
      <c r="M83" s="248"/>
      <c r="N83" s="248"/>
      <c r="O83" s="248"/>
    </row>
    <row r="84" spans="1:15" hidden="1">
      <c r="A84" s="247">
        <v>45678</v>
      </c>
      <c r="B84" s="248" t="s">
        <v>4785</v>
      </c>
      <c r="C84" s="254" t="s">
        <v>172</v>
      </c>
      <c r="D84" s="249" t="s">
        <v>440</v>
      </c>
      <c r="E84" s="250">
        <v>7000</v>
      </c>
      <c r="F84" s="250">
        <v>11.741164354495943</v>
      </c>
      <c r="G84" s="251">
        <v>596.19299999999998</v>
      </c>
      <c r="H84" s="252" t="s">
        <v>173</v>
      </c>
      <c r="I84" s="252" t="s">
        <v>304</v>
      </c>
      <c r="J84" s="252" t="s">
        <v>96</v>
      </c>
      <c r="K84" s="253" t="s">
        <v>1905</v>
      </c>
      <c r="L84" s="252" t="s">
        <v>2089</v>
      </c>
      <c r="M84" s="248"/>
      <c r="N84" s="248"/>
      <c r="O84" s="248"/>
    </row>
    <row r="85" spans="1:15" hidden="1">
      <c r="A85" s="247">
        <v>45678</v>
      </c>
      <c r="B85" s="248" t="s">
        <v>305</v>
      </c>
      <c r="C85" s="248" t="s">
        <v>306</v>
      </c>
      <c r="D85" s="249" t="s">
        <v>440</v>
      </c>
      <c r="E85" s="250">
        <v>10000</v>
      </c>
      <c r="F85" s="250">
        <v>17.537244723481493</v>
      </c>
      <c r="G85" s="251">
        <v>570.21500000000003</v>
      </c>
      <c r="H85" s="252" t="s">
        <v>173</v>
      </c>
      <c r="I85" s="252" t="s">
        <v>307</v>
      </c>
      <c r="J85" s="252" t="s">
        <v>96</v>
      </c>
      <c r="K85" s="253" t="s">
        <v>1905</v>
      </c>
      <c r="L85" s="252" t="s">
        <v>2089</v>
      </c>
      <c r="M85" s="248"/>
      <c r="N85" s="248"/>
      <c r="O85" s="248"/>
    </row>
    <row r="86" spans="1:15" hidden="1">
      <c r="A86" s="247">
        <v>45678</v>
      </c>
      <c r="B86" s="248" t="s">
        <v>308</v>
      </c>
      <c r="C86" s="254" t="s">
        <v>1168</v>
      </c>
      <c r="D86" s="248" t="s">
        <v>2091</v>
      </c>
      <c r="E86" s="250">
        <v>24675</v>
      </c>
      <c r="F86" s="250">
        <v>43.273151355190585</v>
      </c>
      <c r="G86" s="251">
        <v>570.21500000000003</v>
      </c>
      <c r="H86" s="252" t="s">
        <v>185</v>
      </c>
      <c r="I86" s="252" t="s">
        <v>309</v>
      </c>
      <c r="J86" s="252" t="s">
        <v>96</v>
      </c>
      <c r="K86" s="253" t="s">
        <v>1905</v>
      </c>
      <c r="L86" s="252" t="s">
        <v>2089</v>
      </c>
      <c r="M86" s="248"/>
      <c r="N86" s="248"/>
      <c r="O86" s="248"/>
    </row>
    <row r="87" spans="1:15" hidden="1">
      <c r="A87" s="247">
        <v>45678</v>
      </c>
      <c r="B87" s="248" t="s">
        <v>310</v>
      </c>
      <c r="C87" s="248" t="s">
        <v>311</v>
      </c>
      <c r="D87" s="249" t="s">
        <v>115</v>
      </c>
      <c r="E87" s="250">
        <v>26000</v>
      </c>
      <c r="F87" s="250">
        <v>43.610039030984936</v>
      </c>
      <c r="G87" s="251">
        <v>596.19299999999998</v>
      </c>
      <c r="H87" s="252" t="s">
        <v>185</v>
      </c>
      <c r="I87" s="252" t="s">
        <v>312</v>
      </c>
      <c r="J87" s="252" t="s">
        <v>96</v>
      </c>
      <c r="K87" s="253" t="s">
        <v>1905</v>
      </c>
      <c r="L87" s="252" t="s">
        <v>2089</v>
      </c>
      <c r="M87" s="248"/>
      <c r="N87" s="248"/>
      <c r="O87" s="248"/>
    </row>
    <row r="88" spans="1:15" hidden="1">
      <c r="A88" s="247">
        <v>45678</v>
      </c>
      <c r="B88" s="248" t="s">
        <v>313</v>
      </c>
      <c r="C88" s="254" t="s">
        <v>2092</v>
      </c>
      <c r="D88" s="248" t="s">
        <v>118</v>
      </c>
      <c r="E88" s="250">
        <v>154000</v>
      </c>
      <c r="F88" s="250">
        <v>258.30561579891076</v>
      </c>
      <c r="G88" s="251">
        <v>596.19299999999998</v>
      </c>
      <c r="H88" s="252" t="s">
        <v>211</v>
      </c>
      <c r="I88" s="252" t="s">
        <v>314</v>
      </c>
      <c r="J88" s="252" t="s">
        <v>96</v>
      </c>
      <c r="K88" s="253" t="s">
        <v>1905</v>
      </c>
      <c r="L88" s="252" t="s">
        <v>2089</v>
      </c>
      <c r="M88" s="248"/>
      <c r="N88" s="248"/>
      <c r="O88" s="248"/>
    </row>
    <row r="89" spans="1:15" hidden="1">
      <c r="A89" s="247">
        <v>45679</v>
      </c>
      <c r="B89" s="248" t="s">
        <v>4786</v>
      </c>
      <c r="C89" s="254" t="s">
        <v>175</v>
      </c>
      <c r="D89" s="249" t="s">
        <v>440</v>
      </c>
      <c r="E89" s="250">
        <v>80000</v>
      </c>
      <c r="F89" s="250">
        <v>134.18473547995364</v>
      </c>
      <c r="G89" s="251">
        <v>596.19299999999998</v>
      </c>
      <c r="H89" s="252" t="s">
        <v>315</v>
      </c>
      <c r="I89" s="252" t="s">
        <v>316</v>
      </c>
      <c r="J89" s="252" t="s">
        <v>96</v>
      </c>
      <c r="K89" s="253" t="s">
        <v>1905</v>
      </c>
      <c r="L89" s="252" t="s">
        <v>2089</v>
      </c>
      <c r="M89" s="248"/>
      <c r="N89" s="248"/>
      <c r="O89" s="248"/>
    </row>
    <row r="90" spans="1:15" hidden="1">
      <c r="A90" s="247">
        <v>45679</v>
      </c>
      <c r="B90" s="248" t="s">
        <v>4749</v>
      </c>
      <c r="C90" s="254" t="s">
        <v>172</v>
      </c>
      <c r="D90" s="249" t="s">
        <v>440</v>
      </c>
      <c r="E90" s="250">
        <v>7000</v>
      </c>
      <c r="F90" s="250">
        <v>11.741164354495943</v>
      </c>
      <c r="G90" s="251">
        <v>596.19299999999998</v>
      </c>
      <c r="H90" s="252" t="s">
        <v>315</v>
      </c>
      <c r="I90" s="252" t="s">
        <v>317</v>
      </c>
      <c r="J90" s="252" t="s">
        <v>96</v>
      </c>
      <c r="K90" s="253" t="s">
        <v>1905</v>
      </c>
      <c r="L90" s="252" t="s">
        <v>2089</v>
      </c>
      <c r="M90" s="248"/>
      <c r="N90" s="248"/>
      <c r="O90" s="248"/>
    </row>
    <row r="91" spans="1:15" hidden="1">
      <c r="A91" s="247">
        <v>45679</v>
      </c>
      <c r="B91" s="248" t="s">
        <v>4776</v>
      </c>
      <c r="C91" s="254" t="s">
        <v>172</v>
      </c>
      <c r="D91" s="249" t="s">
        <v>440</v>
      </c>
      <c r="E91" s="250">
        <v>7000</v>
      </c>
      <c r="F91" s="250">
        <v>11.741164354495943</v>
      </c>
      <c r="G91" s="251">
        <v>596.19299999999998</v>
      </c>
      <c r="H91" s="252" t="s">
        <v>182</v>
      </c>
      <c r="I91" s="252" t="s">
        <v>318</v>
      </c>
      <c r="J91" s="252" t="s">
        <v>96</v>
      </c>
      <c r="K91" s="253" t="s">
        <v>1905</v>
      </c>
      <c r="L91" s="252" t="s">
        <v>2089</v>
      </c>
      <c r="M91" s="248"/>
      <c r="N91" s="248"/>
      <c r="O91" s="248"/>
    </row>
    <row r="92" spans="1:15" hidden="1">
      <c r="A92" s="247">
        <v>45679</v>
      </c>
      <c r="B92" s="248" t="s">
        <v>4787</v>
      </c>
      <c r="C92" s="254" t="s">
        <v>175</v>
      </c>
      <c r="D92" s="249" t="s">
        <v>440</v>
      </c>
      <c r="E92" s="250">
        <v>80000</v>
      </c>
      <c r="F92" s="250">
        <v>134.18473547995364</v>
      </c>
      <c r="G92" s="251">
        <v>596.19299999999998</v>
      </c>
      <c r="H92" s="252" t="s">
        <v>182</v>
      </c>
      <c r="I92" s="252" t="s">
        <v>319</v>
      </c>
      <c r="J92" s="252" t="s">
        <v>96</v>
      </c>
      <c r="K92" s="253" t="s">
        <v>1905</v>
      </c>
      <c r="L92" s="252" t="s">
        <v>2089</v>
      </c>
      <c r="M92" s="248"/>
      <c r="N92" s="248"/>
      <c r="O92" s="248"/>
    </row>
    <row r="93" spans="1:15" hidden="1">
      <c r="A93" s="247">
        <v>45679</v>
      </c>
      <c r="B93" s="248" t="s">
        <v>4775</v>
      </c>
      <c r="C93" s="254" t="s">
        <v>175</v>
      </c>
      <c r="D93" s="249" t="s">
        <v>440</v>
      </c>
      <c r="E93" s="250">
        <v>80000</v>
      </c>
      <c r="F93" s="250">
        <v>134.18473547995364</v>
      </c>
      <c r="G93" s="251">
        <v>596.19299999999998</v>
      </c>
      <c r="H93" s="252" t="s">
        <v>173</v>
      </c>
      <c r="I93" s="252" t="s">
        <v>320</v>
      </c>
      <c r="J93" s="252" t="s">
        <v>96</v>
      </c>
      <c r="K93" s="253" t="s">
        <v>1905</v>
      </c>
      <c r="L93" s="252" t="s">
        <v>2089</v>
      </c>
      <c r="M93" s="248"/>
      <c r="N93" s="248"/>
      <c r="O93" s="248"/>
    </row>
    <row r="94" spans="1:15" hidden="1">
      <c r="A94" s="247">
        <v>45679</v>
      </c>
      <c r="B94" s="248" t="s">
        <v>4788</v>
      </c>
      <c r="C94" s="254" t="s">
        <v>172</v>
      </c>
      <c r="D94" s="249" t="s">
        <v>440</v>
      </c>
      <c r="E94" s="250">
        <v>7000</v>
      </c>
      <c r="F94" s="250">
        <v>11.741164354495943</v>
      </c>
      <c r="G94" s="251">
        <v>596.19299999999998</v>
      </c>
      <c r="H94" s="252" t="s">
        <v>321</v>
      </c>
      <c r="I94" s="252" t="s">
        <v>322</v>
      </c>
      <c r="J94" s="252" t="s">
        <v>96</v>
      </c>
      <c r="K94" s="253" t="s">
        <v>1905</v>
      </c>
      <c r="L94" s="252" t="s">
        <v>2089</v>
      </c>
      <c r="M94" s="248"/>
      <c r="N94" s="248"/>
      <c r="O94" s="248"/>
    </row>
    <row r="95" spans="1:15" hidden="1">
      <c r="A95" s="247">
        <v>45679</v>
      </c>
      <c r="B95" s="248" t="s">
        <v>4789</v>
      </c>
      <c r="C95" s="254" t="s">
        <v>175</v>
      </c>
      <c r="D95" s="249" t="s">
        <v>440</v>
      </c>
      <c r="E95" s="250">
        <v>80000</v>
      </c>
      <c r="F95" s="250">
        <v>134.18473547995364</v>
      </c>
      <c r="G95" s="251">
        <v>596.19299999999998</v>
      </c>
      <c r="H95" s="252" t="s">
        <v>321</v>
      </c>
      <c r="I95" s="252" t="s">
        <v>323</v>
      </c>
      <c r="J95" s="252" t="s">
        <v>96</v>
      </c>
      <c r="K95" s="253" t="s">
        <v>1905</v>
      </c>
      <c r="L95" s="252" t="s">
        <v>2089</v>
      </c>
      <c r="M95" s="248"/>
      <c r="N95" s="248"/>
      <c r="O95" s="248"/>
    </row>
    <row r="96" spans="1:15" hidden="1">
      <c r="A96" s="247">
        <v>45679</v>
      </c>
      <c r="B96" s="248" t="s">
        <v>324</v>
      </c>
      <c r="C96" s="254" t="s">
        <v>172</v>
      </c>
      <c r="D96" s="249" t="s">
        <v>115</v>
      </c>
      <c r="E96" s="250">
        <v>14500</v>
      </c>
      <c r="F96" s="250">
        <v>24.320983305741599</v>
      </c>
      <c r="G96" s="251">
        <v>596.19299999999998</v>
      </c>
      <c r="H96" s="252" t="s">
        <v>188</v>
      </c>
      <c r="I96" s="252" t="s">
        <v>325</v>
      </c>
      <c r="J96" s="252" t="s">
        <v>96</v>
      </c>
      <c r="K96" s="253" t="s">
        <v>1905</v>
      </c>
      <c r="L96" s="252" t="s">
        <v>2089</v>
      </c>
      <c r="M96" s="248"/>
      <c r="N96" s="248"/>
      <c r="O96" s="248"/>
    </row>
    <row r="97" spans="1:15" hidden="1">
      <c r="A97" s="247">
        <v>45679</v>
      </c>
      <c r="B97" s="248" t="s">
        <v>326</v>
      </c>
      <c r="C97" s="255" t="s">
        <v>2090</v>
      </c>
      <c r="D97" s="248" t="s">
        <v>116</v>
      </c>
      <c r="E97" s="250">
        <v>3330</v>
      </c>
      <c r="F97" s="250">
        <v>5.5854396143530707</v>
      </c>
      <c r="G97" s="251">
        <v>596.19299999999998</v>
      </c>
      <c r="H97" s="252" t="s">
        <v>188</v>
      </c>
      <c r="I97" s="252" t="s">
        <v>327</v>
      </c>
      <c r="J97" s="252" t="s">
        <v>96</v>
      </c>
      <c r="K97" s="253" t="s">
        <v>1905</v>
      </c>
      <c r="L97" s="252" t="s">
        <v>2089</v>
      </c>
      <c r="M97" s="248"/>
      <c r="N97" s="248"/>
      <c r="O97" s="248"/>
    </row>
    <row r="98" spans="1:15" hidden="1">
      <c r="A98" s="247">
        <v>45679</v>
      </c>
      <c r="B98" s="248" t="s">
        <v>328</v>
      </c>
      <c r="C98" s="254" t="s">
        <v>1168</v>
      </c>
      <c r="D98" s="248" t="s">
        <v>116</v>
      </c>
      <c r="E98" s="250">
        <v>7500</v>
      </c>
      <c r="F98" s="250">
        <v>12.579818951245654</v>
      </c>
      <c r="G98" s="251">
        <v>596.19299999999998</v>
      </c>
      <c r="H98" s="252" t="s">
        <v>191</v>
      </c>
      <c r="I98" s="252" t="s">
        <v>329</v>
      </c>
      <c r="J98" s="252" t="s">
        <v>96</v>
      </c>
      <c r="K98" s="253" t="s">
        <v>1905</v>
      </c>
      <c r="L98" s="252" t="s">
        <v>2089</v>
      </c>
      <c r="M98" s="248"/>
      <c r="N98" s="248"/>
      <c r="O98" s="248"/>
    </row>
    <row r="99" spans="1:15" hidden="1">
      <c r="A99" s="247">
        <v>45680</v>
      </c>
      <c r="B99" s="248" t="s">
        <v>330</v>
      </c>
      <c r="C99" s="248" t="s">
        <v>125</v>
      </c>
      <c r="D99" s="249" t="s">
        <v>115</v>
      </c>
      <c r="E99" s="250">
        <v>21000</v>
      </c>
      <c r="F99" s="250">
        <v>35.22349306348783</v>
      </c>
      <c r="G99" s="251">
        <v>596.19299999999998</v>
      </c>
      <c r="H99" s="252" t="s">
        <v>155</v>
      </c>
      <c r="I99" s="252" t="s">
        <v>331</v>
      </c>
      <c r="J99" s="252" t="s">
        <v>96</v>
      </c>
      <c r="K99" s="253" t="s">
        <v>1905</v>
      </c>
      <c r="L99" s="252" t="s">
        <v>2089</v>
      </c>
      <c r="M99" s="248"/>
      <c r="N99" s="248"/>
      <c r="O99" s="248"/>
    </row>
    <row r="100" spans="1:15" hidden="1">
      <c r="A100" s="247">
        <v>45680</v>
      </c>
      <c r="B100" s="248" t="s">
        <v>332</v>
      </c>
      <c r="C100" s="255" t="s">
        <v>2090</v>
      </c>
      <c r="D100" s="248" t="s">
        <v>116</v>
      </c>
      <c r="E100" s="250">
        <v>21030</v>
      </c>
      <c r="F100" s="250">
        <v>35.273812339292817</v>
      </c>
      <c r="G100" s="251">
        <v>596.19299999999998</v>
      </c>
      <c r="H100" s="252" t="s">
        <v>191</v>
      </c>
      <c r="I100" s="252" t="s">
        <v>333</v>
      </c>
      <c r="J100" s="252" t="s">
        <v>96</v>
      </c>
      <c r="K100" s="253" t="s">
        <v>1905</v>
      </c>
      <c r="L100" s="252" t="s">
        <v>2089</v>
      </c>
      <c r="M100" s="248"/>
      <c r="N100" s="248"/>
      <c r="O100" s="248"/>
    </row>
    <row r="101" spans="1:15" hidden="1">
      <c r="A101" s="247">
        <v>45680</v>
      </c>
      <c r="B101" s="248" t="s">
        <v>102</v>
      </c>
      <c r="C101" s="248" t="s">
        <v>125</v>
      </c>
      <c r="D101" s="249" t="s">
        <v>117</v>
      </c>
      <c r="E101" s="250">
        <v>1311000</v>
      </c>
      <c r="F101" s="250">
        <v>2198.9523526777402</v>
      </c>
      <c r="G101" s="251">
        <v>596.19299999999998</v>
      </c>
      <c r="H101" s="252" t="s">
        <v>146</v>
      </c>
      <c r="I101" s="252" t="s">
        <v>131</v>
      </c>
      <c r="J101" s="252" t="s">
        <v>96</v>
      </c>
      <c r="K101" s="253" t="s">
        <v>1905</v>
      </c>
      <c r="L101" s="252" t="s">
        <v>2089</v>
      </c>
      <c r="M101" s="248"/>
      <c r="N101" s="248"/>
      <c r="O101" s="248"/>
    </row>
    <row r="102" spans="1:15" hidden="1">
      <c r="A102" s="247">
        <v>45680</v>
      </c>
      <c r="B102" s="248" t="s">
        <v>103</v>
      </c>
      <c r="C102" s="248" t="s">
        <v>125</v>
      </c>
      <c r="D102" s="249" t="s">
        <v>115</v>
      </c>
      <c r="E102" s="250">
        <v>200000</v>
      </c>
      <c r="F102" s="250">
        <v>335.46183869988408</v>
      </c>
      <c r="G102" s="251">
        <v>596.19299999999998</v>
      </c>
      <c r="H102" s="252" t="s">
        <v>146</v>
      </c>
      <c r="I102" s="252" t="s">
        <v>132</v>
      </c>
      <c r="J102" s="252" t="s">
        <v>96</v>
      </c>
      <c r="K102" s="253" t="s">
        <v>1905</v>
      </c>
      <c r="L102" s="252" t="s">
        <v>2089</v>
      </c>
      <c r="M102" s="248"/>
      <c r="N102" s="248"/>
      <c r="O102" s="248"/>
    </row>
    <row r="103" spans="1:15" hidden="1">
      <c r="A103" s="247">
        <v>45680</v>
      </c>
      <c r="B103" s="248" t="s">
        <v>104</v>
      </c>
      <c r="C103" s="248" t="s">
        <v>125</v>
      </c>
      <c r="D103" s="248" t="s">
        <v>116</v>
      </c>
      <c r="E103" s="250">
        <v>551482</v>
      </c>
      <c r="F103" s="250">
        <v>925.00582864944738</v>
      </c>
      <c r="G103" s="251">
        <v>596.19299999999998</v>
      </c>
      <c r="H103" s="252" t="s">
        <v>146</v>
      </c>
      <c r="I103" s="252" t="s">
        <v>133</v>
      </c>
      <c r="J103" s="252" t="s">
        <v>96</v>
      </c>
      <c r="K103" s="253" t="s">
        <v>1905</v>
      </c>
      <c r="L103" s="252" t="s">
        <v>2089</v>
      </c>
      <c r="M103" s="248"/>
      <c r="N103" s="248"/>
      <c r="O103" s="248"/>
    </row>
    <row r="104" spans="1:15" hidden="1">
      <c r="A104" s="247">
        <v>45680</v>
      </c>
      <c r="B104" s="248" t="s">
        <v>105</v>
      </c>
      <c r="C104" s="248" t="s">
        <v>125</v>
      </c>
      <c r="D104" s="249" t="s">
        <v>115</v>
      </c>
      <c r="E104" s="250">
        <v>384789</v>
      </c>
      <c r="F104" s="250">
        <v>645.41012725744849</v>
      </c>
      <c r="G104" s="251">
        <v>596.19299999999998</v>
      </c>
      <c r="H104" s="252" t="s">
        <v>146</v>
      </c>
      <c r="I104" s="252" t="s">
        <v>134</v>
      </c>
      <c r="J104" s="252" t="s">
        <v>96</v>
      </c>
      <c r="K104" s="253" t="s">
        <v>1905</v>
      </c>
      <c r="L104" s="252" t="s">
        <v>2089</v>
      </c>
      <c r="M104" s="248"/>
      <c r="N104" s="248"/>
      <c r="O104" s="248"/>
    </row>
    <row r="105" spans="1:15" hidden="1">
      <c r="A105" s="247">
        <v>45680</v>
      </c>
      <c r="B105" s="248" t="s">
        <v>106</v>
      </c>
      <c r="C105" s="248" t="s">
        <v>125</v>
      </c>
      <c r="D105" s="249" t="s">
        <v>115</v>
      </c>
      <c r="E105" s="250">
        <v>336400</v>
      </c>
      <c r="F105" s="250">
        <v>564.24681269320502</v>
      </c>
      <c r="G105" s="251">
        <v>596.19299999999998</v>
      </c>
      <c r="H105" s="252" t="s">
        <v>146</v>
      </c>
      <c r="I105" s="252" t="s">
        <v>135</v>
      </c>
      <c r="J105" s="252" t="s">
        <v>96</v>
      </c>
      <c r="K105" s="253" t="s">
        <v>1905</v>
      </c>
      <c r="L105" s="252" t="s">
        <v>2089</v>
      </c>
      <c r="M105" s="248"/>
      <c r="N105" s="248"/>
      <c r="O105" s="248"/>
    </row>
    <row r="106" spans="1:15" hidden="1">
      <c r="A106" s="247">
        <v>45680</v>
      </c>
      <c r="B106" s="248" t="s">
        <v>107</v>
      </c>
      <c r="C106" s="248" t="s">
        <v>125</v>
      </c>
      <c r="D106" s="249" t="s">
        <v>115</v>
      </c>
      <c r="E106" s="250">
        <v>200000</v>
      </c>
      <c r="F106" s="250">
        <v>335.46183869988408</v>
      </c>
      <c r="G106" s="251">
        <v>596.19299999999998</v>
      </c>
      <c r="H106" s="252" t="s">
        <v>146</v>
      </c>
      <c r="I106" s="252" t="s">
        <v>136</v>
      </c>
      <c r="J106" s="252" t="s">
        <v>96</v>
      </c>
      <c r="K106" s="253" t="s">
        <v>1905</v>
      </c>
      <c r="L106" s="252" t="s">
        <v>2089</v>
      </c>
      <c r="M106" s="248"/>
      <c r="N106" s="248"/>
      <c r="O106" s="248"/>
    </row>
    <row r="107" spans="1:15" hidden="1">
      <c r="A107" s="247">
        <v>45680</v>
      </c>
      <c r="B107" s="248" t="s">
        <v>108</v>
      </c>
      <c r="C107" s="248" t="s">
        <v>125</v>
      </c>
      <c r="D107" s="249" t="s">
        <v>115</v>
      </c>
      <c r="E107" s="250">
        <v>200000</v>
      </c>
      <c r="F107" s="250">
        <v>335.46183869988408</v>
      </c>
      <c r="G107" s="251">
        <v>596.19299999999998</v>
      </c>
      <c r="H107" s="252" t="s">
        <v>146</v>
      </c>
      <c r="I107" s="252" t="s">
        <v>137</v>
      </c>
      <c r="J107" s="252" t="s">
        <v>96</v>
      </c>
      <c r="K107" s="253" t="s">
        <v>1905</v>
      </c>
      <c r="L107" s="252" t="s">
        <v>2089</v>
      </c>
      <c r="M107" s="248"/>
      <c r="N107" s="248"/>
      <c r="O107" s="248"/>
    </row>
    <row r="108" spans="1:15" hidden="1">
      <c r="A108" s="247">
        <v>45680</v>
      </c>
      <c r="B108" s="248" t="s">
        <v>109</v>
      </c>
      <c r="C108" s="248" t="s">
        <v>125</v>
      </c>
      <c r="D108" s="248" t="s">
        <v>118</v>
      </c>
      <c r="E108" s="250">
        <v>238140</v>
      </c>
      <c r="F108" s="250">
        <v>399.43441133995202</v>
      </c>
      <c r="G108" s="251">
        <v>596.19299999999998</v>
      </c>
      <c r="H108" s="252" t="s">
        <v>146</v>
      </c>
      <c r="I108" s="252" t="s">
        <v>138</v>
      </c>
      <c r="J108" s="252" t="s">
        <v>96</v>
      </c>
      <c r="K108" s="253" t="s">
        <v>1905</v>
      </c>
      <c r="L108" s="252" t="s">
        <v>2089</v>
      </c>
      <c r="M108" s="248"/>
      <c r="N108" s="248"/>
      <c r="O108" s="248"/>
    </row>
    <row r="109" spans="1:15" hidden="1">
      <c r="A109" s="247">
        <v>45681</v>
      </c>
      <c r="B109" s="248" t="s">
        <v>334</v>
      </c>
      <c r="C109" s="254" t="s">
        <v>172</v>
      </c>
      <c r="D109" s="249" t="s">
        <v>115</v>
      </c>
      <c r="E109" s="250">
        <v>7000</v>
      </c>
      <c r="F109" s="250">
        <v>11.741164354495943</v>
      </c>
      <c r="G109" s="251">
        <v>596.19299999999998</v>
      </c>
      <c r="H109" s="252" t="s">
        <v>198</v>
      </c>
      <c r="I109" s="252" t="s">
        <v>335</v>
      </c>
      <c r="J109" s="252" t="s">
        <v>96</v>
      </c>
      <c r="K109" s="253" t="s">
        <v>1905</v>
      </c>
      <c r="L109" s="252" t="s">
        <v>2089</v>
      </c>
      <c r="M109" s="248"/>
      <c r="N109" s="248"/>
      <c r="O109" s="248"/>
    </row>
    <row r="110" spans="1:15" hidden="1">
      <c r="A110" s="247">
        <v>45681</v>
      </c>
      <c r="B110" s="248" t="s">
        <v>4790</v>
      </c>
      <c r="C110" s="254" t="s">
        <v>172</v>
      </c>
      <c r="D110" s="249" t="s">
        <v>440</v>
      </c>
      <c r="E110" s="250">
        <v>5000</v>
      </c>
      <c r="F110" s="250">
        <v>8.3865459674971028</v>
      </c>
      <c r="G110" s="251">
        <v>596.19299999999998</v>
      </c>
      <c r="H110" s="252" t="s">
        <v>315</v>
      </c>
      <c r="I110" s="252" t="s">
        <v>336</v>
      </c>
      <c r="J110" s="252" t="s">
        <v>96</v>
      </c>
      <c r="K110" s="253" t="s">
        <v>1905</v>
      </c>
      <c r="L110" s="252" t="s">
        <v>2089</v>
      </c>
      <c r="M110" s="248"/>
      <c r="N110" s="248"/>
      <c r="O110" s="248"/>
    </row>
    <row r="111" spans="1:15" hidden="1">
      <c r="A111" s="247">
        <v>45681</v>
      </c>
      <c r="B111" s="248" t="s">
        <v>4790</v>
      </c>
      <c r="C111" s="254" t="s">
        <v>172</v>
      </c>
      <c r="D111" s="249" t="s">
        <v>440</v>
      </c>
      <c r="E111" s="250">
        <v>5000</v>
      </c>
      <c r="F111" s="250">
        <v>8.3865459674971028</v>
      </c>
      <c r="G111" s="251">
        <v>596.19299999999998</v>
      </c>
      <c r="H111" s="252" t="s">
        <v>315</v>
      </c>
      <c r="I111" s="252" t="s">
        <v>337</v>
      </c>
      <c r="J111" s="252" t="s">
        <v>96</v>
      </c>
      <c r="K111" s="253" t="s">
        <v>1905</v>
      </c>
      <c r="L111" s="252" t="s">
        <v>2089</v>
      </c>
      <c r="M111" s="248"/>
      <c r="N111" s="248"/>
      <c r="O111" s="248"/>
    </row>
    <row r="112" spans="1:15" hidden="1">
      <c r="A112" s="247">
        <v>45681</v>
      </c>
      <c r="B112" s="248" t="s">
        <v>4778</v>
      </c>
      <c r="C112" s="254" t="s">
        <v>175</v>
      </c>
      <c r="D112" s="249" t="s">
        <v>440</v>
      </c>
      <c r="E112" s="250">
        <v>30000</v>
      </c>
      <c r="F112" s="250">
        <v>50.319275804982617</v>
      </c>
      <c r="G112" s="251">
        <v>596.19299999999998</v>
      </c>
      <c r="H112" s="252" t="s">
        <v>182</v>
      </c>
      <c r="I112" s="252" t="s">
        <v>338</v>
      </c>
      <c r="J112" s="252" t="s">
        <v>96</v>
      </c>
      <c r="K112" s="253" t="s">
        <v>1905</v>
      </c>
      <c r="L112" s="252" t="s">
        <v>2089</v>
      </c>
      <c r="M112" s="248"/>
      <c r="N112" s="248"/>
      <c r="O112" s="248"/>
    </row>
    <row r="113" spans="1:15" hidden="1">
      <c r="A113" s="247">
        <v>45681</v>
      </c>
      <c r="B113" s="248" t="s">
        <v>4758</v>
      </c>
      <c r="C113" s="254" t="s">
        <v>172</v>
      </c>
      <c r="D113" s="249" t="s">
        <v>440</v>
      </c>
      <c r="E113" s="250">
        <v>6000</v>
      </c>
      <c r="F113" s="250">
        <v>10.063855160996523</v>
      </c>
      <c r="G113" s="251">
        <v>596.19299999999998</v>
      </c>
      <c r="H113" s="252" t="s">
        <v>182</v>
      </c>
      <c r="I113" s="252" t="s">
        <v>339</v>
      </c>
      <c r="J113" s="252" t="s">
        <v>96</v>
      </c>
      <c r="K113" s="253" t="s">
        <v>1905</v>
      </c>
      <c r="L113" s="252" t="s">
        <v>2089</v>
      </c>
      <c r="M113" s="248"/>
      <c r="N113" s="248"/>
      <c r="O113" s="248"/>
    </row>
    <row r="114" spans="1:15" hidden="1">
      <c r="A114" s="247">
        <v>45681</v>
      </c>
      <c r="B114" s="248" t="s">
        <v>4754</v>
      </c>
      <c r="C114" s="254" t="s">
        <v>175</v>
      </c>
      <c r="D114" s="249" t="s">
        <v>440</v>
      </c>
      <c r="E114" s="250">
        <v>30000</v>
      </c>
      <c r="F114" s="250">
        <v>50.319275804982617</v>
      </c>
      <c r="G114" s="251">
        <v>596.19299999999998</v>
      </c>
      <c r="H114" s="252" t="s">
        <v>173</v>
      </c>
      <c r="I114" s="252" t="s">
        <v>340</v>
      </c>
      <c r="J114" s="252" t="s">
        <v>96</v>
      </c>
      <c r="K114" s="253" t="s">
        <v>1905</v>
      </c>
      <c r="L114" s="252" t="s">
        <v>2089</v>
      </c>
      <c r="M114" s="248"/>
      <c r="N114" s="248"/>
      <c r="O114" s="248"/>
    </row>
    <row r="115" spans="1:15" hidden="1">
      <c r="A115" s="247">
        <v>45681</v>
      </c>
      <c r="B115" s="248" t="s">
        <v>4756</v>
      </c>
      <c r="C115" s="254" t="s">
        <v>172</v>
      </c>
      <c r="D115" s="249" t="s">
        <v>440</v>
      </c>
      <c r="E115" s="250">
        <v>15000</v>
      </c>
      <c r="F115" s="250">
        <v>25.159637902491308</v>
      </c>
      <c r="G115" s="251">
        <v>596.19299999999998</v>
      </c>
      <c r="H115" s="252" t="s">
        <v>173</v>
      </c>
      <c r="I115" s="252" t="s">
        <v>341</v>
      </c>
      <c r="J115" s="252" t="s">
        <v>96</v>
      </c>
      <c r="K115" s="253" t="s">
        <v>1905</v>
      </c>
      <c r="L115" s="252" t="s">
        <v>2089</v>
      </c>
      <c r="M115" s="248"/>
      <c r="N115" s="248"/>
      <c r="O115" s="248"/>
    </row>
    <row r="116" spans="1:15" hidden="1">
      <c r="A116" s="247">
        <v>45681</v>
      </c>
      <c r="B116" s="248" t="s">
        <v>4791</v>
      </c>
      <c r="C116" s="254" t="s">
        <v>175</v>
      </c>
      <c r="D116" s="249" t="s">
        <v>440</v>
      </c>
      <c r="E116" s="250">
        <v>30000</v>
      </c>
      <c r="F116" s="250">
        <v>50.319275804982617</v>
      </c>
      <c r="G116" s="251">
        <v>596.19299999999998</v>
      </c>
      <c r="H116" s="252" t="s">
        <v>321</v>
      </c>
      <c r="I116" s="252" t="s">
        <v>342</v>
      </c>
      <c r="J116" s="252" t="s">
        <v>96</v>
      </c>
      <c r="K116" s="253" t="s">
        <v>1905</v>
      </c>
      <c r="L116" s="252" t="s">
        <v>2089</v>
      </c>
      <c r="M116" s="248"/>
      <c r="N116" s="248"/>
      <c r="O116" s="248"/>
    </row>
    <row r="117" spans="1:15" hidden="1">
      <c r="A117" s="247">
        <v>45681</v>
      </c>
      <c r="B117" s="248" t="s">
        <v>4792</v>
      </c>
      <c r="C117" s="254" t="s">
        <v>172</v>
      </c>
      <c r="D117" s="249" t="s">
        <v>440</v>
      </c>
      <c r="E117" s="250">
        <v>8000</v>
      </c>
      <c r="F117" s="250">
        <v>13.418473547995363</v>
      </c>
      <c r="G117" s="251">
        <v>596.19299999999998</v>
      </c>
      <c r="H117" s="252" t="s">
        <v>321</v>
      </c>
      <c r="I117" s="252" t="s">
        <v>343</v>
      </c>
      <c r="J117" s="252" t="s">
        <v>96</v>
      </c>
      <c r="K117" s="253" t="s">
        <v>1905</v>
      </c>
      <c r="L117" s="252" t="s">
        <v>2089</v>
      </c>
      <c r="M117" s="248"/>
      <c r="N117" s="248"/>
      <c r="O117" s="248"/>
    </row>
    <row r="118" spans="1:15" hidden="1">
      <c r="A118" s="247">
        <v>45681</v>
      </c>
      <c r="B118" s="248" t="s">
        <v>344</v>
      </c>
      <c r="C118" s="254" t="s">
        <v>172</v>
      </c>
      <c r="D118" s="249" t="s">
        <v>115</v>
      </c>
      <c r="E118" s="250">
        <v>7000</v>
      </c>
      <c r="F118" s="250">
        <v>11.741164354495943</v>
      </c>
      <c r="G118" s="251">
        <v>596.19299999999998</v>
      </c>
      <c r="H118" s="252" t="s">
        <v>185</v>
      </c>
      <c r="I118" s="252" t="s">
        <v>309</v>
      </c>
      <c r="J118" s="252" t="s">
        <v>96</v>
      </c>
      <c r="K118" s="253" t="s">
        <v>1905</v>
      </c>
      <c r="L118" s="252" t="s">
        <v>2089</v>
      </c>
      <c r="M118" s="248"/>
      <c r="N118" s="248"/>
      <c r="O118" s="248"/>
    </row>
    <row r="119" spans="1:15" hidden="1">
      <c r="A119" s="247">
        <v>45682</v>
      </c>
      <c r="B119" s="248" t="s">
        <v>345</v>
      </c>
      <c r="C119" s="254" t="s">
        <v>175</v>
      </c>
      <c r="D119" s="249" t="s">
        <v>115</v>
      </c>
      <c r="E119" s="250">
        <v>150000</v>
      </c>
      <c r="F119" s="250">
        <v>251.59637902491309</v>
      </c>
      <c r="G119" s="251">
        <v>596.19299999999998</v>
      </c>
      <c r="H119" s="252" t="s">
        <v>198</v>
      </c>
      <c r="I119" s="252" t="s">
        <v>346</v>
      </c>
      <c r="J119" s="252" t="s">
        <v>96</v>
      </c>
      <c r="K119" s="253" t="s">
        <v>1905</v>
      </c>
      <c r="L119" s="252" t="s">
        <v>2089</v>
      </c>
      <c r="M119" s="248"/>
      <c r="N119" s="248"/>
      <c r="O119" s="248"/>
    </row>
    <row r="120" spans="1:15" hidden="1">
      <c r="A120" s="247">
        <v>45682</v>
      </c>
      <c r="B120" s="248" t="s">
        <v>347</v>
      </c>
      <c r="C120" s="254" t="s">
        <v>172</v>
      </c>
      <c r="D120" s="249" t="s">
        <v>115</v>
      </c>
      <c r="E120" s="250">
        <v>13500</v>
      </c>
      <c r="F120" s="250">
        <v>22.643674112242177</v>
      </c>
      <c r="G120" s="251">
        <v>596.19299999999998</v>
      </c>
      <c r="H120" s="252" t="s">
        <v>198</v>
      </c>
      <c r="I120" s="252" t="s">
        <v>348</v>
      </c>
      <c r="J120" s="252" t="s">
        <v>96</v>
      </c>
      <c r="K120" s="253" t="s">
        <v>1905</v>
      </c>
      <c r="L120" s="252" t="s">
        <v>2089</v>
      </c>
      <c r="M120" s="248"/>
      <c r="N120" s="248"/>
      <c r="O120" s="248"/>
    </row>
    <row r="121" spans="1:15" hidden="1">
      <c r="A121" s="247">
        <v>45682</v>
      </c>
      <c r="B121" s="248" t="s">
        <v>349</v>
      </c>
      <c r="C121" s="254" t="s">
        <v>175</v>
      </c>
      <c r="D121" s="249" t="s">
        <v>115</v>
      </c>
      <c r="E121" s="250">
        <v>240000</v>
      </c>
      <c r="F121" s="250">
        <v>402.55420643986093</v>
      </c>
      <c r="G121" s="251">
        <v>596.19299999999998</v>
      </c>
      <c r="H121" s="252" t="s">
        <v>185</v>
      </c>
      <c r="I121" s="252" t="s">
        <v>350</v>
      </c>
      <c r="J121" s="252" t="s">
        <v>96</v>
      </c>
      <c r="K121" s="253" t="s">
        <v>1905</v>
      </c>
      <c r="L121" s="252" t="s">
        <v>2089</v>
      </c>
      <c r="M121" s="248"/>
      <c r="N121" s="248"/>
      <c r="O121" s="248"/>
    </row>
    <row r="122" spans="1:15" hidden="1">
      <c r="A122" s="247">
        <v>45683</v>
      </c>
      <c r="B122" s="248" t="s">
        <v>4793</v>
      </c>
      <c r="C122" s="254" t="s">
        <v>175</v>
      </c>
      <c r="D122" s="249" t="s">
        <v>440</v>
      </c>
      <c r="E122" s="250">
        <v>60000</v>
      </c>
      <c r="F122" s="250">
        <v>100.63855160996523</v>
      </c>
      <c r="G122" s="251">
        <v>596.19299999999998</v>
      </c>
      <c r="H122" s="252" t="s">
        <v>315</v>
      </c>
      <c r="I122" s="252" t="s">
        <v>351</v>
      </c>
      <c r="J122" s="252" t="s">
        <v>96</v>
      </c>
      <c r="K122" s="253" t="s">
        <v>1905</v>
      </c>
      <c r="L122" s="252" t="s">
        <v>2089</v>
      </c>
      <c r="M122" s="248"/>
      <c r="N122" s="248"/>
      <c r="O122" s="248"/>
    </row>
    <row r="123" spans="1:15" hidden="1">
      <c r="A123" s="247">
        <v>45683</v>
      </c>
      <c r="B123" s="248" t="s">
        <v>4749</v>
      </c>
      <c r="C123" s="254" t="s">
        <v>172</v>
      </c>
      <c r="D123" s="249" t="s">
        <v>440</v>
      </c>
      <c r="E123" s="250">
        <v>3000</v>
      </c>
      <c r="F123" s="250">
        <v>5.0319275804982615</v>
      </c>
      <c r="G123" s="251">
        <v>596.19299999999998</v>
      </c>
      <c r="H123" s="252" t="s">
        <v>315</v>
      </c>
      <c r="I123" s="252" t="s">
        <v>352</v>
      </c>
      <c r="J123" s="252" t="s">
        <v>96</v>
      </c>
      <c r="K123" s="253" t="s">
        <v>1905</v>
      </c>
      <c r="L123" s="252" t="s">
        <v>2089</v>
      </c>
      <c r="M123" s="248"/>
      <c r="N123" s="248"/>
      <c r="O123" s="248"/>
    </row>
    <row r="124" spans="1:15" hidden="1">
      <c r="A124" s="247">
        <v>45683</v>
      </c>
      <c r="B124" s="248" t="s">
        <v>4778</v>
      </c>
      <c r="C124" s="254" t="s">
        <v>175</v>
      </c>
      <c r="D124" s="249" t="s">
        <v>440</v>
      </c>
      <c r="E124" s="250">
        <v>30000</v>
      </c>
      <c r="F124" s="250">
        <v>50.319275804982617</v>
      </c>
      <c r="G124" s="251">
        <v>596.19299999999998</v>
      </c>
      <c r="H124" s="252" t="s">
        <v>182</v>
      </c>
      <c r="I124" s="252" t="s">
        <v>353</v>
      </c>
      <c r="J124" s="252" t="s">
        <v>96</v>
      </c>
      <c r="K124" s="253" t="s">
        <v>1905</v>
      </c>
      <c r="L124" s="252" t="s">
        <v>2089</v>
      </c>
      <c r="M124" s="248"/>
      <c r="N124" s="248"/>
      <c r="O124" s="248"/>
    </row>
    <row r="125" spans="1:15" hidden="1">
      <c r="A125" s="247">
        <v>45683</v>
      </c>
      <c r="B125" s="248" t="s">
        <v>4758</v>
      </c>
      <c r="C125" s="254" t="s">
        <v>172</v>
      </c>
      <c r="D125" s="249" t="s">
        <v>440</v>
      </c>
      <c r="E125" s="250">
        <v>6000</v>
      </c>
      <c r="F125" s="250">
        <v>10.063855160996523</v>
      </c>
      <c r="G125" s="251">
        <v>596.19299999999998</v>
      </c>
      <c r="H125" s="252" t="s">
        <v>182</v>
      </c>
      <c r="I125" s="252" t="s">
        <v>354</v>
      </c>
      <c r="J125" s="252" t="s">
        <v>96</v>
      </c>
      <c r="K125" s="253" t="s">
        <v>1905</v>
      </c>
      <c r="L125" s="252" t="s">
        <v>2089</v>
      </c>
      <c r="M125" s="248"/>
      <c r="N125" s="248"/>
      <c r="O125" s="248"/>
    </row>
    <row r="126" spans="1:15" hidden="1">
      <c r="A126" s="247">
        <v>45683</v>
      </c>
      <c r="B126" s="248" t="s">
        <v>4758</v>
      </c>
      <c r="C126" s="254" t="s">
        <v>172</v>
      </c>
      <c r="D126" s="249" t="s">
        <v>440</v>
      </c>
      <c r="E126" s="250">
        <v>5000</v>
      </c>
      <c r="F126" s="250">
        <v>8.3865459674971028</v>
      </c>
      <c r="G126" s="251">
        <v>596.19299999999998</v>
      </c>
      <c r="H126" s="252" t="s">
        <v>182</v>
      </c>
      <c r="I126" s="252" t="s">
        <v>355</v>
      </c>
      <c r="J126" s="252" t="s">
        <v>96</v>
      </c>
      <c r="K126" s="253" t="s">
        <v>1905</v>
      </c>
      <c r="L126" s="252" t="s">
        <v>2089</v>
      </c>
      <c r="M126" s="248"/>
      <c r="N126" s="248"/>
      <c r="O126" s="248"/>
    </row>
    <row r="127" spans="1:15" hidden="1">
      <c r="A127" s="247">
        <v>45683</v>
      </c>
      <c r="B127" s="248" t="s">
        <v>4754</v>
      </c>
      <c r="C127" s="254" t="s">
        <v>175</v>
      </c>
      <c r="D127" s="249" t="s">
        <v>440</v>
      </c>
      <c r="E127" s="250">
        <v>30000</v>
      </c>
      <c r="F127" s="250">
        <v>50.319275804982617</v>
      </c>
      <c r="G127" s="251">
        <v>596.19299999999998</v>
      </c>
      <c r="H127" s="252" t="s">
        <v>173</v>
      </c>
      <c r="I127" s="252" t="s">
        <v>356</v>
      </c>
      <c r="J127" s="252" t="s">
        <v>96</v>
      </c>
      <c r="K127" s="253" t="s">
        <v>1905</v>
      </c>
      <c r="L127" s="252" t="s">
        <v>2089</v>
      </c>
      <c r="M127" s="248"/>
      <c r="N127" s="248"/>
      <c r="O127" s="248"/>
    </row>
    <row r="128" spans="1:15" hidden="1">
      <c r="A128" s="247">
        <v>45683</v>
      </c>
      <c r="B128" s="248" t="s">
        <v>4794</v>
      </c>
      <c r="C128" s="254" t="s">
        <v>172</v>
      </c>
      <c r="D128" s="249" t="s">
        <v>440</v>
      </c>
      <c r="E128" s="250">
        <v>7000</v>
      </c>
      <c r="F128" s="250">
        <v>11.741164354495943</v>
      </c>
      <c r="G128" s="251">
        <v>596.19299999999998</v>
      </c>
      <c r="H128" s="252" t="s">
        <v>173</v>
      </c>
      <c r="I128" s="252" t="s">
        <v>357</v>
      </c>
      <c r="J128" s="252" t="s">
        <v>96</v>
      </c>
      <c r="K128" s="253" t="s">
        <v>1905</v>
      </c>
      <c r="L128" s="252" t="s">
        <v>2089</v>
      </c>
      <c r="M128" s="248"/>
      <c r="N128" s="248"/>
      <c r="O128" s="248"/>
    </row>
    <row r="129" spans="1:15" hidden="1">
      <c r="A129" s="247">
        <v>45683</v>
      </c>
      <c r="B129" s="248" t="s">
        <v>4795</v>
      </c>
      <c r="C129" s="254" t="s">
        <v>175</v>
      </c>
      <c r="D129" s="249" t="s">
        <v>440</v>
      </c>
      <c r="E129" s="250">
        <v>30000</v>
      </c>
      <c r="F129" s="250">
        <v>50.319275804982617</v>
      </c>
      <c r="G129" s="251">
        <v>596.19299999999998</v>
      </c>
      <c r="H129" s="252" t="s">
        <v>321</v>
      </c>
      <c r="I129" s="252" t="s">
        <v>358</v>
      </c>
      <c r="J129" s="252" t="s">
        <v>96</v>
      </c>
      <c r="K129" s="253" t="s">
        <v>1905</v>
      </c>
      <c r="L129" s="252" t="s">
        <v>2089</v>
      </c>
      <c r="M129" s="248"/>
      <c r="N129" s="248"/>
      <c r="O129" s="248"/>
    </row>
    <row r="130" spans="1:15" hidden="1">
      <c r="A130" s="247">
        <v>45683</v>
      </c>
      <c r="B130" s="248" t="s">
        <v>4796</v>
      </c>
      <c r="C130" s="254" t="s">
        <v>172</v>
      </c>
      <c r="D130" s="249" t="s">
        <v>440</v>
      </c>
      <c r="E130" s="250">
        <v>5000</v>
      </c>
      <c r="F130" s="250">
        <v>8.3865459674971028</v>
      </c>
      <c r="G130" s="251">
        <v>596.19299999999998</v>
      </c>
      <c r="H130" s="252" t="s">
        <v>321</v>
      </c>
      <c r="I130" s="252" t="s">
        <v>359</v>
      </c>
      <c r="J130" s="252" t="s">
        <v>96</v>
      </c>
      <c r="K130" s="253" t="s">
        <v>1905</v>
      </c>
      <c r="L130" s="252" t="s">
        <v>2089</v>
      </c>
      <c r="M130" s="248"/>
      <c r="N130" s="248"/>
      <c r="O130" s="248"/>
    </row>
    <row r="131" spans="1:15" hidden="1">
      <c r="A131" s="247">
        <v>45684</v>
      </c>
      <c r="B131" s="248" t="s">
        <v>360</v>
      </c>
      <c r="C131" s="248" t="s">
        <v>125</v>
      </c>
      <c r="D131" s="249" t="s">
        <v>115</v>
      </c>
      <c r="E131" s="250">
        <v>127070</v>
      </c>
      <c r="F131" s="250">
        <v>213.13567921797136</v>
      </c>
      <c r="G131" s="251">
        <v>596.19299999999998</v>
      </c>
      <c r="H131" s="252" t="s">
        <v>155</v>
      </c>
      <c r="I131" s="252" t="s">
        <v>361</v>
      </c>
      <c r="J131" s="252" t="s">
        <v>96</v>
      </c>
      <c r="K131" s="253" t="s">
        <v>1905</v>
      </c>
      <c r="L131" s="252" t="s">
        <v>2089</v>
      </c>
      <c r="M131" s="248"/>
      <c r="N131" s="248"/>
      <c r="O131" s="248"/>
    </row>
    <row r="132" spans="1:15" hidden="1">
      <c r="A132" s="247">
        <v>45684</v>
      </c>
      <c r="B132" s="248" t="s">
        <v>362</v>
      </c>
      <c r="C132" s="254" t="s">
        <v>363</v>
      </c>
      <c r="D132" s="249" t="s">
        <v>440</v>
      </c>
      <c r="E132" s="250">
        <v>17500</v>
      </c>
      <c r="F132" s="250">
        <v>30.690178266092612</v>
      </c>
      <c r="G132" s="251">
        <v>570.21500000000003</v>
      </c>
      <c r="H132" s="252" t="s">
        <v>315</v>
      </c>
      <c r="I132" s="252" t="s">
        <v>364</v>
      </c>
      <c r="J132" s="252" t="s">
        <v>96</v>
      </c>
      <c r="K132" s="253" t="s">
        <v>1905</v>
      </c>
      <c r="L132" s="252" t="s">
        <v>2089</v>
      </c>
      <c r="M132" s="248"/>
      <c r="N132" s="248"/>
      <c r="O132" s="248"/>
    </row>
    <row r="133" spans="1:15" hidden="1">
      <c r="A133" s="247">
        <v>45684</v>
      </c>
      <c r="B133" s="248" t="s">
        <v>365</v>
      </c>
      <c r="C133" s="254" t="s">
        <v>363</v>
      </c>
      <c r="D133" s="249" t="s">
        <v>440</v>
      </c>
      <c r="E133" s="250">
        <v>6000</v>
      </c>
      <c r="F133" s="250">
        <v>10.522346834088896</v>
      </c>
      <c r="G133" s="251">
        <v>570.21500000000003</v>
      </c>
      <c r="H133" s="252" t="s">
        <v>321</v>
      </c>
      <c r="I133" s="252" t="s">
        <v>367</v>
      </c>
      <c r="J133" s="252" t="s">
        <v>96</v>
      </c>
      <c r="K133" s="253" t="s">
        <v>1905</v>
      </c>
      <c r="L133" s="252" t="s">
        <v>2089</v>
      </c>
      <c r="M133" s="248"/>
      <c r="N133" s="248"/>
      <c r="O133" s="248"/>
    </row>
    <row r="134" spans="1:15" hidden="1">
      <c r="A134" s="247">
        <v>45684</v>
      </c>
      <c r="B134" s="248" t="s">
        <v>368</v>
      </c>
      <c r="C134" s="248" t="s">
        <v>125</v>
      </c>
      <c r="D134" s="249" t="s">
        <v>115</v>
      </c>
      <c r="E134" s="250">
        <v>30000</v>
      </c>
      <c r="F134" s="250">
        <v>50.319275804982617</v>
      </c>
      <c r="G134" s="251">
        <v>596.19299999999998</v>
      </c>
      <c r="H134" s="252" t="s">
        <v>195</v>
      </c>
      <c r="I134" s="252" t="s">
        <v>369</v>
      </c>
      <c r="J134" s="252" t="s">
        <v>96</v>
      </c>
      <c r="K134" s="253" t="s">
        <v>1905</v>
      </c>
      <c r="L134" s="252" t="s">
        <v>2089</v>
      </c>
      <c r="M134" s="248"/>
      <c r="N134" s="248"/>
      <c r="O134" s="248"/>
    </row>
    <row r="135" spans="1:15" hidden="1">
      <c r="A135" s="247">
        <v>45684</v>
      </c>
      <c r="B135" s="248" t="s">
        <v>370</v>
      </c>
      <c r="C135" s="248" t="s">
        <v>263</v>
      </c>
      <c r="D135" s="248" t="s">
        <v>2091</v>
      </c>
      <c r="E135" s="250">
        <v>30000</v>
      </c>
      <c r="F135" s="250">
        <v>52.611734170444478</v>
      </c>
      <c r="G135" s="251">
        <v>570.21500000000003</v>
      </c>
      <c r="H135" s="252" t="s">
        <v>195</v>
      </c>
      <c r="I135" s="252" t="s">
        <v>371</v>
      </c>
      <c r="J135" s="252" t="s">
        <v>96</v>
      </c>
      <c r="K135" s="253" t="s">
        <v>1905</v>
      </c>
      <c r="L135" s="252" t="s">
        <v>2089</v>
      </c>
      <c r="M135" s="248"/>
      <c r="N135" s="248"/>
      <c r="O135" s="248"/>
    </row>
    <row r="136" spans="1:15" hidden="1">
      <c r="A136" s="247">
        <v>45685</v>
      </c>
      <c r="B136" s="248" t="s">
        <v>372</v>
      </c>
      <c r="C136" s="248" t="s">
        <v>125</v>
      </c>
      <c r="D136" s="249" t="s">
        <v>117</v>
      </c>
      <c r="E136" s="250">
        <v>150000</v>
      </c>
      <c r="F136" s="250">
        <v>251.59637902491309</v>
      </c>
      <c r="G136" s="251">
        <v>596.19299999999998</v>
      </c>
      <c r="H136" s="252" t="s">
        <v>151</v>
      </c>
      <c r="I136" s="252" t="s">
        <v>373</v>
      </c>
      <c r="J136" s="252" t="s">
        <v>96</v>
      </c>
      <c r="K136" s="253" t="s">
        <v>1905</v>
      </c>
      <c r="L136" s="252" t="s">
        <v>2089</v>
      </c>
      <c r="M136" s="248"/>
      <c r="N136" s="248"/>
      <c r="O136" s="248"/>
    </row>
    <row r="137" spans="1:15" hidden="1">
      <c r="A137" s="247">
        <v>45685</v>
      </c>
      <c r="B137" s="248" t="s">
        <v>4793</v>
      </c>
      <c r="C137" s="254" t="s">
        <v>175</v>
      </c>
      <c r="D137" s="249" t="s">
        <v>440</v>
      </c>
      <c r="E137" s="250">
        <v>30000</v>
      </c>
      <c r="F137" s="250">
        <v>50.319275804982617</v>
      </c>
      <c r="G137" s="251">
        <v>596.19299999999998</v>
      </c>
      <c r="H137" s="252" t="s">
        <v>315</v>
      </c>
      <c r="I137" s="252" t="s">
        <v>374</v>
      </c>
      <c r="J137" s="252" t="s">
        <v>96</v>
      </c>
      <c r="K137" s="253" t="s">
        <v>1905</v>
      </c>
      <c r="L137" s="252" t="s">
        <v>2089</v>
      </c>
      <c r="M137" s="248"/>
      <c r="N137" s="248"/>
      <c r="O137" s="248"/>
    </row>
    <row r="138" spans="1:15" hidden="1">
      <c r="A138" s="247">
        <v>45685</v>
      </c>
      <c r="B138" s="248" t="s">
        <v>4797</v>
      </c>
      <c r="C138" s="254" t="s">
        <v>172</v>
      </c>
      <c r="D138" s="249" t="s">
        <v>440</v>
      </c>
      <c r="E138" s="250">
        <v>2000</v>
      </c>
      <c r="F138" s="250">
        <v>3.3546183869988409</v>
      </c>
      <c r="G138" s="251">
        <v>596.19299999999998</v>
      </c>
      <c r="H138" s="252" t="s">
        <v>315</v>
      </c>
      <c r="I138" s="252" t="s">
        <v>375</v>
      </c>
      <c r="J138" s="252" t="s">
        <v>96</v>
      </c>
      <c r="K138" s="253" t="s">
        <v>1905</v>
      </c>
      <c r="L138" s="252" t="s">
        <v>2089</v>
      </c>
      <c r="M138" s="248"/>
      <c r="N138" s="248"/>
      <c r="O138" s="248"/>
    </row>
    <row r="139" spans="1:15" hidden="1">
      <c r="A139" s="247">
        <v>45685</v>
      </c>
      <c r="B139" s="248" t="s">
        <v>4778</v>
      </c>
      <c r="C139" s="254" t="s">
        <v>175</v>
      </c>
      <c r="D139" s="249" t="s">
        <v>440</v>
      </c>
      <c r="E139" s="250">
        <v>30000</v>
      </c>
      <c r="F139" s="250">
        <v>50.319275804982617</v>
      </c>
      <c r="G139" s="251">
        <v>596.19299999999998</v>
      </c>
      <c r="H139" s="252" t="s">
        <v>182</v>
      </c>
      <c r="I139" s="252" t="s">
        <v>376</v>
      </c>
      <c r="J139" s="252" t="s">
        <v>96</v>
      </c>
      <c r="K139" s="253" t="s">
        <v>1905</v>
      </c>
      <c r="L139" s="252" t="s">
        <v>2089</v>
      </c>
      <c r="M139" s="248"/>
      <c r="N139" s="248"/>
      <c r="O139" s="248"/>
    </row>
    <row r="140" spans="1:15" hidden="1">
      <c r="A140" s="247">
        <v>45685</v>
      </c>
      <c r="B140" s="248" t="s">
        <v>4758</v>
      </c>
      <c r="C140" s="254" t="s">
        <v>172</v>
      </c>
      <c r="D140" s="249" t="s">
        <v>440</v>
      </c>
      <c r="E140" s="250">
        <v>5000</v>
      </c>
      <c r="F140" s="250">
        <v>8.3865459674971028</v>
      </c>
      <c r="G140" s="251">
        <v>596.19299999999998</v>
      </c>
      <c r="H140" s="252" t="s">
        <v>182</v>
      </c>
      <c r="I140" s="252" t="s">
        <v>377</v>
      </c>
      <c r="J140" s="252" t="s">
        <v>96</v>
      </c>
      <c r="K140" s="253" t="s">
        <v>1905</v>
      </c>
      <c r="L140" s="252" t="s">
        <v>2089</v>
      </c>
      <c r="M140" s="248"/>
      <c r="N140" s="248"/>
      <c r="O140" s="248"/>
    </row>
    <row r="141" spans="1:15" hidden="1">
      <c r="A141" s="247">
        <v>45685</v>
      </c>
      <c r="B141" s="248" t="s">
        <v>4753</v>
      </c>
      <c r="C141" s="254" t="s">
        <v>175</v>
      </c>
      <c r="D141" s="249" t="s">
        <v>440</v>
      </c>
      <c r="E141" s="250">
        <v>30000</v>
      </c>
      <c r="F141" s="250">
        <v>50.319275804982617</v>
      </c>
      <c r="G141" s="251">
        <v>596.19299999999998</v>
      </c>
      <c r="H141" s="252" t="s">
        <v>173</v>
      </c>
      <c r="I141" s="252" t="s">
        <v>378</v>
      </c>
      <c r="J141" s="252" t="s">
        <v>96</v>
      </c>
      <c r="K141" s="253" t="s">
        <v>1905</v>
      </c>
      <c r="L141" s="252" t="s">
        <v>2089</v>
      </c>
      <c r="M141" s="248"/>
      <c r="N141" s="248"/>
      <c r="O141" s="248"/>
    </row>
    <row r="142" spans="1:15" hidden="1">
      <c r="A142" s="247">
        <v>45685</v>
      </c>
      <c r="B142" s="248" t="s">
        <v>4744</v>
      </c>
      <c r="C142" s="254" t="s">
        <v>172</v>
      </c>
      <c r="D142" s="249" t="s">
        <v>440</v>
      </c>
      <c r="E142" s="250">
        <v>5000</v>
      </c>
      <c r="F142" s="250">
        <v>8.3865459674971028</v>
      </c>
      <c r="G142" s="251">
        <v>596.19299999999998</v>
      </c>
      <c r="H142" s="252" t="s">
        <v>173</v>
      </c>
      <c r="I142" s="252" t="s">
        <v>379</v>
      </c>
      <c r="J142" s="252" t="s">
        <v>96</v>
      </c>
      <c r="K142" s="253" t="s">
        <v>1905</v>
      </c>
      <c r="L142" s="252" t="s">
        <v>2089</v>
      </c>
      <c r="M142" s="248"/>
      <c r="N142" s="248"/>
      <c r="O142" s="248"/>
    </row>
    <row r="143" spans="1:15" hidden="1">
      <c r="A143" s="247">
        <v>45685</v>
      </c>
      <c r="B143" s="248" t="s">
        <v>4798</v>
      </c>
      <c r="C143" s="254" t="s">
        <v>175</v>
      </c>
      <c r="D143" s="249" t="s">
        <v>440</v>
      </c>
      <c r="E143" s="250">
        <v>30000</v>
      </c>
      <c r="F143" s="250">
        <v>50.319275804982617</v>
      </c>
      <c r="G143" s="251">
        <v>596.19299999999998</v>
      </c>
      <c r="H143" s="252" t="s">
        <v>321</v>
      </c>
      <c r="I143" s="252" t="s">
        <v>380</v>
      </c>
      <c r="J143" s="252" t="s">
        <v>96</v>
      </c>
      <c r="K143" s="253" t="s">
        <v>1905</v>
      </c>
      <c r="L143" s="252" t="s">
        <v>2089</v>
      </c>
      <c r="M143" s="248"/>
      <c r="N143" s="248"/>
      <c r="O143" s="248"/>
    </row>
    <row r="144" spans="1:15" hidden="1">
      <c r="A144" s="247">
        <v>45685</v>
      </c>
      <c r="B144" s="248" t="s">
        <v>4799</v>
      </c>
      <c r="C144" s="254" t="s">
        <v>172</v>
      </c>
      <c r="D144" s="249" t="s">
        <v>440</v>
      </c>
      <c r="E144" s="250">
        <v>5000</v>
      </c>
      <c r="F144" s="250">
        <v>8.3865459674971028</v>
      </c>
      <c r="G144" s="251">
        <v>596.19299999999998</v>
      </c>
      <c r="H144" s="252" t="s">
        <v>321</v>
      </c>
      <c r="I144" s="252" t="s">
        <v>381</v>
      </c>
      <c r="J144" s="252" t="s">
        <v>96</v>
      </c>
      <c r="K144" s="253" t="s">
        <v>1905</v>
      </c>
      <c r="L144" s="252" t="s">
        <v>2089</v>
      </c>
      <c r="M144" s="248"/>
      <c r="N144" s="248"/>
      <c r="O144" s="248"/>
    </row>
    <row r="145" spans="1:15" hidden="1">
      <c r="A145" s="247">
        <v>45685</v>
      </c>
      <c r="B145" s="248" t="s">
        <v>382</v>
      </c>
      <c r="C145" s="254" t="s">
        <v>1168</v>
      </c>
      <c r="D145" s="248" t="s">
        <v>116</v>
      </c>
      <c r="E145" s="250">
        <v>62500</v>
      </c>
      <c r="F145" s="250">
        <v>104.83182459371379</v>
      </c>
      <c r="G145" s="251">
        <v>596.19299999999998</v>
      </c>
      <c r="H145" s="252" t="s">
        <v>191</v>
      </c>
      <c r="I145" s="252" t="s">
        <v>383</v>
      </c>
      <c r="J145" s="252" t="s">
        <v>96</v>
      </c>
      <c r="K145" s="253" t="s">
        <v>1905</v>
      </c>
      <c r="L145" s="252" t="s">
        <v>2089</v>
      </c>
      <c r="M145" s="248"/>
      <c r="N145" s="248"/>
      <c r="O145" s="248"/>
    </row>
    <row r="146" spans="1:15" hidden="1">
      <c r="A146" s="247">
        <v>45685</v>
      </c>
      <c r="B146" s="248" t="s">
        <v>110</v>
      </c>
      <c r="C146" s="248" t="s">
        <v>126</v>
      </c>
      <c r="D146" s="248" t="s">
        <v>116</v>
      </c>
      <c r="E146" s="250">
        <v>10665</v>
      </c>
      <c r="F146" s="250">
        <v>17.888502548671319</v>
      </c>
      <c r="G146" s="251">
        <v>596.19299999999998</v>
      </c>
      <c r="H146" s="252" t="s">
        <v>146</v>
      </c>
      <c r="I146" s="252" t="s">
        <v>139</v>
      </c>
      <c r="J146" s="252" t="s">
        <v>96</v>
      </c>
      <c r="K146" s="253" t="s">
        <v>1905</v>
      </c>
      <c r="L146" s="252" t="s">
        <v>2089</v>
      </c>
      <c r="M146" s="248"/>
      <c r="N146" s="248"/>
      <c r="O146" s="248"/>
    </row>
    <row r="147" spans="1:15" hidden="1">
      <c r="A147" s="247">
        <v>45686</v>
      </c>
      <c r="B147" s="248" t="s">
        <v>384</v>
      </c>
      <c r="C147" s="254" t="s">
        <v>302</v>
      </c>
      <c r="D147" s="248" t="s">
        <v>116</v>
      </c>
      <c r="E147" s="250">
        <v>75625</v>
      </c>
      <c r="F147" s="250">
        <v>126.84650775839368</v>
      </c>
      <c r="G147" s="251">
        <v>596.19299999999998</v>
      </c>
      <c r="H147" s="252" t="s">
        <v>155</v>
      </c>
      <c r="I147" s="252" t="s">
        <v>385</v>
      </c>
      <c r="J147" s="252" t="s">
        <v>96</v>
      </c>
      <c r="K147" s="253" t="s">
        <v>1905</v>
      </c>
      <c r="L147" s="252" t="s">
        <v>2089</v>
      </c>
      <c r="M147" s="248"/>
      <c r="N147" s="248"/>
      <c r="O147" s="248"/>
    </row>
    <row r="148" spans="1:15" hidden="1">
      <c r="A148" s="247">
        <v>45686</v>
      </c>
      <c r="B148" s="248" t="s">
        <v>4778</v>
      </c>
      <c r="C148" s="254" t="s">
        <v>175</v>
      </c>
      <c r="D148" s="249" t="s">
        <v>440</v>
      </c>
      <c r="E148" s="250">
        <v>15000</v>
      </c>
      <c r="F148" s="250">
        <v>25.159637902491308</v>
      </c>
      <c r="G148" s="251">
        <v>596.19299999999998</v>
      </c>
      <c r="H148" s="252" t="s">
        <v>182</v>
      </c>
      <c r="I148" s="252" t="s">
        <v>386</v>
      </c>
      <c r="J148" s="252" t="s">
        <v>96</v>
      </c>
      <c r="K148" s="253" t="s">
        <v>1905</v>
      </c>
      <c r="L148" s="252" t="s">
        <v>2089</v>
      </c>
      <c r="M148" s="248"/>
      <c r="N148" s="248"/>
      <c r="O148" s="248"/>
    </row>
    <row r="149" spans="1:15" hidden="1">
      <c r="A149" s="247">
        <v>45686</v>
      </c>
      <c r="B149" s="248" t="s">
        <v>4776</v>
      </c>
      <c r="C149" s="254" t="s">
        <v>172</v>
      </c>
      <c r="D149" s="249" t="s">
        <v>440</v>
      </c>
      <c r="E149" s="250">
        <v>3000</v>
      </c>
      <c r="F149" s="250">
        <v>5.0319275804982615</v>
      </c>
      <c r="G149" s="251">
        <v>596.19299999999998</v>
      </c>
      <c r="H149" s="252" t="s">
        <v>182</v>
      </c>
      <c r="I149" s="252" t="s">
        <v>387</v>
      </c>
      <c r="J149" s="252" t="s">
        <v>96</v>
      </c>
      <c r="K149" s="253" t="s">
        <v>1905</v>
      </c>
      <c r="L149" s="252" t="s">
        <v>2089</v>
      </c>
      <c r="M149" s="248"/>
      <c r="N149" s="248"/>
      <c r="O149" s="248"/>
    </row>
    <row r="150" spans="1:15" hidden="1">
      <c r="A150" s="247">
        <v>45686</v>
      </c>
      <c r="B150" s="248" t="s">
        <v>388</v>
      </c>
      <c r="C150" s="254" t="s">
        <v>363</v>
      </c>
      <c r="D150" s="249" t="s">
        <v>440</v>
      </c>
      <c r="E150" s="250">
        <v>70200</v>
      </c>
      <c r="F150" s="250">
        <v>123.11145795884008</v>
      </c>
      <c r="G150" s="251">
        <v>570.21500000000003</v>
      </c>
      <c r="H150" s="252" t="s">
        <v>182</v>
      </c>
      <c r="I150" s="252" t="s">
        <v>389</v>
      </c>
      <c r="J150" s="252" t="s">
        <v>96</v>
      </c>
      <c r="K150" s="253" t="s">
        <v>1905</v>
      </c>
      <c r="L150" s="252" t="s">
        <v>2089</v>
      </c>
      <c r="M150" s="248"/>
      <c r="N150" s="248"/>
      <c r="O150" s="248"/>
    </row>
    <row r="151" spans="1:15" hidden="1">
      <c r="A151" s="247">
        <v>45686</v>
      </c>
      <c r="B151" s="248" t="s">
        <v>4800</v>
      </c>
      <c r="C151" s="254" t="s">
        <v>172</v>
      </c>
      <c r="D151" s="249" t="s">
        <v>440</v>
      </c>
      <c r="E151" s="250">
        <v>2500</v>
      </c>
      <c r="F151" s="250">
        <v>4.1932729837485514</v>
      </c>
      <c r="G151" s="251">
        <v>596.19299999999998</v>
      </c>
      <c r="H151" s="252" t="s">
        <v>173</v>
      </c>
      <c r="I151" s="252" t="s">
        <v>390</v>
      </c>
      <c r="J151" s="252" t="s">
        <v>96</v>
      </c>
      <c r="K151" s="253" t="s">
        <v>1905</v>
      </c>
      <c r="L151" s="252" t="s">
        <v>2089</v>
      </c>
      <c r="M151" s="248"/>
      <c r="N151" s="248"/>
      <c r="O151" s="248"/>
    </row>
    <row r="152" spans="1:15" hidden="1">
      <c r="A152" s="247">
        <v>45686</v>
      </c>
      <c r="B152" s="248" t="s">
        <v>4754</v>
      </c>
      <c r="C152" s="254" t="s">
        <v>175</v>
      </c>
      <c r="D152" s="249" t="s">
        <v>440</v>
      </c>
      <c r="E152" s="250">
        <v>15000</v>
      </c>
      <c r="F152" s="250">
        <v>25.159637902491308</v>
      </c>
      <c r="G152" s="251">
        <v>596.19299999999998</v>
      </c>
      <c r="H152" s="252" t="s">
        <v>173</v>
      </c>
      <c r="I152" s="252" t="s">
        <v>391</v>
      </c>
      <c r="J152" s="252" t="s">
        <v>96</v>
      </c>
      <c r="K152" s="253" t="s">
        <v>1905</v>
      </c>
      <c r="L152" s="252" t="s">
        <v>2089</v>
      </c>
      <c r="M152" s="248"/>
      <c r="N152" s="248"/>
      <c r="O152" s="248"/>
    </row>
    <row r="153" spans="1:15" hidden="1">
      <c r="A153" s="247">
        <v>45686</v>
      </c>
      <c r="B153" s="248" t="s">
        <v>392</v>
      </c>
      <c r="C153" s="254" t="s">
        <v>363</v>
      </c>
      <c r="D153" s="249" t="s">
        <v>440</v>
      </c>
      <c r="E153" s="250">
        <v>32000</v>
      </c>
      <c r="F153" s="250">
        <v>56.119183115140778</v>
      </c>
      <c r="G153" s="251">
        <v>570.21500000000003</v>
      </c>
      <c r="H153" s="252" t="s">
        <v>173</v>
      </c>
      <c r="I153" s="252" t="s">
        <v>393</v>
      </c>
      <c r="J153" s="252" t="s">
        <v>96</v>
      </c>
      <c r="K153" s="253" t="s">
        <v>1905</v>
      </c>
      <c r="L153" s="252" t="s">
        <v>2089</v>
      </c>
      <c r="M153" s="248"/>
      <c r="N153" s="248"/>
      <c r="O153" s="248"/>
    </row>
    <row r="154" spans="1:15" hidden="1">
      <c r="A154" s="247">
        <v>45686</v>
      </c>
      <c r="B154" s="248" t="s">
        <v>4801</v>
      </c>
      <c r="C154" s="254" t="s">
        <v>175</v>
      </c>
      <c r="D154" s="249" t="s">
        <v>440</v>
      </c>
      <c r="E154" s="250">
        <v>15000</v>
      </c>
      <c r="F154" s="250">
        <v>25.159637902491308</v>
      </c>
      <c r="G154" s="251">
        <v>596.19299999999998</v>
      </c>
      <c r="H154" s="252" t="s">
        <v>321</v>
      </c>
      <c r="I154" s="252" t="s">
        <v>394</v>
      </c>
      <c r="J154" s="252" t="s">
        <v>96</v>
      </c>
      <c r="K154" s="253" t="s">
        <v>1905</v>
      </c>
      <c r="L154" s="252" t="s">
        <v>2089</v>
      </c>
      <c r="M154" s="248"/>
      <c r="N154" s="248"/>
      <c r="O154" s="248"/>
    </row>
    <row r="155" spans="1:15" hidden="1">
      <c r="A155" s="247">
        <v>45686</v>
      </c>
      <c r="B155" s="248" t="s">
        <v>4799</v>
      </c>
      <c r="C155" s="254" t="s">
        <v>172</v>
      </c>
      <c r="D155" s="249" t="s">
        <v>440</v>
      </c>
      <c r="E155" s="250">
        <v>3000</v>
      </c>
      <c r="F155" s="250">
        <v>5.0319275804982615</v>
      </c>
      <c r="G155" s="251">
        <v>596.19299999999998</v>
      </c>
      <c r="H155" s="252" t="s">
        <v>321</v>
      </c>
      <c r="I155" s="252" t="s">
        <v>395</v>
      </c>
      <c r="J155" s="252" t="s">
        <v>96</v>
      </c>
      <c r="K155" s="253" t="s">
        <v>1905</v>
      </c>
      <c r="L155" s="252" t="s">
        <v>2089</v>
      </c>
      <c r="M155" s="248"/>
      <c r="N155" s="248"/>
      <c r="O155" s="248"/>
    </row>
    <row r="156" spans="1:15" hidden="1">
      <c r="A156" s="247">
        <v>45686</v>
      </c>
      <c r="B156" s="248" t="s">
        <v>4798</v>
      </c>
      <c r="C156" s="254" t="s">
        <v>175</v>
      </c>
      <c r="D156" s="249" t="s">
        <v>440</v>
      </c>
      <c r="E156" s="250">
        <v>15000</v>
      </c>
      <c r="F156" s="250">
        <v>25.159637902491308</v>
      </c>
      <c r="G156" s="251">
        <v>596.19299999999998</v>
      </c>
      <c r="H156" s="252" t="s">
        <v>321</v>
      </c>
      <c r="I156" s="252" t="s">
        <v>396</v>
      </c>
      <c r="J156" s="252" t="s">
        <v>96</v>
      </c>
      <c r="K156" s="253" t="s">
        <v>1905</v>
      </c>
      <c r="L156" s="252" t="s">
        <v>2089</v>
      </c>
      <c r="M156" s="248"/>
      <c r="N156" s="248"/>
      <c r="O156" s="248"/>
    </row>
    <row r="157" spans="1:15" hidden="1">
      <c r="A157" s="247">
        <v>45687</v>
      </c>
      <c r="B157" s="248" t="s">
        <v>4793</v>
      </c>
      <c r="C157" s="254" t="s">
        <v>175</v>
      </c>
      <c r="D157" s="249" t="s">
        <v>440</v>
      </c>
      <c r="E157" s="250">
        <v>30000</v>
      </c>
      <c r="F157" s="250">
        <v>50.319275804982617</v>
      </c>
      <c r="G157" s="251">
        <v>596.19299999999998</v>
      </c>
      <c r="H157" s="252" t="s">
        <v>315</v>
      </c>
      <c r="I157" s="252" t="s">
        <v>397</v>
      </c>
      <c r="J157" s="252" t="s">
        <v>96</v>
      </c>
      <c r="K157" s="253" t="s">
        <v>1905</v>
      </c>
      <c r="L157" s="252" t="s">
        <v>2089</v>
      </c>
      <c r="M157" s="248"/>
      <c r="N157" s="248"/>
      <c r="O157" s="248"/>
    </row>
    <row r="158" spans="1:15" hidden="1">
      <c r="A158" s="247">
        <v>45687</v>
      </c>
      <c r="B158" s="248" t="s">
        <v>4749</v>
      </c>
      <c r="C158" s="254" t="s">
        <v>172</v>
      </c>
      <c r="D158" s="249" t="s">
        <v>440</v>
      </c>
      <c r="E158" s="250">
        <v>7000</v>
      </c>
      <c r="F158" s="250">
        <v>11.741164354495943</v>
      </c>
      <c r="G158" s="251">
        <v>596.19299999999998</v>
      </c>
      <c r="H158" s="252" t="s">
        <v>315</v>
      </c>
      <c r="I158" s="252" t="s">
        <v>398</v>
      </c>
      <c r="J158" s="252" t="s">
        <v>96</v>
      </c>
      <c r="K158" s="253" t="s">
        <v>1905</v>
      </c>
      <c r="L158" s="252" t="s">
        <v>2089</v>
      </c>
      <c r="M158" s="248"/>
      <c r="N158" s="248"/>
      <c r="O158" s="248"/>
    </row>
    <row r="159" spans="1:15" hidden="1">
      <c r="A159" s="247">
        <v>45687</v>
      </c>
      <c r="B159" s="248" t="s">
        <v>399</v>
      </c>
      <c r="C159" s="254" t="s">
        <v>172</v>
      </c>
      <c r="D159" s="249" t="s">
        <v>440</v>
      </c>
      <c r="E159" s="250">
        <v>39300</v>
      </c>
      <c r="F159" s="250">
        <v>65.918251304527232</v>
      </c>
      <c r="G159" s="251">
        <v>596.19299999999998</v>
      </c>
      <c r="H159" s="252" t="s">
        <v>315</v>
      </c>
      <c r="I159" s="252" t="s">
        <v>400</v>
      </c>
      <c r="J159" s="252" t="s">
        <v>96</v>
      </c>
      <c r="K159" s="253" t="s">
        <v>1905</v>
      </c>
      <c r="L159" s="252" t="s">
        <v>2089</v>
      </c>
      <c r="M159" s="248"/>
      <c r="N159" s="248"/>
      <c r="O159" s="248"/>
    </row>
    <row r="160" spans="1:15" hidden="1">
      <c r="A160" s="247">
        <v>45687</v>
      </c>
      <c r="B160" s="248" t="s">
        <v>4758</v>
      </c>
      <c r="C160" s="254" t="s">
        <v>172</v>
      </c>
      <c r="D160" s="249" t="s">
        <v>440</v>
      </c>
      <c r="E160" s="250">
        <v>7000</v>
      </c>
      <c r="F160" s="250">
        <v>11.741164354495943</v>
      </c>
      <c r="G160" s="251">
        <v>596.19299999999998</v>
      </c>
      <c r="H160" s="252" t="s">
        <v>182</v>
      </c>
      <c r="I160" s="252" t="s">
        <v>401</v>
      </c>
      <c r="J160" s="252" t="s">
        <v>96</v>
      </c>
      <c r="K160" s="253" t="s">
        <v>1905</v>
      </c>
      <c r="L160" s="252" t="s">
        <v>2089</v>
      </c>
      <c r="M160" s="248"/>
      <c r="N160" s="248"/>
      <c r="O160" s="248"/>
    </row>
    <row r="161" spans="1:15" hidden="1">
      <c r="A161" s="247">
        <v>45687</v>
      </c>
      <c r="B161" s="248" t="s">
        <v>4778</v>
      </c>
      <c r="C161" s="254" t="s">
        <v>175</v>
      </c>
      <c r="D161" s="249" t="s">
        <v>440</v>
      </c>
      <c r="E161" s="250">
        <v>15000</v>
      </c>
      <c r="F161" s="250">
        <v>25.159637902491308</v>
      </c>
      <c r="G161" s="251">
        <v>596.19299999999998</v>
      </c>
      <c r="H161" s="252" t="s">
        <v>182</v>
      </c>
      <c r="I161" s="252" t="s">
        <v>402</v>
      </c>
      <c r="J161" s="252" t="s">
        <v>96</v>
      </c>
      <c r="K161" s="253" t="s">
        <v>1905</v>
      </c>
      <c r="L161" s="252" t="s">
        <v>2089</v>
      </c>
      <c r="M161" s="248"/>
      <c r="N161" s="248"/>
      <c r="O161" s="248"/>
    </row>
    <row r="162" spans="1:15" hidden="1">
      <c r="A162" s="247">
        <v>45687</v>
      </c>
      <c r="B162" s="248" t="s">
        <v>403</v>
      </c>
      <c r="C162" s="254" t="s">
        <v>172</v>
      </c>
      <c r="D162" s="249" t="s">
        <v>440</v>
      </c>
      <c r="E162" s="250">
        <v>54800</v>
      </c>
      <c r="F162" s="250">
        <v>91.916543803768249</v>
      </c>
      <c r="G162" s="251">
        <v>596.19299999999998</v>
      </c>
      <c r="H162" s="252" t="s">
        <v>182</v>
      </c>
      <c r="I162" s="252" t="s">
        <v>404</v>
      </c>
      <c r="J162" s="252" t="s">
        <v>96</v>
      </c>
      <c r="K162" s="253" t="s">
        <v>1905</v>
      </c>
      <c r="L162" s="252" t="s">
        <v>2089</v>
      </c>
      <c r="M162" s="248"/>
      <c r="N162" s="248"/>
      <c r="O162" s="248"/>
    </row>
    <row r="163" spans="1:15" hidden="1">
      <c r="A163" s="247">
        <v>45687</v>
      </c>
      <c r="B163" s="248" t="s">
        <v>4754</v>
      </c>
      <c r="C163" s="254" t="s">
        <v>175</v>
      </c>
      <c r="D163" s="249" t="s">
        <v>440</v>
      </c>
      <c r="E163" s="250">
        <v>15000</v>
      </c>
      <c r="F163" s="250">
        <v>25.159637902491308</v>
      </c>
      <c r="G163" s="251">
        <v>596.19299999999998</v>
      </c>
      <c r="H163" s="252" t="s">
        <v>173</v>
      </c>
      <c r="I163" s="252" t="s">
        <v>405</v>
      </c>
      <c r="J163" s="252" t="s">
        <v>96</v>
      </c>
      <c r="K163" s="253" t="s">
        <v>1905</v>
      </c>
      <c r="L163" s="252" t="s">
        <v>2089</v>
      </c>
      <c r="M163" s="248"/>
      <c r="N163" s="248"/>
      <c r="O163" s="248"/>
    </row>
    <row r="164" spans="1:15" hidden="1">
      <c r="A164" s="247">
        <v>45687</v>
      </c>
      <c r="B164" s="248" t="s">
        <v>4802</v>
      </c>
      <c r="C164" s="254" t="s">
        <v>172</v>
      </c>
      <c r="D164" s="249" t="s">
        <v>440</v>
      </c>
      <c r="E164" s="250">
        <v>8000</v>
      </c>
      <c r="F164" s="250">
        <v>13.418473547995363</v>
      </c>
      <c r="G164" s="251">
        <v>596.19299999999998</v>
      </c>
      <c r="H164" s="252" t="s">
        <v>173</v>
      </c>
      <c r="I164" s="252" t="s">
        <v>406</v>
      </c>
      <c r="J164" s="252" t="s">
        <v>96</v>
      </c>
      <c r="K164" s="253" t="s">
        <v>1905</v>
      </c>
      <c r="L164" s="252" t="s">
        <v>2089</v>
      </c>
      <c r="M164" s="248"/>
      <c r="N164" s="248"/>
      <c r="O164" s="248"/>
    </row>
    <row r="165" spans="1:15" hidden="1">
      <c r="A165" s="247">
        <v>45687</v>
      </c>
      <c r="B165" s="248" t="s">
        <v>407</v>
      </c>
      <c r="C165" s="254" t="s">
        <v>172</v>
      </c>
      <c r="D165" s="249" t="s">
        <v>440</v>
      </c>
      <c r="E165" s="250">
        <v>63400</v>
      </c>
      <c r="F165" s="250">
        <v>106.34140286786327</v>
      </c>
      <c r="G165" s="251">
        <v>596.19299999999998</v>
      </c>
      <c r="H165" s="252" t="s">
        <v>173</v>
      </c>
      <c r="I165" s="252" t="s">
        <v>408</v>
      </c>
      <c r="J165" s="252" t="s">
        <v>96</v>
      </c>
      <c r="K165" s="253" t="s">
        <v>1905</v>
      </c>
      <c r="L165" s="252" t="s">
        <v>2089</v>
      </c>
      <c r="M165" s="248"/>
      <c r="N165" s="248"/>
      <c r="O165" s="248"/>
    </row>
    <row r="166" spans="1:15" hidden="1">
      <c r="A166" s="247">
        <v>45687</v>
      </c>
      <c r="B166" s="248" t="s">
        <v>4796</v>
      </c>
      <c r="C166" s="254" t="s">
        <v>172</v>
      </c>
      <c r="D166" s="249" t="s">
        <v>440</v>
      </c>
      <c r="E166" s="250">
        <v>8000</v>
      </c>
      <c r="F166" s="250">
        <v>13.418473547995363</v>
      </c>
      <c r="G166" s="251">
        <v>596.19299999999998</v>
      </c>
      <c r="H166" s="252" t="s">
        <v>321</v>
      </c>
      <c r="I166" s="252" t="s">
        <v>409</v>
      </c>
      <c r="J166" s="252" t="s">
        <v>96</v>
      </c>
      <c r="K166" s="253" t="s">
        <v>1905</v>
      </c>
      <c r="L166" s="252" t="s">
        <v>2089</v>
      </c>
      <c r="M166" s="248"/>
      <c r="N166" s="248"/>
      <c r="O166" s="248"/>
    </row>
    <row r="167" spans="1:15" hidden="1">
      <c r="A167" s="247">
        <v>45687</v>
      </c>
      <c r="B167" s="248" t="s">
        <v>410</v>
      </c>
      <c r="C167" s="254" t="s">
        <v>172</v>
      </c>
      <c r="D167" s="249" t="s">
        <v>440</v>
      </c>
      <c r="E167" s="250">
        <v>38500</v>
      </c>
      <c r="F167" s="250">
        <v>64.576403949727691</v>
      </c>
      <c r="G167" s="251">
        <v>596.19299999999998</v>
      </c>
      <c r="H167" s="252" t="s">
        <v>321</v>
      </c>
      <c r="I167" s="252" t="s">
        <v>411</v>
      </c>
      <c r="J167" s="252" t="s">
        <v>96</v>
      </c>
      <c r="K167" s="253" t="s">
        <v>1905</v>
      </c>
      <c r="L167" s="252" t="s">
        <v>2089</v>
      </c>
      <c r="M167" s="248"/>
      <c r="N167" s="248"/>
      <c r="O167" s="248"/>
    </row>
    <row r="168" spans="1:15" hidden="1">
      <c r="A168" s="247">
        <v>45687</v>
      </c>
      <c r="B168" s="248" t="s">
        <v>412</v>
      </c>
      <c r="C168" s="254" t="s">
        <v>172</v>
      </c>
      <c r="D168" s="249" t="s">
        <v>115</v>
      </c>
      <c r="E168" s="250">
        <v>33500</v>
      </c>
      <c r="F168" s="250">
        <v>56.189857982230585</v>
      </c>
      <c r="G168" s="251">
        <v>596.19299999999998</v>
      </c>
      <c r="H168" s="252" t="s">
        <v>191</v>
      </c>
      <c r="I168" s="252" t="s">
        <v>413</v>
      </c>
      <c r="J168" s="252" t="s">
        <v>96</v>
      </c>
      <c r="K168" s="253" t="s">
        <v>1905</v>
      </c>
      <c r="L168" s="252" t="s">
        <v>2089</v>
      </c>
      <c r="M168" s="248"/>
      <c r="N168" s="248"/>
      <c r="O168" s="248"/>
    </row>
    <row r="169" spans="1:15" hidden="1">
      <c r="A169" s="247">
        <v>45687</v>
      </c>
      <c r="B169" s="248" t="s">
        <v>414</v>
      </c>
      <c r="C169" s="254" t="s">
        <v>172</v>
      </c>
      <c r="D169" s="248" t="s">
        <v>118</v>
      </c>
      <c r="E169" s="250">
        <v>24500</v>
      </c>
      <c r="F169" s="250">
        <v>41.094075240735805</v>
      </c>
      <c r="G169" s="251">
        <v>596.19299999999998</v>
      </c>
      <c r="H169" s="252" t="s">
        <v>211</v>
      </c>
      <c r="I169" s="252" t="s">
        <v>415</v>
      </c>
      <c r="J169" s="252" t="s">
        <v>96</v>
      </c>
      <c r="K169" s="253" t="s">
        <v>1905</v>
      </c>
      <c r="L169" s="252" t="s">
        <v>2089</v>
      </c>
      <c r="M169" s="248"/>
      <c r="N169" s="248"/>
      <c r="O169" s="248"/>
    </row>
    <row r="170" spans="1:15" hidden="1">
      <c r="A170" s="247">
        <v>45687</v>
      </c>
      <c r="B170" s="248" t="s">
        <v>416</v>
      </c>
      <c r="C170" s="254" t="s">
        <v>2092</v>
      </c>
      <c r="D170" s="248" t="s">
        <v>118</v>
      </c>
      <c r="E170" s="250">
        <v>148000</v>
      </c>
      <c r="F170" s="250">
        <v>248.24176063791424</v>
      </c>
      <c r="G170" s="251">
        <v>596.19299999999998</v>
      </c>
      <c r="H170" s="252" t="s">
        <v>211</v>
      </c>
      <c r="I170" s="252" t="s">
        <v>417</v>
      </c>
      <c r="J170" s="252" t="s">
        <v>96</v>
      </c>
      <c r="K170" s="253" t="s">
        <v>1905</v>
      </c>
      <c r="L170" s="252" t="s">
        <v>2089</v>
      </c>
      <c r="M170" s="248"/>
      <c r="N170" s="248"/>
      <c r="O170" s="248"/>
    </row>
    <row r="171" spans="1:15" hidden="1">
      <c r="A171" s="247">
        <v>45688</v>
      </c>
      <c r="B171" s="248" t="s">
        <v>418</v>
      </c>
      <c r="C171" s="254" t="s">
        <v>172</v>
      </c>
      <c r="D171" s="249" t="s">
        <v>117</v>
      </c>
      <c r="E171" s="250">
        <v>25500</v>
      </c>
      <c r="F171" s="250">
        <v>42.771384434235223</v>
      </c>
      <c r="G171" s="251">
        <v>596.19299999999998</v>
      </c>
      <c r="H171" s="252" t="s">
        <v>151</v>
      </c>
      <c r="I171" s="252" t="s">
        <v>419</v>
      </c>
      <c r="J171" s="252" t="s">
        <v>96</v>
      </c>
      <c r="K171" s="253" t="s">
        <v>1905</v>
      </c>
      <c r="L171" s="252" t="s">
        <v>2089</v>
      </c>
      <c r="M171" s="248"/>
      <c r="N171" s="248"/>
      <c r="O171" s="248"/>
    </row>
    <row r="172" spans="1:15" hidden="1">
      <c r="A172" s="247">
        <v>45688</v>
      </c>
      <c r="B172" s="248" t="s">
        <v>420</v>
      </c>
      <c r="C172" s="248" t="s">
        <v>421</v>
      </c>
      <c r="D172" s="249" t="s">
        <v>117</v>
      </c>
      <c r="E172" s="250">
        <v>174625</v>
      </c>
      <c r="F172" s="250">
        <v>292.9001179148363</v>
      </c>
      <c r="G172" s="251">
        <v>596.19299999999998</v>
      </c>
      <c r="H172" s="252" t="s">
        <v>151</v>
      </c>
      <c r="I172" s="252" t="s">
        <v>422</v>
      </c>
      <c r="J172" s="252" t="s">
        <v>96</v>
      </c>
      <c r="K172" s="253" t="s">
        <v>1905</v>
      </c>
      <c r="L172" s="252" t="s">
        <v>2089</v>
      </c>
      <c r="M172" s="248"/>
      <c r="N172" s="248"/>
      <c r="O172" s="248"/>
    </row>
    <row r="173" spans="1:15" hidden="1">
      <c r="A173" s="247">
        <v>45688</v>
      </c>
      <c r="B173" s="248" t="s">
        <v>423</v>
      </c>
      <c r="C173" s="254" t="s">
        <v>172</v>
      </c>
      <c r="D173" s="248" t="s">
        <v>116</v>
      </c>
      <c r="E173" s="250">
        <v>41000</v>
      </c>
      <c r="F173" s="250">
        <v>68.769676933476248</v>
      </c>
      <c r="G173" s="251">
        <v>596.19299999999998</v>
      </c>
      <c r="H173" s="252" t="s">
        <v>155</v>
      </c>
      <c r="I173" s="252" t="s">
        <v>424</v>
      </c>
      <c r="J173" s="252" t="s">
        <v>96</v>
      </c>
      <c r="K173" s="253" t="s">
        <v>1905</v>
      </c>
      <c r="L173" s="252" t="s">
        <v>2089</v>
      </c>
      <c r="M173" s="248"/>
      <c r="N173" s="248"/>
      <c r="O173" s="248"/>
    </row>
    <row r="174" spans="1:15" hidden="1">
      <c r="A174" s="247">
        <v>45688</v>
      </c>
      <c r="B174" s="248" t="s">
        <v>425</v>
      </c>
      <c r="C174" s="254" t="s">
        <v>302</v>
      </c>
      <c r="D174" s="248" t="s">
        <v>116</v>
      </c>
      <c r="E174" s="250">
        <v>6000</v>
      </c>
      <c r="F174" s="250">
        <v>10.063855160996523</v>
      </c>
      <c r="G174" s="251">
        <v>596.19299999999998</v>
      </c>
      <c r="H174" s="252" t="s">
        <v>155</v>
      </c>
      <c r="I174" s="252" t="s">
        <v>426</v>
      </c>
      <c r="J174" s="252" t="s">
        <v>96</v>
      </c>
      <c r="K174" s="253" t="s">
        <v>1905</v>
      </c>
      <c r="L174" s="252" t="s">
        <v>2089</v>
      </c>
      <c r="M174" s="248"/>
      <c r="N174" s="248"/>
      <c r="O174" s="248"/>
    </row>
    <row r="175" spans="1:15" hidden="1">
      <c r="A175" s="247">
        <v>45688</v>
      </c>
      <c r="B175" s="248" t="s">
        <v>427</v>
      </c>
      <c r="C175" s="248" t="s">
        <v>428</v>
      </c>
      <c r="D175" s="248" t="s">
        <v>116</v>
      </c>
      <c r="E175" s="250">
        <v>45050</v>
      </c>
      <c r="F175" s="250">
        <v>75.562779167148889</v>
      </c>
      <c r="G175" s="251">
        <v>596.19299999999998</v>
      </c>
      <c r="H175" s="252" t="s">
        <v>155</v>
      </c>
      <c r="I175" s="252" t="s">
        <v>429</v>
      </c>
      <c r="J175" s="252" t="s">
        <v>96</v>
      </c>
      <c r="K175" s="253" t="s">
        <v>1905</v>
      </c>
      <c r="L175" s="252" t="s">
        <v>2089</v>
      </c>
      <c r="M175" s="248"/>
      <c r="N175" s="248"/>
      <c r="O175" s="248"/>
    </row>
    <row r="176" spans="1:15" hidden="1">
      <c r="A176" s="247">
        <v>45688</v>
      </c>
      <c r="B176" s="248" t="s">
        <v>430</v>
      </c>
      <c r="C176" s="254" t="s">
        <v>172</v>
      </c>
      <c r="D176" s="249" t="s">
        <v>115</v>
      </c>
      <c r="E176" s="250">
        <v>38000</v>
      </c>
      <c r="F176" s="250">
        <v>63.737749352977978</v>
      </c>
      <c r="G176" s="251">
        <v>596.19299999999998</v>
      </c>
      <c r="H176" s="252" t="s">
        <v>185</v>
      </c>
      <c r="I176" s="252" t="s">
        <v>431</v>
      </c>
      <c r="J176" s="252" t="s">
        <v>96</v>
      </c>
      <c r="K176" s="253" t="s">
        <v>1905</v>
      </c>
      <c r="L176" s="252" t="s">
        <v>2089</v>
      </c>
      <c r="M176" s="248"/>
      <c r="N176" s="248"/>
      <c r="O176" s="248"/>
    </row>
    <row r="177" spans="1:15" hidden="1">
      <c r="A177" s="247">
        <v>45688</v>
      </c>
      <c r="B177" s="248" t="s">
        <v>432</v>
      </c>
      <c r="C177" s="248" t="s">
        <v>433</v>
      </c>
      <c r="D177" s="248" t="s">
        <v>116</v>
      </c>
      <c r="E177" s="250">
        <v>50000</v>
      </c>
      <c r="F177" s="250">
        <v>83.865459674971021</v>
      </c>
      <c r="G177" s="251">
        <v>596.19299999999998</v>
      </c>
      <c r="H177" s="252" t="s">
        <v>188</v>
      </c>
      <c r="I177" s="252" t="s">
        <v>434</v>
      </c>
      <c r="J177" s="252" t="s">
        <v>96</v>
      </c>
      <c r="K177" s="253" t="s">
        <v>1905</v>
      </c>
      <c r="L177" s="252" t="s">
        <v>2089</v>
      </c>
      <c r="M177" s="248"/>
      <c r="N177" s="248"/>
      <c r="O177" s="248"/>
    </row>
    <row r="178" spans="1:15" hidden="1">
      <c r="A178" s="247">
        <v>45688</v>
      </c>
      <c r="B178" s="248" t="s">
        <v>111</v>
      </c>
      <c r="C178" s="248" t="s">
        <v>125</v>
      </c>
      <c r="D178" s="249" t="s">
        <v>440</v>
      </c>
      <c r="E178" s="250">
        <v>255000</v>
      </c>
      <c r="F178" s="250">
        <v>427.71384434235222</v>
      </c>
      <c r="G178" s="251">
        <v>596.19299999999998</v>
      </c>
      <c r="H178" s="252" t="s">
        <v>146</v>
      </c>
      <c r="I178" s="252" t="s">
        <v>142</v>
      </c>
      <c r="J178" s="252" t="s">
        <v>96</v>
      </c>
      <c r="K178" s="253" t="s">
        <v>1905</v>
      </c>
      <c r="L178" s="252" t="s">
        <v>2089</v>
      </c>
      <c r="M178" s="248"/>
      <c r="N178" s="248"/>
      <c r="O178" s="248"/>
    </row>
    <row r="179" spans="1:15" hidden="1">
      <c r="A179" s="247">
        <v>45688</v>
      </c>
      <c r="B179" s="248" t="s">
        <v>112</v>
      </c>
      <c r="C179" s="248" t="s">
        <v>125</v>
      </c>
      <c r="D179" s="249" t="s">
        <v>440</v>
      </c>
      <c r="E179" s="250">
        <v>335000</v>
      </c>
      <c r="F179" s="250">
        <v>561.89857982230592</v>
      </c>
      <c r="G179" s="251">
        <v>596.19299999999998</v>
      </c>
      <c r="H179" s="252" t="s">
        <v>146</v>
      </c>
      <c r="I179" s="252" t="s">
        <v>143</v>
      </c>
      <c r="J179" s="252" t="s">
        <v>96</v>
      </c>
      <c r="K179" s="253" t="s">
        <v>1905</v>
      </c>
      <c r="L179" s="252" t="s">
        <v>2089</v>
      </c>
      <c r="M179" s="248"/>
      <c r="N179" s="248"/>
      <c r="O179" s="248"/>
    </row>
    <row r="180" spans="1:15" hidden="1">
      <c r="A180" s="247">
        <v>45688</v>
      </c>
      <c r="B180" s="248" t="s">
        <v>113</v>
      </c>
      <c r="C180" s="248" t="s">
        <v>125</v>
      </c>
      <c r="D180" s="249" t="s">
        <v>440</v>
      </c>
      <c r="E180" s="250">
        <v>400000</v>
      </c>
      <c r="F180" s="250">
        <v>670.92367739976817</v>
      </c>
      <c r="G180" s="251">
        <v>596.19299999999998</v>
      </c>
      <c r="H180" s="252" t="s">
        <v>146</v>
      </c>
      <c r="I180" s="252" t="s">
        <v>144</v>
      </c>
      <c r="J180" s="252" t="s">
        <v>96</v>
      </c>
      <c r="K180" s="253" t="s">
        <v>1905</v>
      </c>
      <c r="L180" s="252" t="s">
        <v>2089</v>
      </c>
      <c r="M180" s="248"/>
      <c r="N180" s="248"/>
      <c r="O180" s="248"/>
    </row>
    <row r="181" spans="1:15" hidden="1">
      <c r="A181" s="247">
        <v>45688</v>
      </c>
      <c r="B181" s="248" t="s">
        <v>114</v>
      </c>
      <c r="C181" s="248" t="s">
        <v>125</v>
      </c>
      <c r="D181" s="249" t="s">
        <v>440</v>
      </c>
      <c r="E181" s="250">
        <v>255000</v>
      </c>
      <c r="F181" s="250">
        <v>427.71384434235222</v>
      </c>
      <c r="G181" s="251">
        <v>596.19299999999998</v>
      </c>
      <c r="H181" s="252" t="s">
        <v>146</v>
      </c>
      <c r="I181" s="252" t="s">
        <v>145</v>
      </c>
      <c r="J181" s="252" t="s">
        <v>96</v>
      </c>
      <c r="K181" s="253" t="s">
        <v>1905</v>
      </c>
      <c r="L181" s="252" t="s">
        <v>2089</v>
      </c>
      <c r="M181" s="248"/>
      <c r="N181" s="248"/>
      <c r="O181" s="248"/>
    </row>
    <row r="182" spans="1:15" hidden="1">
      <c r="A182" s="247">
        <v>45691</v>
      </c>
      <c r="B182" s="248" t="s">
        <v>532</v>
      </c>
      <c r="C182" s="248" t="s">
        <v>150</v>
      </c>
      <c r="D182" s="249" t="s">
        <v>117</v>
      </c>
      <c r="E182" s="250">
        <v>42000</v>
      </c>
      <c r="F182" s="250">
        <v>70.446986126975659</v>
      </c>
      <c r="G182" s="251">
        <v>579.25099999999998</v>
      </c>
      <c r="H182" s="252" t="s">
        <v>155</v>
      </c>
      <c r="I182" s="252" t="s">
        <v>533</v>
      </c>
      <c r="J182" s="252" t="s">
        <v>96</v>
      </c>
      <c r="K182" s="256" t="s">
        <v>200</v>
      </c>
      <c r="L182" s="252" t="s">
        <v>2089</v>
      </c>
      <c r="M182" s="248"/>
      <c r="N182" s="248"/>
      <c r="O182" s="248"/>
    </row>
    <row r="183" spans="1:15" hidden="1">
      <c r="A183" s="247">
        <v>45691</v>
      </c>
      <c r="B183" s="248" t="s">
        <v>534</v>
      </c>
      <c r="C183" s="248" t="s">
        <v>150</v>
      </c>
      <c r="D183" s="249" t="s">
        <v>115</v>
      </c>
      <c r="E183" s="250">
        <v>74000</v>
      </c>
      <c r="F183" s="250">
        <v>124.12088031895712</v>
      </c>
      <c r="G183" s="251">
        <v>579.25099999999998</v>
      </c>
      <c r="H183" s="252" t="s">
        <v>155</v>
      </c>
      <c r="I183" s="252" t="s">
        <v>535</v>
      </c>
      <c r="J183" s="252" t="s">
        <v>96</v>
      </c>
      <c r="K183" s="256" t="s">
        <v>200</v>
      </c>
      <c r="L183" s="252" t="s">
        <v>2089</v>
      </c>
      <c r="M183" s="248"/>
      <c r="N183" s="248"/>
      <c r="O183" s="248"/>
    </row>
    <row r="184" spans="1:15" hidden="1">
      <c r="A184" s="247">
        <v>45691</v>
      </c>
      <c r="B184" s="248" t="s">
        <v>536</v>
      </c>
      <c r="C184" s="248" t="s">
        <v>150</v>
      </c>
      <c r="D184" s="249" t="s">
        <v>440</v>
      </c>
      <c r="E184" s="250">
        <v>88000</v>
      </c>
      <c r="F184" s="250">
        <v>147.60320902794902</v>
      </c>
      <c r="G184" s="251">
        <v>579.25099999999998</v>
      </c>
      <c r="H184" s="252" t="s">
        <v>155</v>
      </c>
      <c r="I184" s="252" t="s">
        <v>537</v>
      </c>
      <c r="J184" s="252" t="s">
        <v>96</v>
      </c>
      <c r="K184" s="256" t="s">
        <v>200</v>
      </c>
      <c r="L184" s="252" t="s">
        <v>2089</v>
      </c>
      <c r="M184" s="248"/>
      <c r="N184" s="248"/>
      <c r="O184" s="248"/>
    </row>
    <row r="185" spans="1:15" hidden="1">
      <c r="A185" s="247">
        <v>45691</v>
      </c>
      <c r="B185" s="248" t="s">
        <v>538</v>
      </c>
      <c r="C185" s="248" t="s">
        <v>150</v>
      </c>
      <c r="D185" s="248" t="s">
        <v>118</v>
      </c>
      <c r="E185" s="250">
        <v>10000</v>
      </c>
      <c r="F185" s="250">
        <v>16.773091934994206</v>
      </c>
      <c r="G185" s="251">
        <v>579.25099999999998</v>
      </c>
      <c r="H185" s="252" t="s">
        <v>155</v>
      </c>
      <c r="I185" s="252" t="s">
        <v>539</v>
      </c>
      <c r="J185" s="252" t="s">
        <v>96</v>
      </c>
      <c r="K185" s="256" t="s">
        <v>200</v>
      </c>
      <c r="L185" s="252" t="s">
        <v>2089</v>
      </c>
      <c r="M185" s="248"/>
      <c r="N185" s="248"/>
      <c r="O185" s="248"/>
    </row>
    <row r="186" spans="1:15" hidden="1">
      <c r="A186" s="247">
        <v>45691</v>
      </c>
      <c r="B186" s="248" t="s">
        <v>540</v>
      </c>
      <c r="C186" s="248" t="s">
        <v>150</v>
      </c>
      <c r="D186" s="249" t="s">
        <v>115</v>
      </c>
      <c r="E186" s="250">
        <v>10000</v>
      </c>
      <c r="F186" s="250">
        <v>16.773091934994206</v>
      </c>
      <c r="G186" s="251">
        <v>579.25099999999998</v>
      </c>
      <c r="H186" s="252" t="s">
        <v>155</v>
      </c>
      <c r="I186" s="252" t="s">
        <v>541</v>
      </c>
      <c r="J186" s="252" t="s">
        <v>96</v>
      </c>
      <c r="K186" s="256" t="s">
        <v>200</v>
      </c>
      <c r="L186" s="252" t="s">
        <v>2089</v>
      </c>
      <c r="M186" s="248"/>
      <c r="N186" s="248"/>
      <c r="O186" s="248"/>
    </row>
    <row r="187" spans="1:15" hidden="1">
      <c r="A187" s="247">
        <v>45691</v>
      </c>
      <c r="B187" s="248" t="s">
        <v>542</v>
      </c>
      <c r="C187" s="248" t="s">
        <v>150</v>
      </c>
      <c r="D187" s="249" t="s">
        <v>440</v>
      </c>
      <c r="E187" s="250">
        <v>16000</v>
      </c>
      <c r="F187" s="250">
        <v>26.836947095990727</v>
      </c>
      <c r="G187" s="251">
        <v>579.25099999999998</v>
      </c>
      <c r="H187" s="252" t="s">
        <v>155</v>
      </c>
      <c r="I187" s="252" t="s">
        <v>543</v>
      </c>
      <c r="J187" s="252" t="s">
        <v>96</v>
      </c>
      <c r="K187" s="256" t="s">
        <v>200</v>
      </c>
      <c r="L187" s="252" t="s">
        <v>2089</v>
      </c>
      <c r="M187" s="248"/>
      <c r="N187" s="248"/>
      <c r="O187" s="248"/>
    </row>
    <row r="188" spans="1:15" hidden="1">
      <c r="A188" s="247">
        <v>45691</v>
      </c>
      <c r="B188" s="248" t="s">
        <v>544</v>
      </c>
      <c r="C188" s="248" t="s">
        <v>150</v>
      </c>
      <c r="D188" s="248" t="s">
        <v>118</v>
      </c>
      <c r="E188" s="250">
        <v>11000</v>
      </c>
      <c r="F188" s="250">
        <v>18.450401128493628</v>
      </c>
      <c r="G188" s="251">
        <v>579.25099999999998</v>
      </c>
      <c r="H188" s="252" t="s">
        <v>155</v>
      </c>
      <c r="I188" s="252" t="s">
        <v>545</v>
      </c>
      <c r="J188" s="252" t="s">
        <v>96</v>
      </c>
      <c r="K188" s="256" t="s">
        <v>200</v>
      </c>
      <c r="L188" s="252" t="s">
        <v>2089</v>
      </c>
      <c r="M188" s="248"/>
      <c r="N188" s="248"/>
      <c r="O188" s="248"/>
    </row>
    <row r="189" spans="1:15" hidden="1">
      <c r="A189" s="247">
        <v>45692</v>
      </c>
      <c r="B189" s="248" t="s">
        <v>698</v>
      </c>
      <c r="C189" s="254" t="s">
        <v>172</v>
      </c>
      <c r="D189" s="249" t="s">
        <v>115</v>
      </c>
      <c r="E189" s="250">
        <v>7000</v>
      </c>
      <c r="F189" s="250">
        <v>11.741164354495943</v>
      </c>
      <c r="G189" s="251">
        <v>579.25099999999998</v>
      </c>
      <c r="H189" s="252" t="s">
        <v>185</v>
      </c>
      <c r="I189" s="252" t="s">
        <v>699</v>
      </c>
      <c r="J189" s="252" t="s">
        <v>96</v>
      </c>
      <c r="K189" s="256" t="s">
        <v>200</v>
      </c>
      <c r="L189" s="252" t="s">
        <v>2089</v>
      </c>
      <c r="M189" s="248"/>
      <c r="N189" s="248"/>
      <c r="O189" s="248"/>
    </row>
    <row r="190" spans="1:15" hidden="1">
      <c r="A190" s="247">
        <v>45692</v>
      </c>
      <c r="B190" s="248" t="s">
        <v>546</v>
      </c>
      <c r="C190" s="248" t="s">
        <v>254</v>
      </c>
      <c r="D190" s="249" t="s">
        <v>115</v>
      </c>
      <c r="E190" s="250">
        <v>70000</v>
      </c>
      <c r="F190" s="250">
        <v>117.41164354495943</v>
      </c>
      <c r="G190" s="251">
        <v>579.25099999999998</v>
      </c>
      <c r="H190" s="252" t="s">
        <v>185</v>
      </c>
      <c r="I190" s="252" t="s">
        <v>547</v>
      </c>
      <c r="J190" s="252" t="s">
        <v>96</v>
      </c>
      <c r="K190" s="256" t="s">
        <v>200</v>
      </c>
      <c r="L190" s="252" t="s">
        <v>2089</v>
      </c>
      <c r="M190" s="248"/>
      <c r="N190" s="248"/>
      <c r="O190" s="248"/>
    </row>
    <row r="191" spans="1:15" hidden="1">
      <c r="A191" s="247">
        <v>45692</v>
      </c>
      <c r="B191" s="248" t="s">
        <v>734</v>
      </c>
      <c r="C191" s="254" t="s">
        <v>172</v>
      </c>
      <c r="D191" s="249" t="s">
        <v>115</v>
      </c>
      <c r="E191" s="250">
        <v>7000</v>
      </c>
      <c r="F191" s="250">
        <v>11.741164354495943</v>
      </c>
      <c r="G191" s="251">
        <v>579.25099999999998</v>
      </c>
      <c r="H191" s="252" t="s">
        <v>191</v>
      </c>
      <c r="I191" s="252" t="s">
        <v>735</v>
      </c>
      <c r="J191" s="252" t="s">
        <v>96</v>
      </c>
      <c r="K191" s="256" t="s">
        <v>200</v>
      </c>
      <c r="L191" s="252" t="s">
        <v>2089</v>
      </c>
      <c r="M191" s="248"/>
      <c r="N191" s="248"/>
      <c r="O191" s="248"/>
    </row>
    <row r="192" spans="1:15" hidden="1">
      <c r="A192" s="247">
        <v>45692</v>
      </c>
      <c r="B192" s="248" t="s">
        <v>98</v>
      </c>
      <c r="C192" s="254" t="s">
        <v>302</v>
      </c>
      <c r="D192" s="248" t="s">
        <v>116</v>
      </c>
      <c r="E192" s="250">
        <v>260000</v>
      </c>
      <c r="F192" s="250">
        <v>436.10039030984933</v>
      </c>
      <c r="G192" s="251">
        <v>579.25099999999998</v>
      </c>
      <c r="H192" s="252" t="s">
        <v>146</v>
      </c>
      <c r="I192" s="252" t="s">
        <v>477</v>
      </c>
      <c r="J192" s="252" t="s">
        <v>96</v>
      </c>
      <c r="K192" s="256" t="s">
        <v>200</v>
      </c>
      <c r="L192" s="252" t="s">
        <v>2089</v>
      </c>
      <c r="M192" s="248"/>
      <c r="N192" s="248"/>
      <c r="O192" s="248"/>
    </row>
    <row r="193" spans="1:15" hidden="1">
      <c r="A193" s="247">
        <v>45692</v>
      </c>
      <c r="B193" s="248" t="s">
        <v>4749</v>
      </c>
      <c r="C193" s="254" t="s">
        <v>172</v>
      </c>
      <c r="D193" s="249" t="s">
        <v>440</v>
      </c>
      <c r="E193" s="250">
        <v>9000</v>
      </c>
      <c r="F193" s="250">
        <v>15.095782741494785</v>
      </c>
      <c r="G193" s="251">
        <v>579.25099999999998</v>
      </c>
      <c r="H193" s="252" t="s">
        <v>315</v>
      </c>
      <c r="I193" s="252" t="s">
        <v>743</v>
      </c>
      <c r="J193" s="252" t="s">
        <v>96</v>
      </c>
      <c r="K193" s="256" t="s">
        <v>200</v>
      </c>
      <c r="L193" s="252" t="s">
        <v>2089</v>
      </c>
      <c r="M193" s="248"/>
      <c r="N193" s="248"/>
      <c r="O193" s="248"/>
    </row>
    <row r="194" spans="1:15" hidden="1">
      <c r="A194" s="247">
        <v>45693</v>
      </c>
      <c r="B194" s="248" t="s">
        <v>4776</v>
      </c>
      <c r="C194" s="254" t="s">
        <v>172</v>
      </c>
      <c r="D194" s="249" t="s">
        <v>440</v>
      </c>
      <c r="E194" s="250">
        <v>6000</v>
      </c>
      <c r="F194" s="250">
        <v>10.063855160996523</v>
      </c>
      <c r="G194" s="251">
        <v>579.25099999999998</v>
      </c>
      <c r="H194" s="252" t="s">
        <v>182</v>
      </c>
      <c r="I194" s="252" t="s">
        <v>650</v>
      </c>
      <c r="J194" s="252" t="s">
        <v>96</v>
      </c>
      <c r="K194" s="256" t="s">
        <v>200</v>
      </c>
      <c r="L194" s="252" t="s">
        <v>2089</v>
      </c>
      <c r="M194" s="248"/>
      <c r="N194" s="248"/>
      <c r="O194" s="248"/>
    </row>
    <row r="195" spans="1:15" hidden="1">
      <c r="A195" s="247">
        <v>45693</v>
      </c>
      <c r="B195" s="248" t="s">
        <v>548</v>
      </c>
      <c r="C195" s="254" t="s">
        <v>1168</v>
      </c>
      <c r="D195" s="248" t="s">
        <v>116</v>
      </c>
      <c r="E195" s="250">
        <v>25000</v>
      </c>
      <c r="F195" s="250">
        <v>41.93272983748551</v>
      </c>
      <c r="G195" s="251">
        <v>579.25099999999998</v>
      </c>
      <c r="H195" s="252" t="s">
        <v>155</v>
      </c>
      <c r="I195" s="252" t="s">
        <v>549</v>
      </c>
      <c r="J195" s="252" t="s">
        <v>96</v>
      </c>
      <c r="K195" s="256" t="s">
        <v>200</v>
      </c>
      <c r="L195" s="252" t="s">
        <v>2089</v>
      </c>
      <c r="M195" s="248"/>
      <c r="N195" s="248"/>
      <c r="O195" s="248"/>
    </row>
    <row r="196" spans="1:15" hidden="1">
      <c r="A196" s="247">
        <v>45693</v>
      </c>
      <c r="B196" s="248" t="s">
        <v>550</v>
      </c>
      <c r="C196" s="254" t="s">
        <v>1168</v>
      </c>
      <c r="D196" s="248" t="s">
        <v>116</v>
      </c>
      <c r="E196" s="250">
        <v>63000</v>
      </c>
      <c r="F196" s="250">
        <v>105.6704791904635</v>
      </c>
      <c r="G196" s="251">
        <v>579.25099999999998</v>
      </c>
      <c r="H196" s="252" t="s">
        <v>155</v>
      </c>
      <c r="I196" s="252" t="s">
        <v>551</v>
      </c>
      <c r="J196" s="252" t="s">
        <v>96</v>
      </c>
      <c r="K196" s="256" t="s">
        <v>200</v>
      </c>
      <c r="L196" s="252" t="s">
        <v>2089</v>
      </c>
      <c r="M196" s="248"/>
      <c r="N196" s="248"/>
      <c r="O196" s="248"/>
    </row>
    <row r="197" spans="1:15" hidden="1">
      <c r="A197" s="247">
        <v>45693</v>
      </c>
      <c r="B197" s="248" t="s">
        <v>4761</v>
      </c>
      <c r="C197" s="254" t="s">
        <v>175</v>
      </c>
      <c r="D197" s="249" t="s">
        <v>440</v>
      </c>
      <c r="E197" s="250">
        <v>230000</v>
      </c>
      <c r="F197" s="250">
        <v>385.78111450486671</v>
      </c>
      <c r="G197" s="251">
        <v>579.25099999999998</v>
      </c>
      <c r="H197" s="252" t="s">
        <v>182</v>
      </c>
      <c r="I197" s="252" t="s">
        <v>651</v>
      </c>
      <c r="J197" s="252" t="s">
        <v>96</v>
      </c>
      <c r="K197" s="256" t="s">
        <v>200</v>
      </c>
      <c r="L197" s="252" t="s">
        <v>2089</v>
      </c>
      <c r="M197" s="248"/>
      <c r="N197" s="248"/>
      <c r="O197" s="248"/>
    </row>
    <row r="198" spans="1:15" hidden="1">
      <c r="A198" s="247">
        <v>45693</v>
      </c>
      <c r="B198" s="248" t="s">
        <v>4803</v>
      </c>
      <c r="C198" s="254" t="s">
        <v>175</v>
      </c>
      <c r="D198" s="249" t="s">
        <v>440</v>
      </c>
      <c r="E198" s="250">
        <v>70000</v>
      </c>
      <c r="F198" s="250">
        <v>117.41164354495943</v>
      </c>
      <c r="G198" s="251">
        <v>579.25099999999998</v>
      </c>
      <c r="H198" s="252" t="s">
        <v>315</v>
      </c>
      <c r="I198" s="252" t="s">
        <v>742</v>
      </c>
      <c r="J198" s="252" t="s">
        <v>96</v>
      </c>
      <c r="K198" s="256" t="s">
        <v>200</v>
      </c>
      <c r="L198" s="252" t="s">
        <v>2089</v>
      </c>
      <c r="M198" s="248"/>
      <c r="N198" s="248"/>
      <c r="O198" s="248"/>
    </row>
    <row r="199" spans="1:15" hidden="1">
      <c r="A199" s="247">
        <v>45693</v>
      </c>
      <c r="B199" s="248" t="s">
        <v>4749</v>
      </c>
      <c r="C199" s="254" t="s">
        <v>172</v>
      </c>
      <c r="D199" s="249" t="s">
        <v>440</v>
      </c>
      <c r="E199" s="250">
        <v>5000</v>
      </c>
      <c r="F199" s="250">
        <v>8.3865459674971028</v>
      </c>
      <c r="G199" s="251">
        <v>579.25099999999998</v>
      </c>
      <c r="H199" s="252" t="s">
        <v>315</v>
      </c>
      <c r="I199" s="252" t="s">
        <v>743</v>
      </c>
      <c r="J199" s="252" t="s">
        <v>96</v>
      </c>
      <c r="K199" s="256" t="s">
        <v>200</v>
      </c>
      <c r="L199" s="252" t="s">
        <v>2089</v>
      </c>
      <c r="M199" s="248"/>
      <c r="N199" s="248"/>
      <c r="O199" s="248"/>
    </row>
    <row r="200" spans="1:15" hidden="1">
      <c r="A200" s="247">
        <v>45693</v>
      </c>
      <c r="B200" s="248" t="s">
        <v>700</v>
      </c>
      <c r="C200" s="254" t="s">
        <v>175</v>
      </c>
      <c r="D200" s="249" t="s">
        <v>115</v>
      </c>
      <c r="E200" s="250">
        <v>20000</v>
      </c>
      <c r="F200" s="250">
        <v>33.546183869988411</v>
      </c>
      <c r="G200" s="251">
        <v>579.25099999999998</v>
      </c>
      <c r="H200" s="252" t="s">
        <v>185</v>
      </c>
      <c r="I200" s="252" t="s">
        <v>701</v>
      </c>
      <c r="J200" s="252" t="s">
        <v>96</v>
      </c>
      <c r="K200" s="256" t="s">
        <v>200</v>
      </c>
      <c r="L200" s="252" t="s">
        <v>2089</v>
      </c>
      <c r="M200" s="248"/>
      <c r="N200" s="248"/>
      <c r="O200" s="248"/>
    </row>
    <row r="201" spans="1:15" hidden="1">
      <c r="A201" s="247">
        <v>45693</v>
      </c>
      <c r="B201" s="248" t="s">
        <v>736</v>
      </c>
      <c r="C201" s="254" t="s">
        <v>175</v>
      </c>
      <c r="D201" s="249" t="s">
        <v>115</v>
      </c>
      <c r="E201" s="250">
        <v>20000</v>
      </c>
      <c r="F201" s="250">
        <v>33.546183869988411</v>
      </c>
      <c r="G201" s="251">
        <v>579.25099999999998</v>
      </c>
      <c r="H201" s="252" t="s">
        <v>191</v>
      </c>
      <c r="I201" s="252" t="s">
        <v>737</v>
      </c>
      <c r="J201" s="252" t="s">
        <v>96</v>
      </c>
      <c r="K201" s="256" t="s">
        <v>200</v>
      </c>
      <c r="L201" s="252" t="s">
        <v>2089</v>
      </c>
      <c r="M201" s="248"/>
      <c r="N201" s="248"/>
      <c r="O201" s="248"/>
    </row>
    <row r="202" spans="1:15" hidden="1">
      <c r="A202" s="247">
        <v>45693</v>
      </c>
      <c r="B202" s="248" t="s">
        <v>97</v>
      </c>
      <c r="C202" s="254" t="s">
        <v>124</v>
      </c>
      <c r="D202" s="248" t="s">
        <v>116</v>
      </c>
      <c r="E202" s="250">
        <v>500000</v>
      </c>
      <c r="F202" s="250">
        <v>838.65459674971032</v>
      </c>
      <c r="G202" s="251">
        <v>579.25099999999998</v>
      </c>
      <c r="H202" s="252" t="s">
        <v>146</v>
      </c>
      <c r="I202" s="252" t="s">
        <v>478</v>
      </c>
      <c r="J202" s="252" t="s">
        <v>96</v>
      </c>
      <c r="K202" s="256" t="s">
        <v>200</v>
      </c>
      <c r="L202" s="252" t="s">
        <v>2089</v>
      </c>
      <c r="M202" s="248"/>
      <c r="N202" s="248"/>
      <c r="O202" s="248"/>
    </row>
    <row r="203" spans="1:15" hidden="1">
      <c r="A203" s="247">
        <v>45694</v>
      </c>
      <c r="B203" s="248" t="s">
        <v>4744</v>
      </c>
      <c r="C203" s="254" t="s">
        <v>172</v>
      </c>
      <c r="D203" s="249" t="s">
        <v>440</v>
      </c>
      <c r="E203" s="250">
        <v>9000</v>
      </c>
      <c r="F203" s="250">
        <v>15.095782741494785</v>
      </c>
      <c r="G203" s="251">
        <v>579.25099999999998</v>
      </c>
      <c r="H203" s="252" t="s">
        <v>173</v>
      </c>
      <c r="I203" s="252" t="s">
        <v>673</v>
      </c>
      <c r="J203" s="252" t="s">
        <v>96</v>
      </c>
      <c r="K203" s="256" t="s">
        <v>200</v>
      </c>
      <c r="L203" s="252" t="s">
        <v>2089</v>
      </c>
      <c r="M203" s="248"/>
      <c r="N203" s="248"/>
      <c r="O203" s="248"/>
    </row>
    <row r="204" spans="1:15" hidden="1">
      <c r="A204" s="247">
        <v>45694</v>
      </c>
      <c r="B204" s="248" t="s">
        <v>4804</v>
      </c>
      <c r="C204" s="254" t="s">
        <v>175</v>
      </c>
      <c r="D204" s="249" t="s">
        <v>440</v>
      </c>
      <c r="E204" s="250">
        <v>190000</v>
      </c>
      <c r="F204" s="250">
        <v>318.68874676488991</v>
      </c>
      <c r="G204" s="251">
        <v>579.25099999999998</v>
      </c>
      <c r="H204" s="252" t="s">
        <v>173</v>
      </c>
      <c r="I204" s="252" t="s">
        <v>674</v>
      </c>
      <c r="J204" s="252" t="s">
        <v>96</v>
      </c>
      <c r="K204" s="256" t="s">
        <v>200</v>
      </c>
      <c r="L204" s="252" t="s">
        <v>2089</v>
      </c>
      <c r="M204" s="248"/>
      <c r="N204" s="248"/>
      <c r="O204" s="248"/>
    </row>
    <row r="205" spans="1:15" hidden="1">
      <c r="A205" s="247">
        <v>45694</v>
      </c>
      <c r="B205" s="248" t="s">
        <v>496</v>
      </c>
      <c r="C205" s="254" t="s">
        <v>2092</v>
      </c>
      <c r="D205" s="248" t="s">
        <v>118</v>
      </c>
      <c r="E205" s="250">
        <v>148000</v>
      </c>
      <c r="F205" s="250">
        <v>248.24176063791424</v>
      </c>
      <c r="G205" s="251">
        <v>579.25099999999998</v>
      </c>
      <c r="H205" s="252" t="s">
        <v>211</v>
      </c>
      <c r="I205" s="252" t="s">
        <v>497</v>
      </c>
      <c r="J205" s="252" t="s">
        <v>96</v>
      </c>
      <c r="K205" s="256" t="s">
        <v>200</v>
      </c>
      <c r="L205" s="252" t="s">
        <v>2089</v>
      </c>
      <c r="M205" s="248"/>
      <c r="N205" s="248"/>
      <c r="O205" s="248"/>
    </row>
    <row r="206" spans="1:15" hidden="1">
      <c r="A206" s="247">
        <v>45695</v>
      </c>
      <c r="B206" s="248" t="s">
        <v>4758</v>
      </c>
      <c r="C206" s="254" t="s">
        <v>172</v>
      </c>
      <c r="D206" s="249" t="s">
        <v>440</v>
      </c>
      <c r="E206" s="250">
        <v>5000</v>
      </c>
      <c r="F206" s="250">
        <v>8.3865459674971028</v>
      </c>
      <c r="G206" s="251">
        <v>579.25099999999998</v>
      </c>
      <c r="H206" s="252" t="s">
        <v>182</v>
      </c>
      <c r="I206" s="252" t="s">
        <v>652</v>
      </c>
      <c r="J206" s="252" t="s">
        <v>96</v>
      </c>
      <c r="K206" s="256" t="s">
        <v>200</v>
      </c>
      <c r="L206" s="252" t="s">
        <v>2089</v>
      </c>
      <c r="M206" s="248"/>
      <c r="N206" s="248"/>
      <c r="O206" s="248"/>
    </row>
    <row r="207" spans="1:15" hidden="1">
      <c r="A207" s="247">
        <v>45695</v>
      </c>
      <c r="B207" s="248" t="s">
        <v>4778</v>
      </c>
      <c r="C207" s="254" t="s">
        <v>175</v>
      </c>
      <c r="D207" s="249" t="s">
        <v>440</v>
      </c>
      <c r="E207" s="250">
        <v>30000</v>
      </c>
      <c r="F207" s="250">
        <v>50.319275804982617</v>
      </c>
      <c r="G207" s="251">
        <v>579.25099999999998</v>
      </c>
      <c r="H207" s="252" t="s">
        <v>182</v>
      </c>
      <c r="I207" s="252" t="s">
        <v>653</v>
      </c>
      <c r="J207" s="252" t="s">
        <v>96</v>
      </c>
      <c r="K207" s="256" t="s">
        <v>200</v>
      </c>
      <c r="L207" s="252" t="s">
        <v>2089</v>
      </c>
      <c r="M207" s="248"/>
      <c r="N207" s="248"/>
      <c r="O207" s="248"/>
    </row>
    <row r="208" spans="1:15" hidden="1">
      <c r="A208" s="247">
        <v>45695</v>
      </c>
      <c r="B208" s="248" t="s">
        <v>4793</v>
      </c>
      <c r="C208" s="254" t="s">
        <v>175</v>
      </c>
      <c r="D208" s="249" t="s">
        <v>440</v>
      </c>
      <c r="E208" s="250">
        <v>30000</v>
      </c>
      <c r="F208" s="250">
        <v>50.319275804982617</v>
      </c>
      <c r="G208" s="251">
        <v>579.25099999999998</v>
      </c>
      <c r="H208" s="252" t="s">
        <v>315</v>
      </c>
      <c r="I208" s="252" t="s">
        <v>743</v>
      </c>
      <c r="J208" s="252" t="s">
        <v>96</v>
      </c>
      <c r="K208" s="256" t="s">
        <v>200</v>
      </c>
      <c r="L208" s="252" t="s">
        <v>2089</v>
      </c>
      <c r="M208" s="248"/>
      <c r="N208" s="248"/>
      <c r="O208" s="248"/>
    </row>
    <row r="209" spans="1:15" hidden="1">
      <c r="A209" s="247">
        <v>45695</v>
      </c>
      <c r="B209" s="248" t="s">
        <v>4749</v>
      </c>
      <c r="C209" s="254" t="s">
        <v>172</v>
      </c>
      <c r="D209" s="249" t="s">
        <v>440</v>
      </c>
      <c r="E209" s="250">
        <v>5000</v>
      </c>
      <c r="F209" s="250">
        <v>8.3865459674971028</v>
      </c>
      <c r="G209" s="251">
        <v>579.25099999999998</v>
      </c>
      <c r="H209" s="252" t="s">
        <v>315</v>
      </c>
      <c r="I209" s="252" t="s">
        <v>744</v>
      </c>
      <c r="J209" s="252" t="s">
        <v>96</v>
      </c>
      <c r="K209" s="256" t="s">
        <v>200</v>
      </c>
      <c r="L209" s="252" t="s">
        <v>2089</v>
      </c>
      <c r="M209" s="248"/>
      <c r="N209" s="248"/>
      <c r="O209" s="248"/>
    </row>
    <row r="210" spans="1:15" hidden="1">
      <c r="A210" s="247">
        <v>45695</v>
      </c>
      <c r="B210" s="248" t="s">
        <v>4749</v>
      </c>
      <c r="C210" s="254" t="s">
        <v>172</v>
      </c>
      <c r="D210" s="249" t="s">
        <v>440</v>
      </c>
      <c r="E210" s="250">
        <v>4500</v>
      </c>
      <c r="F210" s="250">
        <v>7.5478913707473927</v>
      </c>
      <c r="G210" s="251">
        <v>579.25099999999998</v>
      </c>
      <c r="H210" s="252" t="s">
        <v>315</v>
      </c>
      <c r="I210" s="252" t="s">
        <v>745</v>
      </c>
      <c r="J210" s="252" t="s">
        <v>96</v>
      </c>
      <c r="K210" s="256" t="s">
        <v>200</v>
      </c>
      <c r="L210" s="252" t="s">
        <v>2089</v>
      </c>
      <c r="M210" s="248"/>
      <c r="N210" s="248"/>
      <c r="O210" s="248"/>
    </row>
    <row r="211" spans="1:15" hidden="1">
      <c r="A211" s="247">
        <v>45695</v>
      </c>
      <c r="B211" s="248" t="s">
        <v>702</v>
      </c>
      <c r="C211" s="254" t="s">
        <v>172</v>
      </c>
      <c r="D211" s="249" t="s">
        <v>115</v>
      </c>
      <c r="E211" s="250">
        <v>7000</v>
      </c>
      <c r="F211" s="250">
        <v>11.741164354495943</v>
      </c>
      <c r="G211" s="251">
        <v>579.25099999999998</v>
      </c>
      <c r="H211" s="252" t="s">
        <v>185</v>
      </c>
      <c r="I211" s="252" t="s">
        <v>703</v>
      </c>
      <c r="J211" s="252" t="s">
        <v>96</v>
      </c>
      <c r="K211" s="256" t="s">
        <v>200</v>
      </c>
      <c r="L211" s="252" t="s">
        <v>2089</v>
      </c>
      <c r="M211" s="248"/>
      <c r="N211" s="248"/>
      <c r="O211" s="248"/>
    </row>
    <row r="212" spans="1:15" hidden="1">
      <c r="A212" s="247">
        <v>45695</v>
      </c>
      <c r="B212" s="248" t="s">
        <v>704</v>
      </c>
      <c r="C212" s="254" t="s">
        <v>175</v>
      </c>
      <c r="D212" s="249" t="s">
        <v>115</v>
      </c>
      <c r="E212" s="250">
        <v>30000</v>
      </c>
      <c r="F212" s="250">
        <v>50.319275804982617</v>
      </c>
      <c r="G212" s="251">
        <v>579.25099999999998</v>
      </c>
      <c r="H212" s="252" t="s">
        <v>185</v>
      </c>
      <c r="I212" s="252" t="s">
        <v>705</v>
      </c>
      <c r="J212" s="252" t="s">
        <v>96</v>
      </c>
      <c r="K212" s="256" t="s">
        <v>200</v>
      </c>
      <c r="L212" s="252" t="s">
        <v>2089</v>
      </c>
      <c r="M212" s="248"/>
      <c r="N212" s="248"/>
      <c r="O212" s="248"/>
    </row>
    <row r="213" spans="1:15" hidden="1">
      <c r="A213" s="247">
        <v>45695</v>
      </c>
      <c r="B213" s="248" t="s">
        <v>738</v>
      </c>
      <c r="C213" s="254" t="s">
        <v>172</v>
      </c>
      <c r="D213" s="249" t="s">
        <v>115</v>
      </c>
      <c r="E213" s="250">
        <v>7000</v>
      </c>
      <c r="F213" s="250">
        <v>11.741164354495943</v>
      </c>
      <c r="G213" s="251">
        <v>579.25099999999998</v>
      </c>
      <c r="H213" s="252" t="s">
        <v>191</v>
      </c>
      <c r="I213" s="252" t="s">
        <v>739</v>
      </c>
      <c r="J213" s="252" t="s">
        <v>96</v>
      </c>
      <c r="K213" s="256" t="s">
        <v>200</v>
      </c>
      <c r="L213" s="252" t="s">
        <v>2089</v>
      </c>
      <c r="M213" s="248"/>
      <c r="N213" s="248"/>
      <c r="O213" s="248"/>
    </row>
    <row r="214" spans="1:15" hidden="1">
      <c r="A214" s="247">
        <v>45695</v>
      </c>
      <c r="B214" s="248" t="s">
        <v>740</v>
      </c>
      <c r="C214" s="254" t="s">
        <v>175</v>
      </c>
      <c r="D214" s="249" t="s">
        <v>115</v>
      </c>
      <c r="E214" s="250">
        <v>30000</v>
      </c>
      <c r="F214" s="250">
        <v>50.319275804982617</v>
      </c>
      <c r="G214" s="251">
        <v>579.25099999999998</v>
      </c>
      <c r="H214" s="252" t="s">
        <v>191</v>
      </c>
      <c r="I214" s="252" t="s">
        <v>741</v>
      </c>
      <c r="J214" s="252" t="s">
        <v>96</v>
      </c>
      <c r="K214" s="256" t="s">
        <v>200</v>
      </c>
      <c r="L214" s="252" t="s">
        <v>2089</v>
      </c>
      <c r="M214" s="248"/>
      <c r="N214" s="248"/>
      <c r="O214" s="248"/>
    </row>
    <row r="215" spans="1:15" hidden="1">
      <c r="A215" s="247">
        <v>45695</v>
      </c>
      <c r="B215" s="248" t="s">
        <v>190</v>
      </c>
      <c r="C215" s="255" t="s">
        <v>2090</v>
      </c>
      <c r="D215" s="248" t="s">
        <v>116</v>
      </c>
      <c r="E215" s="250">
        <v>4830.0000000000009</v>
      </c>
      <c r="F215" s="250">
        <v>8.1014034046022019</v>
      </c>
      <c r="G215" s="251">
        <v>579.25099999999998</v>
      </c>
      <c r="H215" s="252" t="s">
        <v>188</v>
      </c>
      <c r="I215" s="252" t="s">
        <v>502</v>
      </c>
      <c r="J215" s="252" t="s">
        <v>96</v>
      </c>
      <c r="K215" s="256" t="s">
        <v>200</v>
      </c>
      <c r="L215" s="252" t="s">
        <v>2089</v>
      </c>
      <c r="M215" s="248"/>
      <c r="N215" s="248"/>
      <c r="O215" s="248"/>
    </row>
    <row r="216" spans="1:15" hidden="1">
      <c r="A216" s="247">
        <v>45695</v>
      </c>
      <c r="B216" s="248" t="s">
        <v>771</v>
      </c>
      <c r="C216" s="255" t="s">
        <v>2090</v>
      </c>
      <c r="D216" s="248" t="s">
        <v>116</v>
      </c>
      <c r="E216" s="250">
        <v>13615</v>
      </c>
      <c r="F216" s="250">
        <v>22.180704562790044</v>
      </c>
      <c r="G216" s="251">
        <v>579.25099999999998</v>
      </c>
      <c r="H216" s="252" t="s">
        <v>191</v>
      </c>
      <c r="I216" s="252" t="s">
        <v>607</v>
      </c>
      <c r="J216" s="252" t="s">
        <v>96</v>
      </c>
      <c r="K216" s="256" t="s">
        <v>200</v>
      </c>
      <c r="L216" s="252" t="s">
        <v>2089</v>
      </c>
      <c r="M216" s="248"/>
      <c r="N216" s="248"/>
      <c r="O216" s="248"/>
    </row>
    <row r="217" spans="1:15" hidden="1">
      <c r="A217" s="247">
        <v>45696</v>
      </c>
      <c r="B217" s="248" t="s">
        <v>4792</v>
      </c>
      <c r="C217" s="254" t="s">
        <v>172</v>
      </c>
      <c r="D217" s="249" t="s">
        <v>440</v>
      </c>
      <c r="E217" s="250">
        <v>8000</v>
      </c>
      <c r="F217" s="250">
        <v>13.418473547995363</v>
      </c>
      <c r="G217" s="251">
        <v>579.25099999999998</v>
      </c>
      <c r="H217" s="252" t="s">
        <v>321</v>
      </c>
      <c r="I217" s="252" t="s">
        <v>684</v>
      </c>
      <c r="J217" s="252" t="s">
        <v>96</v>
      </c>
      <c r="K217" s="256" t="s">
        <v>200</v>
      </c>
      <c r="L217" s="252" t="s">
        <v>2089</v>
      </c>
      <c r="M217" s="248"/>
      <c r="N217" s="248"/>
      <c r="O217" s="248"/>
    </row>
    <row r="218" spans="1:15" hidden="1">
      <c r="A218" s="247">
        <v>45696</v>
      </c>
      <c r="B218" s="248" t="s">
        <v>4805</v>
      </c>
      <c r="C218" s="254" t="s">
        <v>175</v>
      </c>
      <c r="D218" s="249" t="s">
        <v>440</v>
      </c>
      <c r="E218" s="250">
        <v>70000</v>
      </c>
      <c r="F218" s="250">
        <v>117.41164354495943</v>
      </c>
      <c r="G218" s="251">
        <v>579.25099999999998</v>
      </c>
      <c r="H218" s="252" t="s">
        <v>321</v>
      </c>
      <c r="I218" s="252" t="s">
        <v>685</v>
      </c>
      <c r="J218" s="252" t="s">
        <v>96</v>
      </c>
      <c r="K218" s="256" t="s">
        <v>200</v>
      </c>
      <c r="L218" s="252" t="s">
        <v>2089</v>
      </c>
      <c r="M218" s="248"/>
      <c r="N218" s="248"/>
      <c r="O218" s="248"/>
    </row>
    <row r="219" spans="1:15" hidden="1">
      <c r="A219" s="247">
        <v>45696</v>
      </c>
      <c r="B219" s="248" t="s">
        <v>4806</v>
      </c>
      <c r="C219" s="254" t="s">
        <v>172</v>
      </c>
      <c r="D219" s="249" t="s">
        <v>440</v>
      </c>
      <c r="E219" s="250">
        <v>4000</v>
      </c>
      <c r="F219" s="250">
        <v>6.7092367739976817</v>
      </c>
      <c r="G219" s="251">
        <v>579.25099999999998</v>
      </c>
      <c r="H219" s="252" t="s">
        <v>321</v>
      </c>
      <c r="I219" s="252" t="s">
        <v>686</v>
      </c>
      <c r="J219" s="252" t="s">
        <v>96</v>
      </c>
      <c r="K219" s="256" t="s">
        <v>200</v>
      </c>
      <c r="L219" s="252" t="s">
        <v>2089</v>
      </c>
      <c r="M219" s="248"/>
      <c r="N219" s="248"/>
      <c r="O219" s="248"/>
    </row>
    <row r="220" spans="1:15" hidden="1">
      <c r="A220" s="247">
        <v>45697</v>
      </c>
      <c r="B220" s="248" t="s">
        <v>4759</v>
      </c>
      <c r="C220" s="254" t="s">
        <v>175</v>
      </c>
      <c r="D220" s="249" t="s">
        <v>440</v>
      </c>
      <c r="E220" s="250">
        <v>30000</v>
      </c>
      <c r="F220" s="250">
        <v>50.319275804982617</v>
      </c>
      <c r="G220" s="251">
        <v>579.25099999999998</v>
      </c>
      <c r="H220" s="252" t="s">
        <v>182</v>
      </c>
      <c r="I220" s="252" t="s">
        <v>654</v>
      </c>
      <c r="J220" s="252" t="s">
        <v>96</v>
      </c>
      <c r="K220" s="256" t="s">
        <v>200</v>
      </c>
      <c r="L220" s="252" t="s">
        <v>2089</v>
      </c>
      <c r="M220" s="248"/>
      <c r="N220" s="248"/>
      <c r="O220" s="248"/>
    </row>
    <row r="221" spans="1:15" hidden="1">
      <c r="A221" s="247">
        <v>45697</v>
      </c>
      <c r="B221" s="248" t="s">
        <v>4776</v>
      </c>
      <c r="C221" s="254" t="s">
        <v>172</v>
      </c>
      <c r="D221" s="249" t="s">
        <v>440</v>
      </c>
      <c r="E221" s="250">
        <v>5000</v>
      </c>
      <c r="F221" s="250">
        <v>8.3865459674971028</v>
      </c>
      <c r="G221" s="251">
        <v>579.25099999999998</v>
      </c>
      <c r="H221" s="252" t="s">
        <v>182</v>
      </c>
      <c r="I221" s="252" t="s">
        <v>655</v>
      </c>
      <c r="J221" s="252" t="s">
        <v>96</v>
      </c>
      <c r="K221" s="256" t="s">
        <v>200</v>
      </c>
      <c r="L221" s="252" t="s">
        <v>2089</v>
      </c>
      <c r="M221" s="248"/>
      <c r="N221" s="248"/>
      <c r="O221" s="248"/>
    </row>
    <row r="222" spans="1:15" hidden="1">
      <c r="A222" s="247">
        <v>45697</v>
      </c>
      <c r="B222" s="248" t="s">
        <v>656</v>
      </c>
      <c r="C222" s="254" t="s">
        <v>363</v>
      </c>
      <c r="D222" s="249" t="s">
        <v>440</v>
      </c>
      <c r="E222" s="250">
        <v>39500</v>
      </c>
      <c r="F222" s="250">
        <v>66.253713143227117</v>
      </c>
      <c r="G222" s="251">
        <v>579.25099999999998</v>
      </c>
      <c r="H222" s="252" t="s">
        <v>182</v>
      </c>
      <c r="I222" s="252" t="s">
        <v>657</v>
      </c>
      <c r="J222" s="252" t="s">
        <v>96</v>
      </c>
      <c r="K222" s="256" t="s">
        <v>200</v>
      </c>
      <c r="L222" s="252" t="s">
        <v>2089</v>
      </c>
      <c r="M222" s="248"/>
      <c r="N222" s="248"/>
      <c r="O222" s="248"/>
    </row>
    <row r="223" spans="1:15" hidden="1">
      <c r="A223" s="247">
        <v>45697</v>
      </c>
      <c r="B223" s="248" t="s">
        <v>4807</v>
      </c>
      <c r="C223" s="254" t="s">
        <v>175</v>
      </c>
      <c r="D223" s="249" t="s">
        <v>440</v>
      </c>
      <c r="E223" s="250">
        <v>30000</v>
      </c>
      <c r="F223" s="250">
        <v>50.319275804982617</v>
      </c>
      <c r="G223" s="251">
        <v>579.25099999999998</v>
      </c>
      <c r="H223" s="252" t="s">
        <v>315</v>
      </c>
      <c r="I223" s="252" t="s">
        <v>746</v>
      </c>
      <c r="J223" s="252" t="s">
        <v>96</v>
      </c>
      <c r="K223" s="256" t="s">
        <v>200</v>
      </c>
      <c r="L223" s="252" t="s">
        <v>2089</v>
      </c>
      <c r="M223" s="248"/>
      <c r="N223" s="248"/>
      <c r="O223" s="248"/>
    </row>
    <row r="224" spans="1:15" hidden="1">
      <c r="A224" s="247">
        <v>45697</v>
      </c>
      <c r="B224" s="248" t="s">
        <v>4749</v>
      </c>
      <c r="C224" s="254" t="s">
        <v>172</v>
      </c>
      <c r="D224" s="249" t="s">
        <v>440</v>
      </c>
      <c r="E224" s="250">
        <v>3000</v>
      </c>
      <c r="F224" s="250">
        <v>5.0319275804982615</v>
      </c>
      <c r="G224" s="251">
        <v>579.25099999999998</v>
      </c>
      <c r="H224" s="252" t="s">
        <v>315</v>
      </c>
      <c r="I224" s="252" t="s">
        <v>747</v>
      </c>
      <c r="J224" s="252" t="s">
        <v>96</v>
      </c>
      <c r="K224" s="256" t="s">
        <v>200</v>
      </c>
      <c r="L224" s="252" t="s">
        <v>2089</v>
      </c>
      <c r="M224" s="248"/>
      <c r="N224" s="248"/>
      <c r="O224" s="248"/>
    </row>
    <row r="225" spans="1:15" hidden="1">
      <c r="A225" s="247">
        <v>45698</v>
      </c>
      <c r="B225" s="248" t="s">
        <v>4778</v>
      </c>
      <c r="C225" s="254" t="s">
        <v>175</v>
      </c>
      <c r="D225" s="249" t="s">
        <v>440</v>
      </c>
      <c r="E225" s="250">
        <v>15000</v>
      </c>
      <c r="F225" s="250">
        <v>25.159637902491308</v>
      </c>
      <c r="G225" s="251">
        <v>579.25099999999998</v>
      </c>
      <c r="H225" s="252" t="s">
        <v>182</v>
      </c>
      <c r="I225" s="252" t="s">
        <v>658</v>
      </c>
      <c r="J225" s="252" t="s">
        <v>96</v>
      </c>
      <c r="K225" s="256" t="s">
        <v>200</v>
      </c>
      <c r="L225" s="252" t="s">
        <v>2089</v>
      </c>
      <c r="M225" s="248"/>
      <c r="N225" s="248"/>
      <c r="O225" s="248"/>
    </row>
    <row r="226" spans="1:15" hidden="1">
      <c r="A226" s="247">
        <v>45698</v>
      </c>
      <c r="B226" s="248" t="s">
        <v>4758</v>
      </c>
      <c r="C226" s="254" t="s">
        <v>172</v>
      </c>
      <c r="D226" s="249" t="s">
        <v>440</v>
      </c>
      <c r="E226" s="250">
        <v>5000</v>
      </c>
      <c r="F226" s="250">
        <v>8.3865459674971028</v>
      </c>
      <c r="G226" s="251">
        <v>579.25099999999998</v>
      </c>
      <c r="H226" s="252" t="s">
        <v>182</v>
      </c>
      <c r="I226" s="252" t="s">
        <v>659</v>
      </c>
      <c r="J226" s="252" t="s">
        <v>96</v>
      </c>
      <c r="K226" s="256" t="s">
        <v>200</v>
      </c>
      <c r="L226" s="252" t="s">
        <v>2089</v>
      </c>
      <c r="M226" s="248"/>
      <c r="N226" s="248"/>
      <c r="O226" s="248"/>
    </row>
    <row r="227" spans="1:15" hidden="1">
      <c r="A227" s="247">
        <v>45698</v>
      </c>
      <c r="B227" s="248" t="s">
        <v>4753</v>
      </c>
      <c r="C227" s="254" t="s">
        <v>175</v>
      </c>
      <c r="D227" s="249" t="s">
        <v>440</v>
      </c>
      <c r="E227" s="250">
        <v>60000</v>
      </c>
      <c r="F227" s="250">
        <v>100.63855160996523</v>
      </c>
      <c r="G227" s="251">
        <v>579.25099999999998</v>
      </c>
      <c r="H227" s="252" t="s">
        <v>173</v>
      </c>
      <c r="I227" s="252" t="s">
        <v>675</v>
      </c>
      <c r="J227" s="252" t="s">
        <v>96</v>
      </c>
      <c r="K227" s="256" t="s">
        <v>200</v>
      </c>
      <c r="L227" s="252" t="s">
        <v>2089</v>
      </c>
      <c r="M227" s="248"/>
      <c r="N227" s="248"/>
      <c r="O227" s="248"/>
    </row>
    <row r="228" spans="1:15" hidden="1">
      <c r="A228" s="247">
        <v>45698</v>
      </c>
      <c r="B228" s="248" t="s">
        <v>4755</v>
      </c>
      <c r="C228" s="254" t="s">
        <v>172</v>
      </c>
      <c r="D228" s="249" t="s">
        <v>440</v>
      </c>
      <c r="E228" s="250">
        <v>3000</v>
      </c>
      <c r="F228" s="250">
        <v>5.0319275804982615</v>
      </c>
      <c r="G228" s="251">
        <v>579.25099999999998</v>
      </c>
      <c r="H228" s="252" t="s">
        <v>173</v>
      </c>
      <c r="I228" s="252" t="s">
        <v>676</v>
      </c>
      <c r="J228" s="252" t="s">
        <v>96</v>
      </c>
      <c r="K228" s="256" t="s">
        <v>200</v>
      </c>
      <c r="L228" s="252" t="s">
        <v>2089</v>
      </c>
      <c r="M228" s="248"/>
      <c r="N228" s="248"/>
      <c r="O228" s="248"/>
    </row>
    <row r="229" spans="1:15" hidden="1">
      <c r="A229" s="247">
        <v>45698</v>
      </c>
      <c r="B229" s="248" t="s">
        <v>552</v>
      </c>
      <c r="C229" s="255" t="s">
        <v>2090</v>
      </c>
      <c r="D229" s="248" t="s">
        <v>116</v>
      </c>
      <c r="E229" s="250">
        <v>4110</v>
      </c>
      <c r="F229" s="250">
        <v>6.8937407852826187</v>
      </c>
      <c r="G229" s="251">
        <v>579.25099999999998</v>
      </c>
      <c r="H229" s="252" t="s">
        <v>191</v>
      </c>
      <c r="I229" s="252" t="s">
        <v>553</v>
      </c>
      <c r="J229" s="252" t="s">
        <v>96</v>
      </c>
      <c r="K229" s="256" t="s">
        <v>200</v>
      </c>
      <c r="L229" s="252" t="s">
        <v>2089</v>
      </c>
      <c r="M229" s="248"/>
      <c r="N229" s="248"/>
      <c r="O229" s="248"/>
    </row>
    <row r="230" spans="1:15" hidden="1">
      <c r="A230" s="247">
        <v>45699</v>
      </c>
      <c r="B230" s="248" t="s">
        <v>556</v>
      </c>
      <c r="C230" s="248" t="s">
        <v>125</v>
      </c>
      <c r="D230" s="248" t="s">
        <v>116</v>
      </c>
      <c r="E230" s="250">
        <v>94430</v>
      </c>
      <c r="F230" s="250">
        <v>158.38830714215027</v>
      </c>
      <c r="G230" s="251">
        <v>579.25099999999998</v>
      </c>
      <c r="H230" s="252" t="s">
        <v>155</v>
      </c>
      <c r="I230" s="252" t="s">
        <v>557</v>
      </c>
      <c r="J230" s="252" t="s">
        <v>96</v>
      </c>
      <c r="K230" s="256" t="s">
        <v>200</v>
      </c>
      <c r="L230" s="252" t="s">
        <v>2089</v>
      </c>
      <c r="M230" s="248"/>
      <c r="N230" s="248"/>
      <c r="O230" s="248"/>
    </row>
    <row r="231" spans="1:15" hidden="1">
      <c r="A231" s="247">
        <v>45699</v>
      </c>
      <c r="B231" s="248" t="s">
        <v>558</v>
      </c>
      <c r="C231" s="248" t="s">
        <v>125</v>
      </c>
      <c r="D231" s="249" t="s">
        <v>115</v>
      </c>
      <c r="E231" s="250">
        <v>30000</v>
      </c>
      <c r="F231" s="250">
        <v>50.319275804982617</v>
      </c>
      <c r="G231" s="251">
        <v>579.25099999999998</v>
      </c>
      <c r="H231" s="252" t="s">
        <v>155</v>
      </c>
      <c r="I231" s="252" t="s">
        <v>559</v>
      </c>
      <c r="J231" s="252" t="s">
        <v>96</v>
      </c>
      <c r="K231" s="256" t="s">
        <v>200</v>
      </c>
      <c r="L231" s="252" t="s">
        <v>2089</v>
      </c>
      <c r="M231" s="248"/>
      <c r="N231" s="248"/>
      <c r="O231" s="248"/>
    </row>
    <row r="232" spans="1:15" hidden="1">
      <c r="A232" s="247">
        <v>45699</v>
      </c>
      <c r="B232" s="248" t="s">
        <v>560</v>
      </c>
      <c r="C232" s="248" t="s">
        <v>125</v>
      </c>
      <c r="D232" s="249" t="s">
        <v>115</v>
      </c>
      <c r="E232" s="250">
        <v>30000</v>
      </c>
      <c r="F232" s="250">
        <v>50.319275804982617</v>
      </c>
      <c r="G232" s="251">
        <v>579.25099999999998</v>
      </c>
      <c r="H232" s="252" t="s">
        <v>155</v>
      </c>
      <c r="I232" s="252" t="s">
        <v>561</v>
      </c>
      <c r="J232" s="252" t="s">
        <v>96</v>
      </c>
      <c r="K232" s="256" t="s">
        <v>200</v>
      </c>
      <c r="L232" s="252" t="s">
        <v>2089</v>
      </c>
      <c r="M232" s="248"/>
      <c r="N232" s="248"/>
      <c r="O232" s="248"/>
    </row>
    <row r="233" spans="1:15" hidden="1">
      <c r="A233" s="247">
        <v>45699</v>
      </c>
      <c r="B233" s="248" t="s">
        <v>562</v>
      </c>
      <c r="C233" s="248" t="s">
        <v>125</v>
      </c>
      <c r="D233" s="249" t="s">
        <v>115</v>
      </c>
      <c r="E233" s="250">
        <v>30000</v>
      </c>
      <c r="F233" s="250">
        <v>50.319275804982617</v>
      </c>
      <c r="G233" s="251">
        <v>579.25099999999998</v>
      </c>
      <c r="H233" s="252" t="s">
        <v>155</v>
      </c>
      <c r="I233" s="252" t="s">
        <v>563</v>
      </c>
      <c r="J233" s="252" t="s">
        <v>96</v>
      </c>
      <c r="K233" s="256" t="s">
        <v>200</v>
      </c>
      <c r="L233" s="252" t="s">
        <v>2089</v>
      </c>
      <c r="M233" s="248"/>
      <c r="N233" s="248"/>
      <c r="O233" s="248"/>
    </row>
    <row r="234" spans="1:15" hidden="1">
      <c r="A234" s="247">
        <v>45699</v>
      </c>
      <c r="B234" s="248" t="s">
        <v>564</v>
      </c>
      <c r="C234" s="248" t="s">
        <v>125</v>
      </c>
      <c r="D234" s="249" t="s">
        <v>115</v>
      </c>
      <c r="E234" s="250">
        <v>30000</v>
      </c>
      <c r="F234" s="250">
        <v>50.319275804982617</v>
      </c>
      <c r="G234" s="251">
        <v>579.25099999999998</v>
      </c>
      <c r="H234" s="252" t="s">
        <v>155</v>
      </c>
      <c r="I234" s="252" t="s">
        <v>565</v>
      </c>
      <c r="J234" s="252" t="s">
        <v>96</v>
      </c>
      <c r="K234" s="256" t="s">
        <v>200</v>
      </c>
      <c r="L234" s="252" t="s">
        <v>2089</v>
      </c>
      <c r="M234" s="248"/>
      <c r="N234" s="248"/>
      <c r="O234" s="248"/>
    </row>
    <row r="235" spans="1:15" hidden="1">
      <c r="A235" s="247">
        <v>45699</v>
      </c>
      <c r="B235" s="248" t="s">
        <v>566</v>
      </c>
      <c r="C235" s="248" t="s">
        <v>125</v>
      </c>
      <c r="D235" s="248" t="s">
        <v>118</v>
      </c>
      <c r="E235" s="250">
        <v>30000</v>
      </c>
      <c r="F235" s="250">
        <v>50.319275804982617</v>
      </c>
      <c r="G235" s="251">
        <v>579.25099999999998</v>
      </c>
      <c r="H235" s="252" t="s">
        <v>155</v>
      </c>
      <c r="I235" s="252" t="s">
        <v>567</v>
      </c>
      <c r="J235" s="252" t="s">
        <v>96</v>
      </c>
      <c r="K235" s="256" t="s">
        <v>200</v>
      </c>
      <c r="L235" s="252" t="s">
        <v>2089</v>
      </c>
      <c r="M235" s="248"/>
      <c r="N235" s="248"/>
      <c r="O235" s="248"/>
    </row>
    <row r="236" spans="1:15" hidden="1">
      <c r="A236" s="247">
        <v>45699</v>
      </c>
      <c r="B236" s="248" t="s">
        <v>568</v>
      </c>
      <c r="C236" s="248" t="s">
        <v>263</v>
      </c>
      <c r="D236" s="248" t="s">
        <v>2091</v>
      </c>
      <c r="E236" s="250">
        <v>35000</v>
      </c>
      <c r="F236" s="250">
        <v>58.705821772479716</v>
      </c>
      <c r="G236" s="251">
        <v>579.25099999999998</v>
      </c>
      <c r="H236" s="252" t="s">
        <v>155</v>
      </c>
      <c r="I236" s="252" t="s">
        <v>569</v>
      </c>
      <c r="J236" s="252" t="s">
        <v>96</v>
      </c>
      <c r="K236" s="256" t="s">
        <v>200</v>
      </c>
      <c r="L236" s="252" t="s">
        <v>2089</v>
      </c>
      <c r="M236" s="248"/>
      <c r="N236" s="248"/>
      <c r="O236" s="248"/>
    </row>
    <row r="237" spans="1:15" hidden="1">
      <c r="A237" s="247">
        <v>45699</v>
      </c>
      <c r="B237" s="248" t="s">
        <v>570</v>
      </c>
      <c r="C237" s="248" t="s">
        <v>263</v>
      </c>
      <c r="D237" s="248" t="s">
        <v>2091</v>
      </c>
      <c r="E237" s="250">
        <v>30000</v>
      </c>
      <c r="F237" s="250">
        <v>50.319275804982617</v>
      </c>
      <c r="G237" s="251">
        <v>579.25099999999998</v>
      </c>
      <c r="H237" s="252" t="s">
        <v>155</v>
      </c>
      <c r="I237" s="252" t="s">
        <v>571</v>
      </c>
      <c r="J237" s="252" t="s">
        <v>96</v>
      </c>
      <c r="K237" s="256" t="s">
        <v>200</v>
      </c>
      <c r="L237" s="252" t="s">
        <v>2089</v>
      </c>
      <c r="M237" s="248"/>
      <c r="N237" s="248"/>
      <c r="O237" s="248"/>
    </row>
    <row r="238" spans="1:15" hidden="1">
      <c r="A238" s="247">
        <v>45699</v>
      </c>
      <c r="B238" s="248" t="s">
        <v>572</v>
      </c>
      <c r="C238" s="248" t="s">
        <v>263</v>
      </c>
      <c r="D238" s="248" t="s">
        <v>2091</v>
      </c>
      <c r="E238" s="250">
        <v>30000</v>
      </c>
      <c r="F238" s="250">
        <v>50.319275804982617</v>
      </c>
      <c r="G238" s="251">
        <v>579.25099999999998</v>
      </c>
      <c r="H238" s="252" t="s">
        <v>155</v>
      </c>
      <c r="I238" s="252" t="s">
        <v>573</v>
      </c>
      <c r="J238" s="252" t="s">
        <v>96</v>
      </c>
      <c r="K238" s="256" t="s">
        <v>200</v>
      </c>
      <c r="L238" s="252" t="s">
        <v>2089</v>
      </c>
      <c r="M238" s="248"/>
      <c r="N238" s="248"/>
      <c r="O238" s="248"/>
    </row>
    <row r="239" spans="1:15" hidden="1">
      <c r="A239" s="247">
        <v>45699</v>
      </c>
      <c r="B239" s="248" t="s">
        <v>574</v>
      </c>
      <c r="C239" s="248" t="s">
        <v>263</v>
      </c>
      <c r="D239" s="248" t="s">
        <v>2091</v>
      </c>
      <c r="E239" s="250">
        <v>30000</v>
      </c>
      <c r="F239" s="250">
        <v>50.319275804982617</v>
      </c>
      <c r="G239" s="251">
        <v>579.25099999999998</v>
      </c>
      <c r="H239" s="252" t="s">
        <v>155</v>
      </c>
      <c r="I239" s="252" t="s">
        <v>575</v>
      </c>
      <c r="J239" s="252" t="s">
        <v>96</v>
      </c>
      <c r="K239" s="256" t="s">
        <v>200</v>
      </c>
      <c r="L239" s="252" t="s">
        <v>2089</v>
      </c>
      <c r="M239" s="248"/>
      <c r="N239" s="248"/>
      <c r="O239" s="248"/>
    </row>
    <row r="240" spans="1:15" hidden="1">
      <c r="A240" s="247">
        <v>45699</v>
      </c>
      <c r="B240" s="248" t="s">
        <v>4808</v>
      </c>
      <c r="C240" s="254" t="s">
        <v>175</v>
      </c>
      <c r="D240" s="249" t="s">
        <v>440</v>
      </c>
      <c r="E240" s="250">
        <v>45000</v>
      </c>
      <c r="F240" s="250">
        <v>75.478913707473922</v>
      </c>
      <c r="G240" s="251">
        <v>579.25099999999998</v>
      </c>
      <c r="H240" s="252" t="s">
        <v>321</v>
      </c>
      <c r="I240" s="252" t="s">
        <v>687</v>
      </c>
      <c r="J240" s="252" t="s">
        <v>96</v>
      </c>
      <c r="K240" s="256" t="s">
        <v>200</v>
      </c>
      <c r="L240" s="252" t="s">
        <v>2089</v>
      </c>
      <c r="M240" s="248"/>
      <c r="N240" s="248"/>
      <c r="O240" s="248"/>
    </row>
    <row r="241" spans="1:15" hidden="1">
      <c r="A241" s="247">
        <v>45699</v>
      </c>
      <c r="B241" s="248" t="s">
        <v>4745</v>
      </c>
      <c r="C241" s="254" t="s">
        <v>172</v>
      </c>
      <c r="D241" s="249" t="s">
        <v>440</v>
      </c>
      <c r="E241" s="250">
        <v>4000</v>
      </c>
      <c r="F241" s="250">
        <v>6.7092367739976817</v>
      </c>
      <c r="G241" s="251">
        <v>579.25099999999998</v>
      </c>
      <c r="H241" s="252" t="s">
        <v>321</v>
      </c>
      <c r="I241" s="252" t="s">
        <v>688</v>
      </c>
      <c r="J241" s="252" t="s">
        <v>96</v>
      </c>
      <c r="K241" s="256" t="s">
        <v>200</v>
      </c>
      <c r="L241" s="252" t="s">
        <v>2089</v>
      </c>
      <c r="M241" s="248"/>
      <c r="N241" s="248"/>
      <c r="O241" s="248"/>
    </row>
    <row r="242" spans="1:15" hidden="1">
      <c r="A242" s="247">
        <v>45699</v>
      </c>
      <c r="B242" s="248" t="s">
        <v>4809</v>
      </c>
      <c r="C242" s="254" t="s">
        <v>172</v>
      </c>
      <c r="D242" s="249" t="s">
        <v>440</v>
      </c>
      <c r="E242" s="250">
        <v>3000</v>
      </c>
      <c r="F242" s="250">
        <v>4.8874119492008914</v>
      </c>
      <c r="G242" s="251">
        <v>613.82180000000005</v>
      </c>
      <c r="H242" s="252" t="s">
        <v>321</v>
      </c>
      <c r="I242" s="252" t="s">
        <v>689</v>
      </c>
      <c r="J242" s="252" t="s">
        <v>96</v>
      </c>
      <c r="K242" s="252" t="s">
        <v>437</v>
      </c>
      <c r="L242" s="252" t="s">
        <v>2089</v>
      </c>
      <c r="M242" s="248"/>
      <c r="N242" s="248"/>
      <c r="O242" s="248"/>
    </row>
    <row r="243" spans="1:15" hidden="1">
      <c r="A243" s="247">
        <v>45699</v>
      </c>
      <c r="B243" s="248" t="s">
        <v>503</v>
      </c>
      <c r="C243" s="254" t="s">
        <v>172</v>
      </c>
      <c r="D243" s="249" t="s">
        <v>115</v>
      </c>
      <c r="E243" s="250">
        <v>7000</v>
      </c>
      <c r="F243" s="250">
        <v>11.403961214802081</v>
      </c>
      <c r="G243" s="251">
        <v>613.82180000000005</v>
      </c>
      <c r="H243" s="252" t="s">
        <v>188</v>
      </c>
      <c r="I243" s="252" t="s">
        <v>504</v>
      </c>
      <c r="J243" s="252" t="s">
        <v>96</v>
      </c>
      <c r="K243" s="252" t="s">
        <v>437</v>
      </c>
      <c r="L243" s="252" t="s">
        <v>2089</v>
      </c>
      <c r="M243" s="248"/>
      <c r="N243" s="248"/>
      <c r="O243" s="248"/>
    </row>
    <row r="244" spans="1:15" hidden="1">
      <c r="A244" s="247">
        <v>45699</v>
      </c>
      <c r="B244" s="248" t="s">
        <v>505</v>
      </c>
      <c r="C244" s="248" t="s">
        <v>254</v>
      </c>
      <c r="D244" s="249" t="s">
        <v>115</v>
      </c>
      <c r="E244" s="250">
        <v>70000</v>
      </c>
      <c r="F244" s="250">
        <v>117.41164354495943</v>
      </c>
      <c r="G244" s="251">
        <v>579.25099999999998</v>
      </c>
      <c r="H244" s="252" t="s">
        <v>188</v>
      </c>
      <c r="I244" s="252" t="s">
        <v>506</v>
      </c>
      <c r="J244" s="252" t="s">
        <v>96</v>
      </c>
      <c r="K244" s="256" t="s">
        <v>200</v>
      </c>
      <c r="L244" s="252" t="s">
        <v>2089</v>
      </c>
      <c r="M244" s="248"/>
      <c r="N244" s="248"/>
      <c r="O244" s="248"/>
    </row>
    <row r="245" spans="1:15" hidden="1">
      <c r="A245" s="247">
        <v>45699</v>
      </c>
      <c r="B245" s="248" t="s">
        <v>479</v>
      </c>
      <c r="C245" s="248" t="s">
        <v>254</v>
      </c>
      <c r="D245" s="249" t="s">
        <v>115</v>
      </c>
      <c r="E245" s="250">
        <v>200000</v>
      </c>
      <c r="F245" s="250">
        <v>335.46183869988408</v>
      </c>
      <c r="G245" s="251">
        <v>579.25099999999998</v>
      </c>
      <c r="H245" s="252" t="s">
        <v>146</v>
      </c>
      <c r="I245" s="252" t="s">
        <v>480</v>
      </c>
      <c r="J245" s="252" t="s">
        <v>96</v>
      </c>
      <c r="K245" s="256" t="s">
        <v>200</v>
      </c>
      <c r="L245" s="252" t="s">
        <v>2089</v>
      </c>
      <c r="M245" s="248"/>
      <c r="N245" s="248"/>
      <c r="O245" s="248"/>
    </row>
    <row r="246" spans="1:15" hidden="1">
      <c r="A246" s="247">
        <v>45699</v>
      </c>
      <c r="B246" s="248" t="s">
        <v>554</v>
      </c>
      <c r="C246" s="255" t="s">
        <v>2090</v>
      </c>
      <c r="D246" s="248" t="s">
        <v>116</v>
      </c>
      <c r="E246" s="250">
        <v>6720</v>
      </c>
      <c r="F246" s="250">
        <v>11.271517780316106</v>
      </c>
      <c r="G246" s="251">
        <v>596.19299999999998</v>
      </c>
      <c r="H246" s="252" t="s">
        <v>191</v>
      </c>
      <c r="I246" s="252" t="s">
        <v>555</v>
      </c>
      <c r="J246" s="252" t="s">
        <v>96</v>
      </c>
      <c r="K246" s="252" t="s">
        <v>1905</v>
      </c>
      <c r="L246" s="252" t="s">
        <v>2089</v>
      </c>
      <c r="M246" s="248"/>
      <c r="N246" s="248"/>
      <c r="O246" s="248"/>
    </row>
    <row r="247" spans="1:15" hidden="1">
      <c r="A247" s="247">
        <v>45700</v>
      </c>
      <c r="B247" s="248" t="s">
        <v>4793</v>
      </c>
      <c r="C247" s="254" t="s">
        <v>175</v>
      </c>
      <c r="D247" s="249" t="s">
        <v>440</v>
      </c>
      <c r="E247" s="250">
        <v>45000</v>
      </c>
      <c r="F247" s="250">
        <v>75.478913707473922</v>
      </c>
      <c r="G247" s="251">
        <v>596.19299999999998</v>
      </c>
      <c r="H247" s="252" t="s">
        <v>315</v>
      </c>
      <c r="I247" s="252" t="s">
        <v>748</v>
      </c>
      <c r="J247" s="252" t="s">
        <v>96</v>
      </c>
      <c r="K247" s="252" t="s">
        <v>1905</v>
      </c>
      <c r="L247" s="252" t="s">
        <v>2089</v>
      </c>
      <c r="M247" s="248"/>
      <c r="N247" s="248"/>
      <c r="O247" s="248"/>
    </row>
    <row r="248" spans="1:15" hidden="1">
      <c r="A248" s="247">
        <v>45700</v>
      </c>
      <c r="B248" s="248" t="s">
        <v>4749</v>
      </c>
      <c r="C248" s="254" t="s">
        <v>172</v>
      </c>
      <c r="D248" s="249" t="s">
        <v>440</v>
      </c>
      <c r="E248" s="250">
        <v>7000</v>
      </c>
      <c r="F248" s="250">
        <v>11.741164354495943</v>
      </c>
      <c r="G248" s="251">
        <v>596.19299999999998</v>
      </c>
      <c r="H248" s="252" t="s">
        <v>315</v>
      </c>
      <c r="I248" s="252" t="s">
        <v>748</v>
      </c>
      <c r="J248" s="252" t="s">
        <v>96</v>
      </c>
      <c r="K248" s="252" t="s">
        <v>1905</v>
      </c>
      <c r="L248" s="252" t="s">
        <v>2089</v>
      </c>
      <c r="M248" s="248"/>
      <c r="N248" s="248"/>
      <c r="O248" s="248"/>
    </row>
    <row r="249" spans="1:15" hidden="1">
      <c r="A249" s="247">
        <v>45700</v>
      </c>
      <c r="B249" s="248" t="s">
        <v>2093</v>
      </c>
      <c r="C249" s="254" t="s">
        <v>175</v>
      </c>
      <c r="D249" s="249" t="s">
        <v>115</v>
      </c>
      <c r="E249" s="250">
        <v>170000</v>
      </c>
      <c r="F249" s="250">
        <v>285.14256289490152</v>
      </c>
      <c r="G249" s="251">
        <v>596.19299999999998</v>
      </c>
      <c r="H249" s="252" t="s">
        <v>188</v>
      </c>
      <c r="I249" s="252" t="s">
        <v>507</v>
      </c>
      <c r="J249" s="252" t="s">
        <v>96</v>
      </c>
      <c r="K249" s="252" t="s">
        <v>1905</v>
      </c>
      <c r="L249" s="252" t="s">
        <v>2089</v>
      </c>
      <c r="M249" s="248"/>
      <c r="N249" s="248"/>
      <c r="O249" s="248"/>
    </row>
    <row r="250" spans="1:15" hidden="1">
      <c r="A250" s="247">
        <v>45700</v>
      </c>
      <c r="B250" s="248" t="s">
        <v>718</v>
      </c>
      <c r="C250" s="254" t="s">
        <v>172</v>
      </c>
      <c r="D250" s="249" t="s">
        <v>115</v>
      </c>
      <c r="E250" s="250">
        <v>8000</v>
      </c>
      <c r="F250" s="250">
        <v>13.418473547995363</v>
      </c>
      <c r="G250" s="251">
        <v>596.19299999999998</v>
      </c>
      <c r="H250" s="252" t="s">
        <v>191</v>
      </c>
      <c r="I250" s="252" t="s">
        <v>719</v>
      </c>
      <c r="J250" s="252" t="s">
        <v>96</v>
      </c>
      <c r="K250" s="252" t="s">
        <v>1905</v>
      </c>
      <c r="L250" s="252" t="s">
        <v>2089</v>
      </c>
      <c r="M250" s="248"/>
      <c r="N250" s="248"/>
      <c r="O250" s="248"/>
    </row>
    <row r="251" spans="1:15" hidden="1">
      <c r="A251" s="247">
        <v>45700</v>
      </c>
      <c r="B251" s="248" t="s">
        <v>190</v>
      </c>
      <c r="C251" s="255" t="s">
        <v>2090</v>
      </c>
      <c r="D251" s="248" t="s">
        <v>116</v>
      </c>
      <c r="E251" s="250">
        <v>1980</v>
      </c>
      <c r="F251" s="250">
        <v>3.3210722031288529</v>
      </c>
      <c r="G251" s="251">
        <v>596.19299999999998</v>
      </c>
      <c r="H251" s="252" t="s">
        <v>191</v>
      </c>
      <c r="I251" s="252" t="s">
        <v>576</v>
      </c>
      <c r="J251" s="252" t="s">
        <v>96</v>
      </c>
      <c r="K251" s="252" t="s">
        <v>1905</v>
      </c>
      <c r="L251" s="252" t="s">
        <v>2089</v>
      </c>
      <c r="M251" s="248"/>
      <c r="N251" s="248"/>
      <c r="O251" s="248"/>
    </row>
    <row r="252" spans="1:15" hidden="1">
      <c r="A252" s="247">
        <v>45700</v>
      </c>
      <c r="B252" s="248" t="s">
        <v>577</v>
      </c>
      <c r="C252" s="248" t="s">
        <v>254</v>
      </c>
      <c r="D252" s="249" t="s">
        <v>115</v>
      </c>
      <c r="E252" s="250">
        <v>80000</v>
      </c>
      <c r="F252" s="250">
        <v>134.18473547995364</v>
      </c>
      <c r="G252" s="251">
        <v>596.19299999999998</v>
      </c>
      <c r="H252" s="252" t="s">
        <v>191</v>
      </c>
      <c r="I252" s="252" t="s">
        <v>578</v>
      </c>
      <c r="J252" s="252" t="s">
        <v>96</v>
      </c>
      <c r="K252" s="252" t="s">
        <v>1905</v>
      </c>
      <c r="L252" s="252" t="s">
        <v>2089</v>
      </c>
      <c r="M252" s="248"/>
      <c r="N252" s="248"/>
      <c r="O252" s="248"/>
    </row>
    <row r="253" spans="1:15" hidden="1">
      <c r="A253" s="247">
        <v>45701</v>
      </c>
      <c r="B253" s="248" t="s">
        <v>769</v>
      </c>
      <c r="C253" s="248" t="s">
        <v>125</v>
      </c>
      <c r="D253" s="249" t="s">
        <v>117</v>
      </c>
      <c r="E253" s="250">
        <v>129464</v>
      </c>
      <c r="F253" s="250">
        <v>217.15115742720897</v>
      </c>
      <c r="G253" s="251">
        <v>596.19299999999998</v>
      </c>
      <c r="H253" s="252" t="s">
        <v>155</v>
      </c>
      <c r="I253" s="252" t="s">
        <v>579</v>
      </c>
      <c r="J253" s="252" t="s">
        <v>96</v>
      </c>
      <c r="K253" s="252" t="s">
        <v>1905</v>
      </c>
      <c r="L253" s="252" t="s">
        <v>2089</v>
      </c>
      <c r="M253" s="248"/>
      <c r="N253" s="248"/>
      <c r="O253" s="248"/>
    </row>
    <row r="254" spans="1:15" hidden="1">
      <c r="A254" s="247">
        <v>45701</v>
      </c>
      <c r="B254" s="248" t="s">
        <v>776</v>
      </c>
      <c r="C254" s="248" t="s">
        <v>125</v>
      </c>
      <c r="D254" s="249" t="s">
        <v>117</v>
      </c>
      <c r="E254" s="250">
        <v>80500</v>
      </c>
      <c r="F254" s="250">
        <v>135.02339007670335</v>
      </c>
      <c r="G254" s="251">
        <v>596.19299999999998</v>
      </c>
      <c r="H254" s="252" t="s">
        <v>155</v>
      </c>
      <c r="I254" s="252" t="s">
        <v>580</v>
      </c>
      <c r="J254" s="252" t="s">
        <v>96</v>
      </c>
      <c r="K254" s="252" t="s">
        <v>1905</v>
      </c>
      <c r="L254" s="252" t="s">
        <v>2089</v>
      </c>
      <c r="M254" s="248"/>
      <c r="N254" s="248"/>
      <c r="O254" s="248"/>
    </row>
    <row r="255" spans="1:15" hidden="1">
      <c r="A255" s="247">
        <v>45701</v>
      </c>
      <c r="B255" s="248" t="s">
        <v>4810</v>
      </c>
      <c r="C255" s="254" t="s">
        <v>175</v>
      </c>
      <c r="D255" s="249" t="s">
        <v>440</v>
      </c>
      <c r="E255" s="250">
        <v>30000</v>
      </c>
      <c r="F255" s="250">
        <v>50.319275804982617</v>
      </c>
      <c r="G255" s="251">
        <v>596.19299999999998</v>
      </c>
      <c r="H255" s="252" t="s">
        <v>321</v>
      </c>
      <c r="I255" s="252" t="s">
        <v>690</v>
      </c>
      <c r="J255" s="252" t="s">
        <v>96</v>
      </c>
      <c r="K255" s="252" t="s">
        <v>1905</v>
      </c>
      <c r="L255" s="252" t="s">
        <v>2089</v>
      </c>
      <c r="M255" s="248"/>
      <c r="N255" s="248"/>
      <c r="O255" s="248"/>
    </row>
    <row r="256" spans="1:15" hidden="1">
      <c r="A256" s="247">
        <v>45701</v>
      </c>
      <c r="B256" s="248" t="s">
        <v>4772</v>
      </c>
      <c r="C256" s="254" t="s">
        <v>172</v>
      </c>
      <c r="D256" s="249" t="s">
        <v>440</v>
      </c>
      <c r="E256" s="250">
        <v>3000</v>
      </c>
      <c r="F256" s="250">
        <v>5.0319275804982615</v>
      </c>
      <c r="G256" s="251">
        <v>596.19299999999998</v>
      </c>
      <c r="H256" s="252" t="s">
        <v>321</v>
      </c>
      <c r="I256" s="252" t="s">
        <v>691</v>
      </c>
      <c r="J256" s="252" t="s">
        <v>96</v>
      </c>
      <c r="K256" s="252" t="s">
        <v>1905</v>
      </c>
      <c r="L256" s="252" t="s">
        <v>2089</v>
      </c>
      <c r="M256" s="248"/>
      <c r="N256" s="248"/>
      <c r="O256" s="248"/>
    </row>
    <row r="257" spans="1:15" hidden="1">
      <c r="A257" s="247">
        <v>45701</v>
      </c>
      <c r="B257" s="248" t="s">
        <v>720</v>
      </c>
      <c r="C257" s="254" t="s">
        <v>175</v>
      </c>
      <c r="D257" s="249" t="s">
        <v>115</v>
      </c>
      <c r="E257" s="250">
        <v>20000</v>
      </c>
      <c r="F257" s="250">
        <v>32.582746328005946</v>
      </c>
      <c r="G257" s="251">
        <v>613.82180000000005</v>
      </c>
      <c r="H257" s="252" t="s">
        <v>191</v>
      </c>
      <c r="I257" s="252" t="s">
        <v>721</v>
      </c>
      <c r="J257" s="252" t="s">
        <v>96</v>
      </c>
      <c r="K257" s="252" t="s">
        <v>437</v>
      </c>
      <c r="L257" s="252" t="s">
        <v>2089</v>
      </c>
      <c r="M257" s="248"/>
      <c r="N257" s="248"/>
      <c r="O257" s="248"/>
    </row>
    <row r="258" spans="1:15" hidden="1">
      <c r="A258" s="247">
        <v>45701</v>
      </c>
      <c r="B258" s="248" t="s">
        <v>498</v>
      </c>
      <c r="C258" s="254" t="s">
        <v>2092</v>
      </c>
      <c r="D258" s="248" t="s">
        <v>118</v>
      </c>
      <c r="E258" s="250">
        <v>154000</v>
      </c>
      <c r="F258" s="250">
        <v>250.88714672564575</v>
      </c>
      <c r="G258" s="251">
        <v>613.82180000000005</v>
      </c>
      <c r="H258" s="252" t="s">
        <v>211</v>
      </c>
      <c r="I258" s="252" t="s">
        <v>499</v>
      </c>
      <c r="J258" s="252" t="s">
        <v>96</v>
      </c>
      <c r="K258" s="252" t="s">
        <v>437</v>
      </c>
      <c r="L258" s="252" t="s">
        <v>2089</v>
      </c>
      <c r="M258" s="248"/>
      <c r="N258" s="248"/>
      <c r="O258" s="248"/>
    </row>
    <row r="259" spans="1:15" hidden="1">
      <c r="A259" s="247">
        <v>45701</v>
      </c>
      <c r="B259" s="248" t="s">
        <v>481</v>
      </c>
      <c r="C259" s="254" t="s">
        <v>302</v>
      </c>
      <c r="D259" s="248" t="s">
        <v>116</v>
      </c>
      <c r="E259" s="250">
        <v>227686</v>
      </c>
      <c r="F259" s="250">
        <v>381.89982103110907</v>
      </c>
      <c r="G259" s="251">
        <v>596.19299999999998</v>
      </c>
      <c r="H259" s="252" t="s">
        <v>146</v>
      </c>
      <c r="I259" s="252" t="s">
        <v>482</v>
      </c>
      <c r="J259" s="252" t="s">
        <v>96</v>
      </c>
      <c r="K259" s="252" t="s">
        <v>1905</v>
      </c>
      <c r="L259" s="252" t="s">
        <v>2089</v>
      </c>
      <c r="M259" s="248"/>
      <c r="N259" s="248"/>
      <c r="O259" s="248"/>
    </row>
    <row r="260" spans="1:15" hidden="1">
      <c r="A260" s="247">
        <v>45701</v>
      </c>
      <c r="B260" s="248" t="s">
        <v>722</v>
      </c>
      <c r="C260" s="254" t="s">
        <v>172</v>
      </c>
      <c r="D260" s="249" t="s">
        <v>115</v>
      </c>
      <c r="E260" s="250">
        <v>4000</v>
      </c>
      <c r="F260" s="250">
        <v>6.7092367739976817</v>
      </c>
      <c r="G260" s="251">
        <v>579.25099999999998</v>
      </c>
      <c r="H260" s="252" t="s">
        <v>191</v>
      </c>
      <c r="I260" s="252" t="s">
        <v>723</v>
      </c>
      <c r="J260" s="252" t="s">
        <v>96</v>
      </c>
      <c r="K260" s="256" t="s">
        <v>200</v>
      </c>
      <c r="L260" s="252" t="s">
        <v>2089</v>
      </c>
      <c r="M260" s="248"/>
      <c r="N260" s="248"/>
      <c r="O260" s="248"/>
    </row>
    <row r="261" spans="1:15" hidden="1">
      <c r="A261" s="247">
        <v>45702</v>
      </c>
      <c r="B261" s="248" t="s">
        <v>772</v>
      </c>
      <c r="C261" s="254" t="s">
        <v>363</v>
      </c>
      <c r="D261" s="249" t="s">
        <v>440</v>
      </c>
      <c r="E261" s="250">
        <v>30000</v>
      </c>
      <c r="F261" s="250">
        <v>50.319275804982617</v>
      </c>
      <c r="G261" s="251">
        <v>596.19299999999998</v>
      </c>
      <c r="H261" s="252" t="s">
        <v>151</v>
      </c>
      <c r="I261" s="252" t="s">
        <v>632</v>
      </c>
      <c r="J261" s="252" t="s">
        <v>96</v>
      </c>
      <c r="K261" s="252" t="s">
        <v>1905</v>
      </c>
      <c r="L261" s="252" t="s">
        <v>2089</v>
      </c>
      <c r="M261" s="248"/>
      <c r="N261" s="248"/>
      <c r="O261" s="248"/>
    </row>
    <row r="262" spans="1:15" hidden="1">
      <c r="A262" s="247">
        <v>45702</v>
      </c>
      <c r="B262" s="248" t="s">
        <v>633</v>
      </c>
      <c r="C262" s="255" t="s">
        <v>2090</v>
      </c>
      <c r="D262" s="248" t="s">
        <v>116</v>
      </c>
      <c r="E262" s="250">
        <v>1952</v>
      </c>
      <c r="F262" s="250">
        <v>3.2741075457108688</v>
      </c>
      <c r="G262" s="251">
        <v>596.19299999999998</v>
      </c>
      <c r="H262" s="252" t="s">
        <v>151</v>
      </c>
      <c r="I262" s="252" t="s">
        <v>634</v>
      </c>
      <c r="J262" s="252" t="s">
        <v>96</v>
      </c>
      <c r="K262" s="252" t="s">
        <v>1905</v>
      </c>
      <c r="L262" s="252" t="s">
        <v>2089</v>
      </c>
      <c r="M262" s="248"/>
      <c r="N262" s="248"/>
      <c r="O262" s="248"/>
    </row>
    <row r="263" spans="1:15" hidden="1">
      <c r="A263" s="247">
        <v>45702</v>
      </c>
      <c r="B263" s="248" t="s">
        <v>768</v>
      </c>
      <c r="C263" s="254" t="s">
        <v>172</v>
      </c>
      <c r="D263" s="249" t="s">
        <v>117</v>
      </c>
      <c r="E263" s="250">
        <v>7000</v>
      </c>
      <c r="F263" s="250">
        <v>11.403961214802081</v>
      </c>
      <c r="G263" s="251">
        <v>613.82180000000005</v>
      </c>
      <c r="H263" s="252" t="s">
        <v>151</v>
      </c>
      <c r="I263" s="252" t="s">
        <v>635</v>
      </c>
      <c r="J263" s="252" t="s">
        <v>96</v>
      </c>
      <c r="K263" s="252" t="s">
        <v>437</v>
      </c>
      <c r="L263" s="252" t="s">
        <v>2089</v>
      </c>
      <c r="M263" s="248"/>
      <c r="N263" s="248"/>
      <c r="O263" s="248"/>
    </row>
    <row r="264" spans="1:15" hidden="1">
      <c r="A264" s="247">
        <v>45702</v>
      </c>
      <c r="B264" s="248" t="s">
        <v>197</v>
      </c>
      <c r="C264" s="254" t="s">
        <v>172</v>
      </c>
      <c r="D264" s="249" t="s">
        <v>115</v>
      </c>
      <c r="E264" s="250">
        <v>7000</v>
      </c>
      <c r="F264" s="250">
        <v>11.403961214802081</v>
      </c>
      <c r="G264" s="251">
        <v>613.82180000000005</v>
      </c>
      <c r="H264" s="252" t="s">
        <v>198</v>
      </c>
      <c r="I264" s="252" t="s">
        <v>531</v>
      </c>
      <c r="J264" s="252" t="s">
        <v>96</v>
      </c>
      <c r="K264" s="252" t="s">
        <v>437</v>
      </c>
      <c r="L264" s="252" t="s">
        <v>2089</v>
      </c>
      <c r="M264" s="248"/>
      <c r="N264" s="248"/>
      <c r="O264" s="248"/>
    </row>
    <row r="265" spans="1:15" hidden="1">
      <c r="A265" s="247">
        <v>45702</v>
      </c>
      <c r="B265" s="248" t="s">
        <v>585</v>
      </c>
      <c r="C265" s="248" t="s">
        <v>150</v>
      </c>
      <c r="D265" s="249" t="s">
        <v>117</v>
      </c>
      <c r="E265" s="250">
        <v>30000</v>
      </c>
      <c r="F265" s="250">
        <v>48.874119492008916</v>
      </c>
      <c r="G265" s="251">
        <v>613.82180000000005</v>
      </c>
      <c r="H265" s="252" t="s">
        <v>155</v>
      </c>
      <c r="I265" s="252" t="s">
        <v>586</v>
      </c>
      <c r="J265" s="252" t="s">
        <v>96</v>
      </c>
      <c r="K265" s="252" t="s">
        <v>437</v>
      </c>
      <c r="L265" s="252" t="s">
        <v>2089</v>
      </c>
      <c r="M265" s="248"/>
      <c r="N265" s="248"/>
      <c r="O265" s="248"/>
    </row>
    <row r="266" spans="1:15" hidden="1">
      <c r="A266" s="247">
        <v>45702</v>
      </c>
      <c r="B266" s="248" t="s">
        <v>587</v>
      </c>
      <c r="C266" s="248" t="s">
        <v>150</v>
      </c>
      <c r="D266" s="249" t="s">
        <v>115</v>
      </c>
      <c r="E266" s="250">
        <v>30000</v>
      </c>
      <c r="F266" s="250">
        <v>48.874119492008916</v>
      </c>
      <c r="G266" s="251">
        <v>613.82180000000005</v>
      </c>
      <c r="H266" s="252" t="s">
        <v>155</v>
      </c>
      <c r="I266" s="252" t="s">
        <v>588</v>
      </c>
      <c r="J266" s="252" t="s">
        <v>96</v>
      </c>
      <c r="K266" s="252" t="s">
        <v>437</v>
      </c>
      <c r="L266" s="252" t="s">
        <v>2089</v>
      </c>
      <c r="M266" s="248"/>
      <c r="N266" s="248"/>
      <c r="O266" s="248"/>
    </row>
    <row r="267" spans="1:15" hidden="1">
      <c r="A267" s="247">
        <v>45702</v>
      </c>
      <c r="B267" s="248" t="s">
        <v>589</v>
      </c>
      <c r="C267" s="248" t="s">
        <v>150</v>
      </c>
      <c r="D267" s="249" t="s">
        <v>440</v>
      </c>
      <c r="E267" s="250">
        <v>55000</v>
      </c>
      <c r="F267" s="250">
        <v>94.950186542589222</v>
      </c>
      <c r="G267" s="251">
        <v>579.25099999999998</v>
      </c>
      <c r="H267" s="252" t="s">
        <v>155</v>
      </c>
      <c r="I267" s="252" t="s">
        <v>590</v>
      </c>
      <c r="J267" s="252" t="s">
        <v>96</v>
      </c>
      <c r="K267" s="256" t="s">
        <v>200</v>
      </c>
      <c r="L267" s="252" t="s">
        <v>2089</v>
      </c>
      <c r="M267" s="248"/>
      <c r="N267" s="248"/>
      <c r="O267" s="248"/>
    </row>
    <row r="268" spans="1:15" hidden="1">
      <c r="A268" s="247">
        <v>45702</v>
      </c>
      <c r="B268" s="248" t="s">
        <v>591</v>
      </c>
      <c r="C268" s="248" t="s">
        <v>150</v>
      </c>
      <c r="D268" s="248" t="s">
        <v>118</v>
      </c>
      <c r="E268" s="250">
        <v>10000</v>
      </c>
      <c r="F268" s="250">
        <v>16.291373164002973</v>
      </c>
      <c r="G268" s="251">
        <v>613.82180000000005</v>
      </c>
      <c r="H268" s="252" t="s">
        <v>155</v>
      </c>
      <c r="I268" s="252" t="s">
        <v>592</v>
      </c>
      <c r="J268" s="252" t="s">
        <v>96</v>
      </c>
      <c r="K268" s="252" t="s">
        <v>437</v>
      </c>
      <c r="L268" s="252" t="s">
        <v>2089</v>
      </c>
      <c r="M268" s="248"/>
      <c r="N268" s="248"/>
      <c r="O268" s="248"/>
    </row>
    <row r="269" spans="1:15" hidden="1">
      <c r="A269" s="247">
        <v>45702</v>
      </c>
      <c r="B269" s="248" t="s">
        <v>594</v>
      </c>
      <c r="C269" s="248" t="s">
        <v>150</v>
      </c>
      <c r="D269" s="249" t="s">
        <v>115</v>
      </c>
      <c r="E269" s="250">
        <v>10000</v>
      </c>
      <c r="F269" s="250">
        <v>16.291373164002973</v>
      </c>
      <c r="G269" s="251">
        <v>613.82180000000005</v>
      </c>
      <c r="H269" s="252" t="s">
        <v>155</v>
      </c>
      <c r="I269" s="252" t="s">
        <v>593</v>
      </c>
      <c r="J269" s="252" t="s">
        <v>96</v>
      </c>
      <c r="K269" s="252" t="s">
        <v>437</v>
      </c>
      <c r="L269" s="252" t="s">
        <v>2089</v>
      </c>
      <c r="M269" s="248"/>
      <c r="N269" s="248"/>
      <c r="O269" s="248"/>
    </row>
    <row r="270" spans="1:15" hidden="1">
      <c r="A270" s="247">
        <v>45702</v>
      </c>
      <c r="B270" s="248" t="s">
        <v>770</v>
      </c>
      <c r="C270" s="248" t="s">
        <v>150</v>
      </c>
      <c r="D270" s="249" t="s">
        <v>440</v>
      </c>
      <c r="E270" s="250">
        <v>5000</v>
      </c>
      <c r="F270" s="250">
        <v>8.1456865820014865</v>
      </c>
      <c r="G270" s="251">
        <v>613.82180000000005</v>
      </c>
      <c r="H270" s="252" t="s">
        <v>155</v>
      </c>
      <c r="I270" s="252" t="s">
        <v>595</v>
      </c>
      <c r="J270" s="252" t="s">
        <v>96</v>
      </c>
      <c r="K270" s="252" t="s">
        <v>437</v>
      </c>
      <c r="L270" s="252" t="s">
        <v>2089</v>
      </c>
      <c r="M270" s="248"/>
      <c r="N270" s="248"/>
      <c r="O270" s="248"/>
    </row>
    <row r="271" spans="1:15" hidden="1">
      <c r="A271" s="247">
        <v>45702</v>
      </c>
      <c r="B271" s="248" t="s">
        <v>583</v>
      </c>
      <c r="C271" s="255" t="s">
        <v>2090</v>
      </c>
      <c r="D271" s="248" t="s">
        <v>116</v>
      </c>
      <c r="E271" s="250">
        <v>11310</v>
      </c>
      <c r="F271" s="250">
        <v>18.425543048487359</v>
      </c>
      <c r="G271" s="251">
        <v>613.82180000000005</v>
      </c>
      <c r="H271" s="252" t="s">
        <v>581</v>
      </c>
      <c r="I271" s="252" t="s">
        <v>584</v>
      </c>
      <c r="J271" s="252" t="s">
        <v>96</v>
      </c>
      <c r="K271" s="252" t="s">
        <v>437</v>
      </c>
      <c r="L271" s="252" t="s">
        <v>2089</v>
      </c>
      <c r="M271" s="248"/>
      <c r="N271" s="248"/>
      <c r="O271" s="248"/>
    </row>
    <row r="272" spans="1:15" hidden="1">
      <c r="A272" s="247">
        <v>45702</v>
      </c>
      <c r="B272" s="248" t="s">
        <v>692</v>
      </c>
      <c r="C272" s="254" t="s">
        <v>363</v>
      </c>
      <c r="D272" s="249" t="s">
        <v>440</v>
      </c>
      <c r="E272" s="250">
        <v>4000</v>
      </c>
      <c r="F272" s="250">
        <v>6.5165492656011885</v>
      </c>
      <c r="G272" s="251">
        <v>613.82180000000005</v>
      </c>
      <c r="H272" s="252" t="s">
        <v>321</v>
      </c>
      <c r="I272" s="252" t="s">
        <v>693</v>
      </c>
      <c r="J272" s="252" t="s">
        <v>96</v>
      </c>
      <c r="K272" s="252" t="s">
        <v>437</v>
      </c>
      <c r="L272" s="252" t="s">
        <v>2089</v>
      </c>
      <c r="M272" s="248"/>
      <c r="N272" s="248"/>
      <c r="O272" s="248"/>
    </row>
    <row r="273" spans="1:15" hidden="1">
      <c r="A273" s="247">
        <v>45702</v>
      </c>
      <c r="B273" s="248" t="s">
        <v>4772</v>
      </c>
      <c r="C273" s="254" t="s">
        <v>172</v>
      </c>
      <c r="D273" s="249" t="s">
        <v>440</v>
      </c>
      <c r="E273" s="250">
        <v>7000</v>
      </c>
      <c r="F273" s="250">
        <v>11.403961214802081</v>
      </c>
      <c r="G273" s="251">
        <v>613.82180000000005</v>
      </c>
      <c r="H273" s="252" t="s">
        <v>321</v>
      </c>
      <c r="I273" s="252" t="s">
        <v>694</v>
      </c>
      <c r="J273" s="252" t="s">
        <v>96</v>
      </c>
      <c r="K273" s="252" t="s">
        <v>437</v>
      </c>
      <c r="L273" s="252" t="s">
        <v>2089</v>
      </c>
      <c r="M273" s="248"/>
      <c r="N273" s="248"/>
      <c r="O273" s="248"/>
    </row>
    <row r="274" spans="1:15" hidden="1">
      <c r="A274" s="247">
        <v>45702</v>
      </c>
      <c r="B274" s="248" t="s">
        <v>706</v>
      </c>
      <c r="C274" s="254" t="s">
        <v>172</v>
      </c>
      <c r="D274" s="249" t="s">
        <v>115</v>
      </c>
      <c r="E274" s="250">
        <v>7000</v>
      </c>
      <c r="F274" s="250">
        <v>11.403961214802081</v>
      </c>
      <c r="G274" s="251">
        <v>613.82180000000005</v>
      </c>
      <c r="H274" s="252" t="s">
        <v>185</v>
      </c>
      <c r="I274" s="252" t="s">
        <v>707</v>
      </c>
      <c r="J274" s="252" t="s">
        <v>96</v>
      </c>
      <c r="K274" s="252" t="s">
        <v>437</v>
      </c>
      <c r="L274" s="252" t="s">
        <v>2089</v>
      </c>
      <c r="M274" s="248"/>
      <c r="N274" s="248"/>
      <c r="O274" s="248"/>
    </row>
    <row r="275" spans="1:15" hidden="1">
      <c r="A275" s="247">
        <v>45702</v>
      </c>
      <c r="B275" s="248" t="s">
        <v>484</v>
      </c>
      <c r="C275" s="254" t="s">
        <v>172</v>
      </c>
      <c r="D275" s="248" t="s">
        <v>118</v>
      </c>
      <c r="E275" s="250">
        <v>7000</v>
      </c>
      <c r="F275" s="250">
        <v>11.403961214802081</v>
      </c>
      <c r="G275" s="251">
        <v>613.82180000000005</v>
      </c>
      <c r="H275" s="252" t="s">
        <v>211</v>
      </c>
      <c r="I275" s="252" t="s">
        <v>485</v>
      </c>
      <c r="J275" s="252" t="s">
        <v>96</v>
      </c>
      <c r="K275" s="252" t="s">
        <v>437</v>
      </c>
      <c r="L275" s="252" t="s">
        <v>2089</v>
      </c>
      <c r="M275" s="248"/>
      <c r="N275" s="248"/>
      <c r="O275" s="248"/>
    </row>
    <row r="276" spans="1:15" hidden="1">
      <c r="A276" s="247">
        <v>45702</v>
      </c>
      <c r="B276" s="248" t="s">
        <v>724</v>
      </c>
      <c r="C276" s="248" t="s">
        <v>311</v>
      </c>
      <c r="D276" s="249" t="s">
        <v>2091</v>
      </c>
      <c r="E276" s="250">
        <v>20000</v>
      </c>
      <c r="F276" s="250">
        <v>32.582746328005946</v>
      </c>
      <c r="G276" s="251">
        <v>613.82180000000005</v>
      </c>
      <c r="H276" s="252" t="s">
        <v>191</v>
      </c>
      <c r="I276" s="252" t="s">
        <v>725</v>
      </c>
      <c r="J276" s="252" t="s">
        <v>96</v>
      </c>
      <c r="K276" s="252" t="s">
        <v>437</v>
      </c>
      <c r="L276" s="252" t="s">
        <v>2089</v>
      </c>
      <c r="M276" s="248"/>
      <c r="N276" s="248"/>
      <c r="O276" s="248"/>
    </row>
    <row r="277" spans="1:15" hidden="1">
      <c r="A277" s="247">
        <v>45702</v>
      </c>
      <c r="B277" s="248" t="s">
        <v>4749</v>
      </c>
      <c r="C277" s="254" t="s">
        <v>172</v>
      </c>
      <c r="D277" s="249" t="s">
        <v>440</v>
      </c>
      <c r="E277" s="250">
        <v>7000</v>
      </c>
      <c r="F277" s="250">
        <v>11.403961214802081</v>
      </c>
      <c r="G277" s="251">
        <v>613.82180000000005</v>
      </c>
      <c r="H277" s="252" t="s">
        <v>315</v>
      </c>
      <c r="I277" s="252" t="s">
        <v>750</v>
      </c>
      <c r="J277" s="252" t="s">
        <v>96</v>
      </c>
      <c r="K277" s="252" t="s">
        <v>437</v>
      </c>
      <c r="L277" s="252" t="s">
        <v>2089</v>
      </c>
      <c r="M277" s="248"/>
      <c r="N277" s="248"/>
      <c r="O277" s="248"/>
    </row>
    <row r="278" spans="1:15" hidden="1">
      <c r="A278" s="247">
        <v>45703</v>
      </c>
      <c r="B278" s="248" t="s">
        <v>636</v>
      </c>
      <c r="C278" s="254" t="s">
        <v>175</v>
      </c>
      <c r="D278" s="249" t="s">
        <v>117</v>
      </c>
      <c r="E278" s="250">
        <v>100000</v>
      </c>
      <c r="F278" s="250">
        <v>162.91373164002971</v>
      </c>
      <c r="G278" s="251">
        <v>613.82180000000005</v>
      </c>
      <c r="H278" s="252" t="s">
        <v>151</v>
      </c>
      <c r="I278" s="252" t="s">
        <v>637</v>
      </c>
      <c r="J278" s="252" t="s">
        <v>96</v>
      </c>
      <c r="K278" s="252" t="s">
        <v>437</v>
      </c>
      <c r="L278" s="252" t="s">
        <v>2089</v>
      </c>
      <c r="M278" s="248"/>
      <c r="N278" s="248"/>
      <c r="O278" s="248"/>
    </row>
    <row r="279" spans="1:15" hidden="1">
      <c r="A279" s="247">
        <v>45703</v>
      </c>
      <c r="B279" s="248" t="s">
        <v>518</v>
      </c>
      <c r="C279" s="254" t="s">
        <v>175</v>
      </c>
      <c r="D279" s="249" t="s">
        <v>115</v>
      </c>
      <c r="E279" s="250">
        <v>180000</v>
      </c>
      <c r="F279" s="250">
        <v>293.24471695205347</v>
      </c>
      <c r="G279" s="251">
        <v>613.82180000000005</v>
      </c>
      <c r="H279" s="252" t="s">
        <v>198</v>
      </c>
      <c r="I279" s="252" t="s">
        <v>519</v>
      </c>
      <c r="J279" s="252" t="s">
        <v>96</v>
      </c>
      <c r="K279" s="252" t="s">
        <v>437</v>
      </c>
      <c r="L279" s="252" t="s">
        <v>2089</v>
      </c>
      <c r="M279" s="248"/>
      <c r="N279" s="248"/>
      <c r="O279" s="248"/>
    </row>
    <row r="280" spans="1:15" hidden="1">
      <c r="A280" s="247">
        <v>45703</v>
      </c>
      <c r="B280" s="248" t="s">
        <v>4811</v>
      </c>
      <c r="C280" s="254" t="s">
        <v>175</v>
      </c>
      <c r="D280" s="249" t="s">
        <v>440</v>
      </c>
      <c r="E280" s="250">
        <v>70000</v>
      </c>
      <c r="F280" s="250">
        <v>114.03961214802079</v>
      </c>
      <c r="G280" s="251">
        <v>613.82180000000005</v>
      </c>
      <c r="H280" s="252" t="s">
        <v>315</v>
      </c>
      <c r="I280" s="252" t="s">
        <v>749</v>
      </c>
      <c r="J280" s="252" t="s">
        <v>96</v>
      </c>
      <c r="K280" s="252" t="s">
        <v>437</v>
      </c>
      <c r="L280" s="252" t="s">
        <v>2089</v>
      </c>
      <c r="M280" s="248"/>
      <c r="N280" s="248"/>
      <c r="O280" s="248"/>
    </row>
    <row r="281" spans="1:15" hidden="1">
      <c r="A281" s="247">
        <v>45703</v>
      </c>
      <c r="B281" s="248" t="s">
        <v>4812</v>
      </c>
      <c r="C281" s="254" t="s">
        <v>175</v>
      </c>
      <c r="D281" s="249" t="s">
        <v>440</v>
      </c>
      <c r="E281" s="250">
        <v>30000</v>
      </c>
      <c r="F281" s="250">
        <v>48.874119492008916</v>
      </c>
      <c r="G281" s="251">
        <v>613.82180000000005</v>
      </c>
      <c r="H281" s="252" t="s">
        <v>321</v>
      </c>
      <c r="I281" s="252" t="s">
        <v>695</v>
      </c>
      <c r="J281" s="252" t="s">
        <v>96</v>
      </c>
      <c r="K281" s="252" t="s">
        <v>437</v>
      </c>
      <c r="L281" s="252" t="s">
        <v>2089</v>
      </c>
      <c r="M281" s="248"/>
      <c r="N281" s="248"/>
      <c r="O281" s="248"/>
    </row>
    <row r="282" spans="1:15" hidden="1">
      <c r="A282" s="247">
        <v>45703</v>
      </c>
      <c r="B282" s="248" t="s">
        <v>2094</v>
      </c>
      <c r="C282" s="254" t="s">
        <v>175</v>
      </c>
      <c r="D282" s="249" t="s">
        <v>115</v>
      </c>
      <c r="E282" s="250">
        <v>170000</v>
      </c>
      <c r="F282" s="250">
        <v>276.95334378805052</v>
      </c>
      <c r="G282" s="251">
        <v>613.82180000000005</v>
      </c>
      <c r="H282" s="252" t="s">
        <v>185</v>
      </c>
      <c r="I282" s="252" t="s">
        <v>708</v>
      </c>
      <c r="J282" s="252" t="s">
        <v>96</v>
      </c>
      <c r="K282" s="252" t="s">
        <v>437</v>
      </c>
      <c r="L282" s="252" t="s">
        <v>2089</v>
      </c>
      <c r="M282" s="248"/>
      <c r="N282" s="248"/>
      <c r="O282" s="248"/>
    </row>
    <row r="283" spans="1:15" hidden="1">
      <c r="A283" s="247">
        <v>45703</v>
      </c>
      <c r="B283" s="248" t="s">
        <v>508</v>
      </c>
      <c r="C283" s="254" t="s">
        <v>175</v>
      </c>
      <c r="D283" s="249" t="s">
        <v>115</v>
      </c>
      <c r="E283" s="250">
        <v>45000</v>
      </c>
      <c r="F283" s="250">
        <v>73.311179238013366</v>
      </c>
      <c r="G283" s="251">
        <v>613.82180000000005</v>
      </c>
      <c r="H283" s="252" t="s">
        <v>188</v>
      </c>
      <c r="I283" s="252" t="s">
        <v>509</v>
      </c>
      <c r="J283" s="252" t="s">
        <v>96</v>
      </c>
      <c r="K283" s="252" t="s">
        <v>437</v>
      </c>
      <c r="L283" s="252" t="s">
        <v>2089</v>
      </c>
      <c r="M283" s="248"/>
      <c r="N283" s="248"/>
      <c r="O283" s="248"/>
    </row>
    <row r="284" spans="1:15" hidden="1">
      <c r="A284" s="247">
        <v>45703</v>
      </c>
      <c r="B284" s="248" t="s">
        <v>726</v>
      </c>
      <c r="C284" s="254" t="s">
        <v>175</v>
      </c>
      <c r="D284" s="249" t="s">
        <v>115</v>
      </c>
      <c r="E284" s="250">
        <v>30000</v>
      </c>
      <c r="F284" s="250">
        <v>48.874119492008916</v>
      </c>
      <c r="G284" s="251">
        <v>613.82180000000005</v>
      </c>
      <c r="H284" s="252" t="s">
        <v>191</v>
      </c>
      <c r="I284" s="252" t="s">
        <v>727</v>
      </c>
      <c r="J284" s="252" t="s">
        <v>96</v>
      </c>
      <c r="K284" s="252" t="s">
        <v>437</v>
      </c>
      <c r="L284" s="252" t="s">
        <v>2089</v>
      </c>
      <c r="M284" s="248"/>
      <c r="N284" s="248"/>
      <c r="O284" s="248"/>
    </row>
    <row r="285" spans="1:15" hidden="1">
      <c r="A285" s="247">
        <v>45703</v>
      </c>
      <c r="B285" s="248" t="s">
        <v>728</v>
      </c>
      <c r="C285" s="254" t="s">
        <v>172</v>
      </c>
      <c r="D285" s="249" t="s">
        <v>115</v>
      </c>
      <c r="E285" s="250">
        <v>4000</v>
      </c>
      <c r="F285" s="250">
        <v>6.5165492656011885</v>
      </c>
      <c r="G285" s="251">
        <v>613.82180000000005</v>
      </c>
      <c r="H285" s="252" t="s">
        <v>191</v>
      </c>
      <c r="I285" s="252" t="s">
        <v>729</v>
      </c>
      <c r="J285" s="252" t="s">
        <v>96</v>
      </c>
      <c r="K285" s="252" t="s">
        <v>437</v>
      </c>
      <c r="L285" s="252" t="s">
        <v>2089</v>
      </c>
      <c r="M285" s="248"/>
      <c r="N285" s="248"/>
      <c r="O285" s="248"/>
    </row>
    <row r="286" spans="1:15" hidden="1">
      <c r="A286" s="247">
        <v>45703</v>
      </c>
      <c r="B286" s="248" t="s">
        <v>486</v>
      </c>
      <c r="C286" s="254" t="s">
        <v>175</v>
      </c>
      <c r="D286" s="248" t="s">
        <v>118</v>
      </c>
      <c r="E286" s="250">
        <v>130000</v>
      </c>
      <c r="F286" s="250">
        <v>211.78785113203864</v>
      </c>
      <c r="G286" s="251">
        <v>613.82180000000005</v>
      </c>
      <c r="H286" s="252" t="s">
        <v>211</v>
      </c>
      <c r="I286" s="252" t="s">
        <v>487</v>
      </c>
      <c r="J286" s="252" t="s">
        <v>96</v>
      </c>
      <c r="K286" s="252" t="s">
        <v>437</v>
      </c>
      <c r="L286" s="252" t="s">
        <v>2089</v>
      </c>
      <c r="M286" s="248"/>
      <c r="N286" s="248"/>
      <c r="O286" s="248"/>
    </row>
    <row r="287" spans="1:15" hidden="1">
      <c r="A287" s="247">
        <v>45703</v>
      </c>
      <c r="B287" s="248" t="s">
        <v>730</v>
      </c>
      <c r="C287" s="254" t="s">
        <v>172</v>
      </c>
      <c r="D287" s="249" t="s">
        <v>115</v>
      </c>
      <c r="E287" s="250">
        <v>7000</v>
      </c>
      <c r="F287" s="250">
        <v>11.403961214802081</v>
      </c>
      <c r="G287" s="251">
        <v>613.82180000000005</v>
      </c>
      <c r="H287" s="252" t="s">
        <v>191</v>
      </c>
      <c r="I287" s="252" t="s">
        <v>731</v>
      </c>
      <c r="J287" s="252" t="s">
        <v>96</v>
      </c>
      <c r="K287" s="252" t="s">
        <v>437</v>
      </c>
      <c r="L287" s="252" t="s">
        <v>2089</v>
      </c>
      <c r="M287" s="248"/>
      <c r="N287" s="248"/>
      <c r="O287" s="248"/>
    </row>
    <row r="288" spans="1:15" hidden="1">
      <c r="A288" s="247">
        <v>45705</v>
      </c>
      <c r="B288" s="248" t="s">
        <v>596</v>
      </c>
      <c r="C288" s="248" t="s">
        <v>150</v>
      </c>
      <c r="D288" s="249" t="s">
        <v>440</v>
      </c>
      <c r="E288" s="250">
        <v>15000</v>
      </c>
      <c r="F288" s="250">
        <v>24.437059746004458</v>
      </c>
      <c r="G288" s="251">
        <v>613.82180000000005</v>
      </c>
      <c r="H288" s="252" t="s">
        <v>155</v>
      </c>
      <c r="I288" s="252" t="s">
        <v>597</v>
      </c>
      <c r="J288" s="252" t="s">
        <v>96</v>
      </c>
      <c r="K288" s="252" t="s">
        <v>437</v>
      </c>
      <c r="L288" s="252" t="s">
        <v>2089</v>
      </c>
      <c r="M288" s="248"/>
      <c r="N288" s="248"/>
      <c r="O288" s="248"/>
    </row>
    <row r="289" spans="1:15" hidden="1">
      <c r="A289" s="247">
        <v>45706</v>
      </c>
      <c r="B289" s="248" t="s">
        <v>598</v>
      </c>
      <c r="C289" s="255" t="s">
        <v>2090</v>
      </c>
      <c r="D289" s="248" t="s">
        <v>116</v>
      </c>
      <c r="E289" s="250">
        <v>9000</v>
      </c>
      <c r="F289" s="250">
        <v>14.662235847602675</v>
      </c>
      <c r="G289" s="251">
        <v>613.82180000000005</v>
      </c>
      <c r="H289" s="252" t="s">
        <v>581</v>
      </c>
      <c r="I289" s="252" t="s">
        <v>599</v>
      </c>
      <c r="J289" s="252" t="s">
        <v>96</v>
      </c>
      <c r="K289" s="252" t="s">
        <v>437</v>
      </c>
      <c r="L289" s="252" t="s">
        <v>2089</v>
      </c>
      <c r="M289" s="248"/>
      <c r="N289" s="248"/>
      <c r="O289" s="248"/>
    </row>
    <row r="290" spans="1:15" hidden="1">
      <c r="A290" s="247">
        <v>45706</v>
      </c>
      <c r="B290" s="248" t="s">
        <v>4793</v>
      </c>
      <c r="C290" s="254" t="s">
        <v>175</v>
      </c>
      <c r="D290" s="249" t="s">
        <v>440</v>
      </c>
      <c r="E290" s="250">
        <v>45000</v>
      </c>
      <c r="F290" s="250">
        <v>73.311179238013366</v>
      </c>
      <c r="G290" s="251">
        <v>613.82180000000005</v>
      </c>
      <c r="H290" s="252" t="s">
        <v>315</v>
      </c>
      <c r="I290" s="252" t="s">
        <v>751</v>
      </c>
      <c r="J290" s="252" t="s">
        <v>96</v>
      </c>
      <c r="K290" s="252" t="s">
        <v>437</v>
      </c>
      <c r="L290" s="252" t="s">
        <v>2089</v>
      </c>
      <c r="M290" s="248"/>
      <c r="N290" s="248"/>
      <c r="O290" s="248"/>
    </row>
    <row r="291" spans="1:15" hidden="1">
      <c r="A291" s="247">
        <v>45706</v>
      </c>
      <c r="B291" s="248" t="s">
        <v>4797</v>
      </c>
      <c r="C291" s="254" t="s">
        <v>172</v>
      </c>
      <c r="D291" s="249" t="s">
        <v>440</v>
      </c>
      <c r="E291" s="250">
        <v>4000</v>
      </c>
      <c r="F291" s="250">
        <v>6.5165492656011885</v>
      </c>
      <c r="G291" s="251">
        <v>613.82180000000005</v>
      </c>
      <c r="H291" s="252" t="s">
        <v>315</v>
      </c>
      <c r="I291" s="252" t="s">
        <v>752</v>
      </c>
      <c r="J291" s="252" t="s">
        <v>96</v>
      </c>
      <c r="K291" s="252" t="s">
        <v>437</v>
      </c>
      <c r="L291" s="252" t="s">
        <v>2089</v>
      </c>
      <c r="M291" s="248"/>
      <c r="N291" s="248"/>
      <c r="O291" s="248"/>
    </row>
    <row r="292" spans="1:15" hidden="1">
      <c r="A292" s="247">
        <v>45706</v>
      </c>
      <c r="B292" s="248" t="s">
        <v>600</v>
      </c>
      <c r="C292" s="248" t="s">
        <v>254</v>
      </c>
      <c r="D292" s="249" t="s">
        <v>115</v>
      </c>
      <c r="E292" s="250">
        <v>70000</v>
      </c>
      <c r="F292" s="250">
        <v>114.03961214802079</v>
      </c>
      <c r="G292" s="251">
        <v>613.82180000000005</v>
      </c>
      <c r="H292" s="252" t="s">
        <v>191</v>
      </c>
      <c r="I292" s="252" t="s">
        <v>601</v>
      </c>
      <c r="J292" s="252" t="s">
        <v>96</v>
      </c>
      <c r="K292" s="252" t="s">
        <v>437</v>
      </c>
      <c r="L292" s="252" t="s">
        <v>2089</v>
      </c>
      <c r="M292" s="248"/>
      <c r="N292" s="248"/>
      <c r="O292" s="248"/>
    </row>
    <row r="293" spans="1:15" hidden="1">
      <c r="A293" s="247">
        <v>45707</v>
      </c>
      <c r="B293" s="248" t="s">
        <v>773</v>
      </c>
      <c r="C293" s="254" t="s">
        <v>363</v>
      </c>
      <c r="D293" s="249" t="s">
        <v>440</v>
      </c>
      <c r="E293" s="250">
        <v>30000</v>
      </c>
      <c r="F293" s="250">
        <v>48.874119492008916</v>
      </c>
      <c r="G293" s="251">
        <v>613.82180000000005</v>
      </c>
      <c r="H293" s="252" t="s">
        <v>155</v>
      </c>
      <c r="I293" s="252" t="s">
        <v>602</v>
      </c>
      <c r="J293" s="252" t="s">
        <v>96</v>
      </c>
      <c r="K293" s="252" t="s">
        <v>437</v>
      </c>
      <c r="L293" s="252" t="s">
        <v>2089</v>
      </c>
      <c r="M293" s="248"/>
      <c r="N293" s="248"/>
      <c r="O293" s="248"/>
    </row>
    <row r="294" spans="1:15" hidden="1">
      <c r="A294" s="247">
        <v>45707</v>
      </c>
      <c r="B294" s="248" t="s">
        <v>603</v>
      </c>
      <c r="C294" s="255" t="s">
        <v>2090</v>
      </c>
      <c r="D294" s="248" t="s">
        <v>116</v>
      </c>
      <c r="E294" s="250">
        <v>1952</v>
      </c>
      <c r="F294" s="250">
        <v>3.3698684387478939</v>
      </c>
      <c r="G294" s="251">
        <v>579.25099999999998</v>
      </c>
      <c r="H294" s="252" t="s">
        <v>155</v>
      </c>
      <c r="I294" s="252" t="s">
        <v>604</v>
      </c>
      <c r="J294" s="252" t="s">
        <v>96</v>
      </c>
      <c r="K294" s="256" t="s">
        <v>200</v>
      </c>
      <c r="L294" s="252" t="s">
        <v>2089</v>
      </c>
      <c r="M294" s="248"/>
      <c r="N294" s="248"/>
      <c r="O294" s="248"/>
    </row>
    <row r="295" spans="1:15" hidden="1">
      <c r="A295" s="247">
        <v>45707</v>
      </c>
      <c r="B295" s="248" t="s">
        <v>605</v>
      </c>
      <c r="C295" s="255" t="s">
        <v>2090</v>
      </c>
      <c r="D295" s="248" t="s">
        <v>116</v>
      </c>
      <c r="E295" s="250">
        <v>14250</v>
      </c>
      <c r="F295" s="250">
        <v>23.215206758704234</v>
      </c>
      <c r="G295" s="251">
        <v>613.82180000000005</v>
      </c>
      <c r="H295" s="252" t="s">
        <v>581</v>
      </c>
      <c r="I295" s="252" t="s">
        <v>606</v>
      </c>
      <c r="J295" s="252" t="s">
        <v>96</v>
      </c>
      <c r="K295" s="252" t="s">
        <v>437</v>
      </c>
      <c r="L295" s="252" t="s">
        <v>2089</v>
      </c>
      <c r="M295" s="248"/>
      <c r="N295" s="248"/>
      <c r="O295" s="248"/>
    </row>
    <row r="296" spans="1:15" hidden="1">
      <c r="A296" s="247">
        <v>45708</v>
      </c>
      <c r="B296" s="248" t="s">
        <v>4793</v>
      </c>
      <c r="C296" s="254" t="s">
        <v>175</v>
      </c>
      <c r="D296" s="249" t="s">
        <v>440</v>
      </c>
      <c r="E296" s="250">
        <v>30000</v>
      </c>
      <c r="F296" s="250">
        <v>48.874119492008916</v>
      </c>
      <c r="G296" s="251">
        <v>613.82180000000005</v>
      </c>
      <c r="H296" s="252" t="s">
        <v>315</v>
      </c>
      <c r="I296" s="252" t="s">
        <v>753</v>
      </c>
      <c r="J296" s="252" t="s">
        <v>96</v>
      </c>
      <c r="K296" s="252" t="s">
        <v>437</v>
      </c>
      <c r="L296" s="252" t="s">
        <v>2089</v>
      </c>
      <c r="M296" s="248"/>
      <c r="N296" s="248"/>
      <c r="O296" s="248"/>
    </row>
    <row r="297" spans="1:15" hidden="1">
      <c r="A297" s="247">
        <v>45708</v>
      </c>
      <c r="B297" s="248" t="s">
        <v>4749</v>
      </c>
      <c r="C297" s="254" t="s">
        <v>172</v>
      </c>
      <c r="D297" s="249" t="s">
        <v>440</v>
      </c>
      <c r="E297" s="250">
        <v>4000</v>
      </c>
      <c r="F297" s="250">
        <v>6.5165492656011885</v>
      </c>
      <c r="G297" s="251">
        <v>613.82180000000005</v>
      </c>
      <c r="H297" s="252" t="s">
        <v>315</v>
      </c>
      <c r="I297" s="252" t="s">
        <v>754</v>
      </c>
      <c r="J297" s="252" t="s">
        <v>96</v>
      </c>
      <c r="K297" s="252" t="s">
        <v>437</v>
      </c>
      <c r="L297" s="252" t="s">
        <v>2089</v>
      </c>
      <c r="M297" s="248"/>
      <c r="N297" s="248"/>
      <c r="O297" s="248"/>
    </row>
    <row r="298" spans="1:15" hidden="1">
      <c r="A298" s="247">
        <v>45708</v>
      </c>
      <c r="B298" s="248" t="s">
        <v>510</v>
      </c>
      <c r="C298" s="254" t="s">
        <v>175</v>
      </c>
      <c r="D298" s="249" t="s">
        <v>115</v>
      </c>
      <c r="E298" s="250">
        <v>75000</v>
      </c>
      <c r="F298" s="250">
        <v>122.18529873002228</v>
      </c>
      <c r="G298" s="251">
        <v>613.82180000000005</v>
      </c>
      <c r="H298" s="252" t="s">
        <v>188</v>
      </c>
      <c r="I298" s="252" t="s">
        <v>511</v>
      </c>
      <c r="J298" s="252" t="s">
        <v>96</v>
      </c>
      <c r="K298" s="252" t="s">
        <v>437</v>
      </c>
      <c r="L298" s="252" t="s">
        <v>2089</v>
      </c>
      <c r="M298" s="248"/>
      <c r="N298" s="248"/>
      <c r="O298" s="248"/>
    </row>
    <row r="299" spans="1:15" hidden="1">
      <c r="A299" s="247">
        <v>45709</v>
      </c>
      <c r="B299" s="248" t="s">
        <v>583</v>
      </c>
      <c r="C299" s="255" t="s">
        <v>2090</v>
      </c>
      <c r="D299" s="248" t="s">
        <v>116</v>
      </c>
      <c r="E299" s="250">
        <v>14700</v>
      </c>
      <c r="F299" s="250">
        <v>23.94831855108437</v>
      </c>
      <c r="G299" s="251">
        <v>613.82180000000005</v>
      </c>
      <c r="H299" s="252" t="s">
        <v>191</v>
      </c>
      <c r="I299" s="252" t="s">
        <v>608</v>
      </c>
      <c r="J299" s="252" t="s">
        <v>96</v>
      </c>
      <c r="K299" s="252" t="s">
        <v>437</v>
      </c>
      <c r="L299" s="252" t="s">
        <v>2089</v>
      </c>
      <c r="M299" s="248"/>
      <c r="N299" s="248"/>
      <c r="O299" s="248"/>
    </row>
    <row r="300" spans="1:15" hidden="1">
      <c r="A300" s="247">
        <v>45710</v>
      </c>
      <c r="B300" s="248" t="s">
        <v>767</v>
      </c>
      <c r="C300" s="254" t="s">
        <v>175</v>
      </c>
      <c r="D300" s="249" t="s">
        <v>115</v>
      </c>
      <c r="E300" s="250">
        <v>105000</v>
      </c>
      <c r="F300" s="250">
        <v>171.05941822203121</v>
      </c>
      <c r="G300" s="251">
        <v>613.82180000000005</v>
      </c>
      <c r="H300" s="252" t="s">
        <v>198</v>
      </c>
      <c r="I300" s="252" t="s">
        <v>520</v>
      </c>
      <c r="J300" s="252" t="s">
        <v>96</v>
      </c>
      <c r="K300" s="252" t="s">
        <v>437</v>
      </c>
      <c r="L300" s="252" t="s">
        <v>2089</v>
      </c>
      <c r="M300" s="248"/>
      <c r="N300" s="248"/>
      <c r="O300" s="248"/>
    </row>
    <row r="301" spans="1:15" hidden="1">
      <c r="A301" s="247">
        <v>45710</v>
      </c>
      <c r="B301" s="248" t="s">
        <v>4754</v>
      </c>
      <c r="C301" s="254" t="s">
        <v>175</v>
      </c>
      <c r="D301" s="249" t="s">
        <v>440</v>
      </c>
      <c r="E301" s="250">
        <v>180000</v>
      </c>
      <c r="F301" s="250">
        <v>293.24471695205347</v>
      </c>
      <c r="G301" s="251">
        <v>613.82180000000005</v>
      </c>
      <c r="H301" s="252" t="s">
        <v>173</v>
      </c>
      <c r="I301" s="252" t="s">
        <v>677</v>
      </c>
      <c r="J301" s="252" t="s">
        <v>96</v>
      </c>
      <c r="K301" s="252" t="s">
        <v>437</v>
      </c>
      <c r="L301" s="252" t="s">
        <v>2089</v>
      </c>
      <c r="M301" s="248"/>
      <c r="N301" s="248"/>
      <c r="O301" s="248"/>
    </row>
    <row r="302" spans="1:15" hidden="1">
      <c r="A302" s="247">
        <v>45710</v>
      </c>
      <c r="B302" s="248" t="s">
        <v>4793</v>
      </c>
      <c r="C302" s="254" t="s">
        <v>175</v>
      </c>
      <c r="D302" s="249" t="s">
        <v>440</v>
      </c>
      <c r="E302" s="250">
        <v>30000</v>
      </c>
      <c r="F302" s="250">
        <v>48.874119492008916</v>
      </c>
      <c r="G302" s="251">
        <v>613.82180000000005</v>
      </c>
      <c r="H302" s="252" t="s">
        <v>315</v>
      </c>
      <c r="I302" s="252" t="s">
        <v>755</v>
      </c>
      <c r="J302" s="252" t="s">
        <v>96</v>
      </c>
      <c r="K302" s="252" t="s">
        <v>437</v>
      </c>
      <c r="L302" s="252" t="s">
        <v>2089</v>
      </c>
      <c r="M302" s="248"/>
      <c r="N302" s="248"/>
      <c r="O302" s="248"/>
    </row>
    <row r="303" spans="1:15" hidden="1">
      <c r="A303" s="247">
        <v>45710</v>
      </c>
      <c r="B303" s="248" t="s">
        <v>4749</v>
      </c>
      <c r="C303" s="254" t="s">
        <v>172</v>
      </c>
      <c r="D303" s="249" t="s">
        <v>440</v>
      </c>
      <c r="E303" s="250">
        <v>7000</v>
      </c>
      <c r="F303" s="250">
        <v>11.403961214802081</v>
      </c>
      <c r="G303" s="251">
        <v>613.82180000000005</v>
      </c>
      <c r="H303" s="252" t="s">
        <v>315</v>
      </c>
      <c r="I303" s="252" t="s">
        <v>756</v>
      </c>
      <c r="J303" s="252" t="s">
        <v>96</v>
      </c>
      <c r="K303" s="252" t="s">
        <v>437</v>
      </c>
      <c r="L303" s="252" t="s">
        <v>2089</v>
      </c>
      <c r="M303" s="248"/>
      <c r="N303" s="248"/>
      <c r="O303" s="248"/>
    </row>
    <row r="304" spans="1:15" hidden="1">
      <c r="A304" s="247">
        <v>45711</v>
      </c>
      <c r="B304" s="248" t="s">
        <v>678</v>
      </c>
      <c r="C304" s="254" t="s">
        <v>363</v>
      </c>
      <c r="D304" s="249" t="s">
        <v>440</v>
      </c>
      <c r="E304" s="250">
        <v>68000</v>
      </c>
      <c r="F304" s="250">
        <v>110.7813375152202</v>
      </c>
      <c r="G304" s="251">
        <v>613.82180000000005</v>
      </c>
      <c r="H304" s="252" t="s">
        <v>173</v>
      </c>
      <c r="I304" s="252" t="s">
        <v>679</v>
      </c>
      <c r="J304" s="252" t="s">
        <v>96</v>
      </c>
      <c r="K304" s="252" t="s">
        <v>437</v>
      </c>
      <c r="L304" s="252" t="s">
        <v>2089</v>
      </c>
      <c r="M304" s="248"/>
      <c r="N304" s="248"/>
      <c r="O304" s="248"/>
    </row>
    <row r="305" spans="1:15" hidden="1">
      <c r="A305" s="247">
        <v>45712</v>
      </c>
      <c r="B305" s="248" t="s">
        <v>521</v>
      </c>
      <c r="C305" s="254" t="s">
        <v>175</v>
      </c>
      <c r="D305" s="248" t="s">
        <v>2091</v>
      </c>
      <c r="E305" s="250">
        <v>10500</v>
      </c>
      <c r="F305" s="250">
        <v>17.105941822203121</v>
      </c>
      <c r="G305" s="251">
        <v>613.82180000000005</v>
      </c>
      <c r="H305" s="252" t="s">
        <v>198</v>
      </c>
      <c r="I305" s="252" t="s">
        <v>522</v>
      </c>
      <c r="J305" s="252" t="s">
        <v>96</v>
      </c>
      <c r="K305" s="252" t="s">
        <v>437</v>
      </c>
      <c r="L305" s="252" t="s">
        <v>2089</v>
      </c>
      <c r="M305" s="248"/>
      <c r="N305" s="248"/>
      <c r="O305" s="248"/>
    </row>
    <row r="306" spans="1:15" hidden="1">
      <c r="A306" s="247">
        <v>45712</v>
      </c>
      <c r="B306" s="248" t="s">
        <v>523</v>
      </c>
      <c r="C306" s="254" t="s">
        <v>1168</v>
      </c>
      <c r="D306" s="248" t="s">
        <v>2091</v>
      </c>
      <c r="E306" s="250">
        <v>1500</v>
      </c>
      <c r="F306" s="250">
        <v>2.4437059746004457</v>
      </c>
      <c r="G306" s="251">
        <v>613.82180000000005</v>
      </c>
      <c r="H306" s="252" t="s">
        <v>198</v>
      </c>
      <c r="I306" s="252" t="s">
        <v>524</v>
      </c>
      <c r="J306" s="252" t="s">
        <v>96</v>
      </c>
      <c r="K306" s="252" t="s">
        <v>437</v>
      </c>
      <c r="L306" s="252" t="s">
        <v>2089</v>
      </c>
      <c r="M306" s="248"/>
      <c r="N306" s="248"/>
      <c r="O306" s="248"/>
    </row>
    <row r="307" spans="1:15" hidden="1">
      <c r="A307" s="247">
        <v>45712</v>
      </c>
      <c r="B307" s="248" t="s">
        <v>610</v>
      </c>
      <c r="C307" s="248" t="s">
        <v>150</v>
      </c>
      <c r="D307" s="249" t="s">
        <v>117</v>
      </c>
      <c r="E307" s="250">
        <v>5000</v>
      </c>
      <c r="F307" s="250">
        <v>8.1456865820014865</v>
      </c>
      <c r="G307" s="251">
        <v>613.82180000000005</v>
      </c>
      <c r="H307" s="252" t="s">
        <v>155</v>
      </c>
      <c r="I307" s="252" t="s">
        <v>611</v>
      </c>
      <c r="J307" s="252" t="s">
        <v>96</v>
      </c>
      <c r="K307" s="252" t="s">
        <v>437</v>
      </c>
      <c r="L307" s="252" t="s">
        <v>2089</v>
      </c>
      <c r="M307" s="248"/>
      <c r="N307" s="248"/>
      <c r="O307" s="248"/>
    </row>
    <row r="308" spans="1:15" hidden="1">
      <c r="A308" s="247">
        <v>45712</v>
      </c>
      <c r="B308" s="248" t="s">
        <v>4813</v>
      </c>
      <c r="C308" s="254" t="s">
        <v>175</v>
      </c>
      <c r="D308" s="249" t="s">
        <v>440</v>
      </c>
      <c r="E308" s="250">
        <v>210000</v>
      </c>
      <c r="F308" s="250">
        <v>342.11883644406242</v>
      </c>
      <c r="G308" s="251">
        <v>613.82180000000005</v>
      </c>
      <c r="H308" s="252" t="s">
        <v>182</v>
      </c>
      <c r="I308" s="252" t="s">
        <v>660</v>
      </c>
      <c r="J308" s="252" t="s">
        <v>96</v>
      </c>
      <c r="K308" s="252" t="s">
        <v>437</v>
      </c>
      <c r="L308" s="252" t="s">
        <v>2089</v>
      </c>
      <c r="M308" s="248"/>
      <c r="N308" s="248"/>
      <c r="O308" s="248"/>
    </row>
    <row r="309" spans="1:15" hidden="1">
      <c r="A309" s="247">
        <v>45712</v>
      </c>
      <c r="B309" s="248" t="s">
        <v>661</v>
      </c>
      <c r="C309" s="254" t="s">
        <v>172</v>
      </c>
      <c r="D309" s="248" t="s">
        <v>2091</v>
      </c>
      <c r="E309" s="250">
        <v>50000</v>
      </c>
      <c r="F309" s="250">
        <v>81.456865820014855</v>
      </c>
      <c r="G309" s="251">
        <v>613.82180000000005</v>
      </c>
      <c r="H309" s="252" t="s">
        <v>182</v>
      </c>
      <c r="I309" s="252" t="s">
        <v>662</v>
      </c>
      <c r="J309" s="252" t="s">
        <v>96</v>
      </c>
      <c r="K309" s="252" t="s">
        <v>437</v>
      </c>
      <c r="L309" s="252" t="s">
        <v>2089</v>
      </c>
      <c r="M309" s="248"/>
      <c r="N309" s="248"/>
      <c r="O309" s="248"/>
    </row>
    <row r="310" spans="1:15" hidden="1">
      <c r="A310" s="247">
        <v>45712</v>
      </c>
      <c r="B310" s="248" t="s">
        <v>663</v>
      </c>
      <c r="C310" s="254" t="s">
        <v>172</v>
      </c>
      <c r="D310" s="248" t="s">
        <v>2091</v>
      </c>
      <c r="E310" s="250">
        <v>8000</v>
      </c>
      <c r="F310" s="250">
        <v>13.033098531202377</v>
      </c>
      <c r="G310" s="251">
        <v>613.82180000000005</v>
      </c>
      <c r="H310" s="252" t="s">
        <v>182</v>
      </c>
      <c r="I310" s="252" t="s">
        <v>664</v>
      </c>
      <c r="J310" s="252" t="s">
        <v>96</v>
      </c>
      <c r="K310" s="252" t="s">
        <v>437</v>
      </c>
      <c r="L310" s="252" t="s">
        <v>2089</v>
      </c>
      <c r="M310" s="248"/>
      <c r="N310" s="248"/>
      <c r="O310" s="248"/>
    </row>
    <row r="311" spans="1:15" hidden="1">
      <c r="A311" s="247">
        <v>45712</v>
      </c>
      <c r="B311" s="248" t="s">
        <v>665</v>
      </c>
      <c r="C311" s="254" t="s">
        <v>172</v>
      </c>
      <c r="D311" s="248" t="s">
        <v>2091</v>
      </c>
      <c r="E311" s="250">
        <v>8000</v>
      </c>
      <c r="F311" s="250">
        <v>13.033098531202377</v>
      </c>
      <c r="G311" s="251">
        <v>613.82180000000005</v>
      </c>
      <c r="H311" s="252" t="s">
        <v>182</v>
      </c>
      <c r="I311" s="252" t="s">
        <v>666</v>
      </c>
      <c r="J311" s="252" t="s">
        <v>96</v>
      </c>
      <c r="K311" s="252" t="s">
        <v>437</v>
      </c>
      <c r="L311" s="252" t="s">
        <v>2089</v>
      </c>
      <c r="M311" s="248"/>
      <c r="N311" s="248"/>
      <c r="O311" s="248"/>
    </row>
    <row r="312" spans="1:15" hidden="1">
      <c r="A312" s="247">
        <v>45712</v>
      </c>
      <c r="B312" s="248" t="s">
        <v>245</v>
      </c>
      <c r="C312" s="254" t="s">
        <v>175</v>
      </c>
      <c r="D312" s="248" t="s">
        <v>2091</v>
      </c>
      <c r="E312" s="250">
        <v>18000</v>
      </c>
      <c r="F312" s="250">
        <v>29.32447169520535</v>
      </c>
      <c r="G312" s="251">
        <v>613.82180000000005</v>
      </c>
      <c r="H312" s="252" t="s">
        <v>185</v>
      </c>
      <c r="I312" s="252" t="s">
        <v>709</v>
      </c>
      <c r="J312" s="252" t="s">
        <v>96</v>
      </c>
      <c r="K312" s="252" t="s">
        <v>437</v>
      </c>
      <c r="L312" s="252" t="s">
        <v>2089</v>
      </c>
      <c r="M312" s="248"/>
      <c r="N312" s="248"/>
      <c r="O312" s="248"/>
    </row>
    <row r="313" spans="1:15" hidden="1">
      <c r="A313" s="247">
        <v>45712</v>
      </c>
      <c r="B313" s="248" t="s">
        <v>710</v>
      </c>
      <c r="C313" s="254" t="s">
        <v>172</v>
      </c>
      <c r="D313" s="248" t="s">
        <v>2091</v>
      </c>
      <c r="E313" s="250">
        <v>25000</v>
      </c>
      <c r="F313" s="250">
        <v>40.728432910007427</v>
      </c>
      <c r="G313" s="251">
        <v>613.82180000000005</v>
      </c>
      <c r="H313" s="252" t="s">
        <v>185</v>
      </c>
      <c r="I313" s="252" t="s">
        <v>711</v>
      </c>
      <c r="J313" s="252" t="s">
        <v>96</v>
      </c>
      <c r="K313" s="252" t="s">
        <v>437</v>
      </c>
      <c r="L313" s="252" t="s">
        <v>2089</v>
      </c>
      <c r="M313" s="248"/>
      <c r="N313" s="248"/>
      <c r="O313" s="248"/>
    </row>
    <row r="314" spans="1:15" hidden="1">
      <c r="A314" s="247">
        <v>45712</v>
      </c>
      <c r="B314" s="248" t="s">
        <v>512</v>
      </c>
      <c r="C314" s="254" t="s">
        <v>175</v>
      </c>
      <c r="D314" s="249" t="s">
        <v>115</v>
      </c>
      <c r="E314" s="250">
        <v>5100</v>
      </c>
      <c r="F314" s="250">
        <v>8.3086003136415147</v>
      </c>
      <c r="G314" s="251">
        <v>613.82180000000005</v>
      </c>
      <c r="H314" s="252" t="s">
        <v>188</v>
      </c>
      <c r="I314" s="252" t="s">
        <v>513</v>
      </c>
      <c r="J314" s="252" t="s">
        <v>96</v>
      </c>
      <c r="K314" s="252" t="s">
        <v>437</v>
      </c>
      <c r="L314" s="252" t="s">
        <v>2089</v>
      </c>
      <c r="M314" s="248"/>
      <c r="N314" s="248"/>
      <c r="O314" s="248"/>
    </row>
    <row r="315" spans="1:15" hidden="1">
      <c r="A315" s="247">
        <v>45712</v>
      </c>
      <c r="B315" s="248" t="s">
        <v>777</v>
      </c>
      <c r="C315" s="255" t="s">
        <v>2090</v>
      </c>
      <c r="D315" s="248" t="s">
        <v>116</v>
      </c>
      <c r="E315" s="250">
        <v>8100</v>
      </c>
      <c r="F315" s="250">
        <v>13.196012262842407</v>
      </c>
      <c r="G315" s="251">
        <v>613.82180000000005</v>
      </c>
      <c r="H315" s="252" t="s">
        <v>191</v>
      </c>
      <c r="I315" s="252" t="s">
        <v>609</v>
      </c>
      <c r="J315" s="252" t="s">
        <v>96</v>
      </c>
      <c r="K315" s="252" t="s">
        <v>437</v>
      </c>
      <c r="L315" s="252" t="s">
        <v>2089</v>
      </c>
      <c r="M315" s="248"/>
      <c r="N315" s="248"/>
      <c r="O315" s="248"/>
    </row>
    <row r="316" spans="1:15" hidden="1">
      <c r="A316" s="247">
        <v>45712</v>
      </c>
      <c r="B316" s="248" t="s">
        <v>260</v>
      </c>
      <c r="C316" s="254" t="s">
        <v>175</v>
      </c>
      <c r="D316" s="248" t="s">
        <v>2091</v>
      </c>
      <c r="E316" s="250">
        <v>9800</v>
      </c>
      <c r="F316" s="250">
        <v>15.965545700722911</v>
      </c>
      <c r="G316" s="251">
        <v>613.82180000000005</v>
      </c>
      <c r="H316" s="252" t="s">
        <v>211</v>
      </c>
      <c r="I316" s="252" t="s">
        <v>488</v>
      </c>
      <c r="J316" s="252" t="s">
        <v>96</v>
      </c>
      <c r="K316" s="252" t="s">
        <v>437</v>
      </c>
      <c r="L316" s="252" t="s">
        <v>2089</v>
      </c>
      <c r="M316" s="248"/>
      <c r="N316" s="248"/>
      <c r="O316" s="248"/>
    </row>
    <row r="317" spans="1:15" hidden="1">
      <c r="A317" s="247">
        <v>45713</v>
      </c>
      <c r="B317" s="248" t="s">
        <v>638</v>
      </c>
      <c r="C317" s="254" t="s">
        <v>172</v>
      </c>
      <c r="D317" s="249" t="s">
        <v>117</v>
      </c>
      <c r="E317" s="250">
        <v>7000</v>
      </c>
      <c r="F317" s="250">
        <v>11.403961214802081</v>
      </c>
      <c r="G317" s="251">
        <v>613.82180000000005</v>
      </c>
      <c r="H317" s="252" t="s">
        <v>151</v>
      </c>
      <c r="I317" s="252" t="s">
        <v>639</v>
      </c>
      <c r="J317" s="252" t="s">
        <v>96</v>
      </c>
      <c r="K317" s="252" t="s">
        <v>437</v>
      </c>
      <c r="L317" s="252" t="s">
        <v>2089</v>
      </c>
      <c r="M317" s="248"/>
      <c r="N317" s="248"/>
      <c r="O317" s="248"/>
    </row>
    <row r="318" spans="1:15" hidden="1">
      <c r="A318" s="247">
        <v>45713</v>
      </c>
      <c r="B318" s="248" t="s">
        <v>640</v>
      </c>
      <c r="C318" s="254" t="s">
        <v>175</v>
      </c>
      <c r="D318" s="249" t="s">
        <v>117</v>
      </c>
      <c r="E318" s="250">
        <v>150000</v>
      </c>
      <c r="F318" s="250">
        <v>244.37059746004456</v>
      </c>
      <c r="G318" s="251">
        <v>613.82180000000005</v>
      </c>
      <c r="H318" s="252" t="s">
        <v>151</v>
      </c>
      <c r="I318" s="252" t="s">
        <v>641</v>
      </c>
      <c r="J318" s="252" t="s">
        <v>96</v>
      </c>
      <c r="K318" s="252" t="s">
        <v>437</v>
      </c>
      <c r="L318" s="252" t="s">
        <v>2089</v>
      </c>
      <c r="M318" s="248"/>
      <c r="N318" s="248"/>
      <c r="O318" s="248"/>
    </row>
    <row r="319" spans="1:15" hidden="1">
      <c r="A319" s="247">
        <v>45713</v>
      </c>
      <c r="B319" s="248" t="s">
        <v>525</v>
      </c>
      <c r="C319" s="248" t="s">
        <v>263</v>
      </c>
      <c r="D319" s="248" t="s">
        <v>2091</v>
      </c>
      <c r="E319" s="250">
        <v>180000</v>
      </c>
      <c r="F319" s="250">
        <v>293.24471695205347</v>
      </c>
      <c r="G319" s="251">
        <v>613.82180000000005</v>
      </c>
      <c r="H319" s="252" t="s">
        <v>198</v>
      </c>
      <c r="I319" s="252" t="s">
        <v>526</v>
      </c>
      <c r="J319" s="252" t="s">
        <v>96</v>
      </c>
      <c r="K319" s="252" t="s">
        <v>437</v>
      </c>
      <c r="L319" s="252" t="s">
        <v>2089</v>
      </c>
      <c r="M319" s="248"/>
      <c r="N319" s="248"/>
      <c r="O319" s="248"/>
    </row>
    <row r="320" spans="1:15" hidden="1">
      <c r="A320" s="247">
        <v>45713</v>
      </c>
      <c r="B320" s="248" t="s">
        <v>527</v>
      </c>
      <c r="C320" s="248" t="s">
        <v>263</v>
      </c>
      <c r="D320" s="248" t="s">
        <v>2091</v>
      </c>
      <c r="E320" s="250">
        <v>20000</v>
      </c>
      <c r="F320" s="250">
        <v>32.582746328005946</v>
      </c>
      <c r="G320" s="251">
        <v>613.82180000000005</v>
      </c>
      <c r="H320" s="252" t="s">
        <v>198</v>
      </c>
      <c r="I320" s="252" t="s">
        <v>528</v>
      </c>
      <c r="J320" s="252" t="s">
        <v>96</v>
      </c>
      <c r="K320" s="252" t="s">
        <v>437</v>
      </c>
      <c r="L320" s="252" t="s">
        <v>2089</v>
      </c>
      <c r="M320" s="248"/>
      <c r="N320" s="248"/>
      <c r="O320" s="248"/>
    </row>
    <row r="321" spans="1:15" hidden="1">
      <c r="A321" s="247">
        <v>45713</v>
      </c>
      <c r="B321" s="248" t="s">
        <v>774</v>
      </c>
      <c r="C321" s="254" t="s">
        <v>175</v>
      </c>
      <c r="D321" s="248" t="s">
        <v>2091</v>
      </c>
      <c r="E321" s="250">
        <v>105000</v>
      </c>
      <c r="F321" s="250">
        <v>181.26853794494306</v>
      </c>
      <c r="G321" s="251">
        <v>579.25099999999998</v>
      </c>
      <c r="H321" s="252" t="s">
        <v>182</v>
      </c>
      <c r="I321" s="252" t="s">
        <v>667</v>
      </c>
      <c r="J321" s="252" t="s">
        <v>96</v>
      </c>
      <c r="K321" s="256" t="s">
        <v>200</v>
      </c>
      <c r="L321" s="252" t="s">
        <v>2089</v>
      </c>
      <c r="M321" s="248"/>
      <c r="N321" s="248"/>
      <c r="O321" s="248"/>
    </row>
    <row r="322" spans="1:15" hidden="1">
      <c r="A322" s="247">
        <v>45713</v>
      </c>
      <c r="B322" s="248" t="s">
        <v>775</v>
      </c>
      <c r="C322" s="254" t="s">
        <v>175</v>
      </c>
      <c r="D322" s="248" t="s">
        <v>2091</v>
      </c>
      <c r="E322" s="250">
        <v>105000</v>
      </c>
      <c r="F322" s="250">
        <v>181.26853794494306</v>
      </c>
      <c r="G322" s="251">
        <v>579.25099999999998</v>
      </c>
      <c r="H322" s="252" t="s">
        <v>182</v>
      </c>
      <c r="I322" s="252" t="s">
        <v>668</v>
      </c>
      <c r="J322" s="252" t="s">
        <v>96</v>
      </c>
      <c r="K322" s="256" t="s">
        <v>200</v>
      </c>
      <c r="L322" s="252" t="s">
        <v>2089</v>
      </c>
      <c r="M322" s="248"/>
      <c r="N322" s="248"/>
      <c r="O322" s="248"/>
    </row>
    <row r="323" spans="1:15" hidden="1">
      <c r="A323" s="247">
        <v>45713</v>
      </c>
      <c r="B323" s="248" t="s">
        <v>4749</v>
      </c>
      <c r="C323" s="254" t="s">
        <v>172</v>
      </c>
      <c r="D323" s="249" t="s">
        <v>440</v>
      </c>
      <c r="E323" s="250">
        <v>7000</v>
      </c>
      <c r="F323" s="250">
        <v>11.403961214802081</v>
      </c>
      <c r="G323" s="251">
        <v>613.82180000000005</v>
      </c>
      <c r="H323" s="252" t="s">
        <v>315</v>
      </c>
      <c r="I323" s="252" t="s">
        <v>757</v>
      </c>
      <c r="J323" s="252" t="s">
        <v>96</v>
      </c>
      <c r="K323" s="252" t="s">
        <v>437</v>
      </c>
      <c r="L323" s="252" t="s">
        <v>2089</v>
      </c>
      <c r="M323" s="248"/>
      <c r="N323" s="248"/>
      <c r="O323" s="248"/>
    </row>
    <row r="324" spans="1:15" hidden="1">
      <c r="A324" s="247">
        <v>45713</v>
      </c>
      <c r="B324" s="248" t="s">
        <v>712</v>
      </c>
      <c r="C324" s="254" t="s">
        <v>175</v>
      </c>
      <c r="D324" s="249" t="s">
        <v>115</v>
      </c>
      <c r="E324" s="250">
        <v>150000</v>
      </c>
      <c r="F324" s="250">
        <v>244.37059746004456</v>
      </c>
      <c r="G324" s="251">
        <v>613.82180000000005</v>
      </c>
      <c r="H324" s="252" t="s">
        <v>185</v>
      </c>
      <c r="I324" s="252" t="s">
        <v>713</v>
      </c>
      <c r="J324" s="252" t="s">
        <v>96</v>
      </c>
      <c r="K324" s="252" t="s">
        <v>437</v>
      </c>
      <c r="L324" s="252" t="s">
        <v>2089</v>
      </c>
      <c r="M324" s="248"/>
      <c r="N324" s="248"/>
      <c r="O324" s="248"/>
    </row>
    <row r="325" spans="1:15" hidden="1">
      <c r="A325" s="247">
        <v>45713</v>
      </c>
      <c r="B325" s="248" t="s">
        <v>489</v>
      </c>
      <c r="C325" s="254" t="s">
        <v>175</v>
      </c>
      <c r="D325" s="248" t="s">
        <v>118</v>
      </c>
      <c r="E325" s="250">
        <v>150000</v>
      </c>
      <c r="F325" s="250">
        <v>244.37059746004456</v>
      </c>
      <c r="G325" s="251">
        <v>613.82180000000005</v>
      </c>
      <c r="H325" s="252" t="s">
        <v>211</v>
      </c>
      <c r="I325" s="252" t="s">
        <v>490</v>
      </c>
      <c r="J325" s="252" t="s">
        <v>96</v>
      </c>
      <c r="K325" s="252" t="s">
        <v>437</v>
      </c>
      <c r="L325" s="252" t="s">
        <v>2089</v>
      </c>
      <c r="M325" s="248"/>
      <c r="N325" s="248"/>
      <c r="O325" s="248"/>
    </row>
    <row r="326" spans="1:15" hidden="1">
      <c r="A326" s="247">
        <v>45714</v>
      </c>
      <c r="B326" s="248" t="s">
        <v>613</v>
      </c>
      <c r="C326" s="248" t="s">
        <v>254</v>
      </c>
      <c r="D326" s="249" t="s">
        <v>115</v>
      </c>
      <c r="E326" s="250">
        <v>148000</v>
      </c>
      <c r="F326" s="250">
        <v>241.11232282724399</v>
      </c>
      <c r="G326" s="251">
        <v>613.82180000000005</v>
      </c>
      <c r="H326" s="252" t="s">
        <v>155</v>
      </c>
      <c r="I326" s="252" t="s">
        <v>614</v>
      </c>
      <c r="J326" s="252" t="s">
        <v>96</v>
      </c>
      <c r="K326" s="252" t="s">
        <v>437</v>
      </c>
      <c r="L326" s="252" t="s">
        <v>2089</v>
      </c>
      <c r="M326" s="248"/>
      <c r="N326" s="248"/>
      <c r="O326" s="248"/>
    </row>
    <row r="327" spans="1:15" hidden="1">
      <c r="A327" s="247">
        <v>45714</v>
      </c>
      <c r="B327" s="248" t="s">
        <v>605</v>
      </c>
      <c r="C327" s="255" t="s">
        <v>2090</v>
      </c>
      <c r="D327" s="248" t="s">
        <v>116</v>
      </c>
      <c r="E327" s="250">
        <v>10980</v>
      </c>
      <c r="F327" s="250">
        <v>17.887927734075262</v>
      </c>
      <c r="G327" s="251">
        <v>613.82180000000005</v>
      </c>
      <c r="H327" s="252" t="s">
        <v>581</v>
      </c>
      <c r="I327" s="252" t="s">
        <v>612</v>
      </c>
      <c r="J327" s="252" t="s">
        <v>96</v>
      </c>
      <c r="K327" s="252" t="s">
        <v>437</v>
      </c>
      <c r="L327" s="252" t="s">
        <v>2089</v>
      </c>
      <c r="M327" s="248"/>
      <c r="N327" s="248"/>
      <c r="O327" s="248"/>
    </row>
    <row r="328" spans="1:15" hidden="1">
      <c r="A328" s="247">
        <v>45714</v>
      </c>
      <c r="B328" s="248" t="s">
        <v>4814</v>
      </c>
      <c r="C328" s="254" t="s">
        <v>175</v>
      </c>
      <c r="D328" s="249" t="s">
        <v>440</v>
      </c>
      <c r="E328" s="250">
        <v>20000</v>
      </c>
      <c r="F328" s="250">
        <v>32.582746328005946</v>
      </c>
      <c r="G328" s="251">
        <v>613.82180000000005</v>
      </c>
      <c r="H328" s="252" t="s">
        <v>315</v>
      </c>
      <c r="I328" s="252" t="s">
        <v>758</v>
      </c>
      <c r="J328" s="252" t="s">
        <v>96</v>
      </c>
      <c r="K328" s="252" t="s">
        <v>437</v>
      </c>
      <c r="L328" s="252" t="s">
        <v>2089</v>
      </c>
      <c r="M328" s="248"/>
      <c r="N328" s="248"/>
      <c r="O328" s="248"/>
    </row>
    <row r="329" spans="1:15" hidden="1">
      <c r="A329" s="247">
        <v>45714</v>
      </c>
      <c r="B329" s="248" t="s">
        <v>696</v>
      </c>
      <c r="C329" s="254" t="s">
        <v>172</v>
      </c>
      <c r="D329" s="249" t="s">
        <v>440</v>
      </c>
      <c r="E329" s="250">
        <v>40100</v>
      </c>
      <c r="F329" s="250">
        <v>65.32840638765191</v>
      </c>
      <c r="G329" s="251">
        <v>613.82180000000005</v>
      </c>
      <c r="H329" s="252" t="s">
        <v>321</v>
      </c>
      <c r="I329" s="252" t="s">
        <v>697</v>
      </c>
      <c r="J329" s="252" t="s">
        <v>96</v>
      </c>
      <c r="K329" s="252" t="s">
        <v>437</v>
      </c>
      <c r="L329" s="252" t="s">
        <v>2089</v>
      </c>
      <c r="M329" s="248"/>
      <c r="N329" s="248"/>
      <c r="O329" s="248"/>
    </row>
    <row r="330" spans="1:15" hidden="1">
      <c r="A330" s="247">
        <v>45714</v>
      </c>
      <c r="B330" s="248" t="s">
        <v>514</v>
      </c>
      <c r="C330" s="248" t="s">
        <v>311</v>
      </c>
      <c r="D330" s="249" t="s">
        <v>2091</v>
      </c>
      <c r="E330" s="250">
        <v>4000</v>
      </c>
      <c r="F330" s="250">
        <v>6.9054681121883075</v>
      </c>
      <c r="G330" s="251">
        <v>579.25099999999998</v>
      </c>
      <c r="H330" s="252" t="s">
        <v>188</v>
      </c>
      <c r="I330" s="252" t="s">
        <v>515</v>
      </c>
      <c r="J330" s="252" t="s">
        <v>96</v>
      </c>
      <c r="K330" s="256" t="s">
        <v>200</v>
      </c>
      <c r="L330" s="252" t="s">
        <v>2089</v>
      </c>
      <c r="M330" s="248"/>
      <c r="N330" s="248"/>
      <c r="O330" s="248"/>
    </row>
    <row r="331" spans="1:15" hidden="1">
      <c r="A331" s="247">
        <v>45715</v>
      </c>
      <c r="B331" s="248" t="s">
        <v>615</v>
      </c>
      <c r="C331" s="254" t="s">
        <v>302</v>
      </c>
      <c r="D331" s="248" t="s">
        <v>116</v>
      </c>
      <c r="E331" s="250">
        <v>20000</v>
      </c>
      <c r="F331" s="250">
        <v>34.527340560941539</v>
      </c>
      <c r="G331" s="251">
        <v>579.25099999999998</v>
      </c>
      <c r="H331" s="252" t="s">
        <v>155</v>
      </c>
      <c r="I331" s="252" t="s">
        <v>616</v>
      </c>
      <c r="J331" s="252" t="s">
        <v>96</v>
      </c>
      <c r="K331" s="256" t="s">
        <v>200</v>
      </c>
      <c r="L331" s="252" t="s">
        <v>2089</v>
      </c>
      <c r="M331" s="248"/>
      <c r="N331" s="248"/>
      <c r="O331" s="248"/>
    </row>
    <row r="332" spans="1:15" hidden="1">
      <c r="A332" s="247">
        <v>45715</v>
      </c>
      <c r="B332" s="248" t="s">
        <v>759</v>
      </c>
      <c r="C332" s="254" t="s">
        <v>363</v>
      </c>
      <c r="D332" s="249" t="s">
        <v>440</v>
      </c>
      <c r="E332" s="250">
        <v>29000</v>
      </c>
      <c r="F332" s="250">
        <v>50.06464381336523</v>
      </c>
      <c r="G332" s="251">
        <v>579.25099999999998</v>
      </c>
      <c r="H332" s="252" t="s">
        <v>315</v>
      </c>
      <c r="I332" s="252" t="s">
        <v>760</v>
      </c>
      <c r="J332" s="252" t="s">
        <v>96</v>
      </c>
      <c r="K332" s="256" t="s">
        <v>200</v>
      </c>
      <c r="L332" s="252" t="s">
        <v>2089</v>
      </c>
      <c r="M332" s="248"/>
      <c r="N332" s="248"/>
      <c r="O332" s="248"/>
    </row>
    <row r="333" spans="1:15" hidden="1">
      <c r="A333" s="247">
        <v>45715</v>
      </c>
      <c r="B333" s="248" t="s">
        <v>732</v>
      </c>
      <c r="C333" s="254" t="s">
        <v>172</v>
      </c>
      <c r="D333" s="249" t="s">
        <v>115</v>
      </c>
      <c r="E333" s="250">
        <v>26900</v>
      </c>
      <c r="F333" s="250">
        <v>46.439273054466369</v>
      </c>
      <c r="G333" s="251">
        <v>579.25099999999998</v>
      </c>
      <c r="H333" s="252" t="s">
        <v>191</v>
      </c>
      <c r="I333" s="252" t="s">
        <v>733</v>
      </c>
      <c r="J333" s="252" t="s">
        <v>96</v>
      </c>
      <c r="K333" s="256" t="s">
        <v>200</v>
      </c>
      <c r="L333" s="252" t="s">
        <v>2089</v>
      </c>
      <c r="M333" s="248"/>
      <c r="N333" s="248"/>
      <c r="O333" s="248"/>
    </row>
    <row r="334" spans="1:15" hidden="1">
      <c r="A334" s="247">
        <v>45715</v>
      </c>
      <c r="B334" s="248" t="s">
        <v>617</v>
      </c>
      <c r="C334" s="255" t="s">
        <v>2090</v>
      </c>
      <c r="D334" s="248" t="s">
        <v>116</v>
      </c>
      <c r="E334" s="250">
        <v>560</v>
      </c>
      <c r="F334" s="250">
        <v>0.93929314835967548</v>
      </c>
      <c r="G334" s="251">
        <v>596.19299999999998</v>
      </c>
      <c r="H334" s="252" t="s">
        <v>191</v>
      </c>
      <c r="I334" s="252" t="s">
        <v>618</v>
      </c>
      <c r="J334" s="252" t="s">
        <v>96</v>
      </c>
      <c r="K334" s="252" t="s">
        <v>1905</v>
      </c>
      <c r="L334" s="252" t="s">
        <v>2089</v>
      </c>
      <c r="M334" s="248"/>
      <c r="N334" s="248"/>
      <c r="O334" s="248"/>
    </row>
    <row r="335" spans="1:15" hidden="1">
      <c r="A335" s="247">
        <v>45715</v>
      </c>
      <c r="B335" s="248" t="s">
        <v>648</v>
      </c>
      <c r="C335" s="254" t="s">
        <v>172</v>
      </c>
      <c r="D335" s="248" t="s">
        <v>116</v>
      </c>
      <c r="E335" s="250">
        <v>7000</v>
      </c>
      <c r="F335" s="250">
        <v>11.741164354495943</v>
      </c>
      <c r="G335" s="251">
        <v>579.25099999999998</v>
      </c>
      <c r="H335" s="252" t="s">
        <v>581</v>
      </c>
      <c r="I335" s="252" t="s">
        <v>649</v>
      </c>
      <c r="J335" s="252" t="s">
        <v>96</v>
      </c>
      <c r="K335" s="256" t="s">
        <v>200</v>
      </c>
      <c r="L335" s="252" t="s">
        <v>2089</v>
      </c>
      <c r="M335" s="248"/>
      <c r="N335" s="248"/>
      <c r="O335" s="248"/>
    </row>
    <row r="336" spans="1:15" hidden="1">
      <c r="A336" s="247">
        <v>45716</v>
      </c>
      <c r="B336" s="248" t="s">
        <v>642</v>
      </c>
      <c r="C336" s="254" t="s">
        <v>172</v>
      </c>
      <c r="D336" s="249" t="s">
        <v>117</v>
      </c>
      <c r="E336" s="250">
        <v>39500</v>
      </c>
      <c r="F336" s="250">
        <v>68.191497607859532</v>
      </c>
      <c r="G336" s="251">
        <v>579.25099999999998</v>
      </c>
      <c r="H336" s="252" t="s">
        <v>151</v>
      </c>
      <c r="I336" s="252" t="s">
        <v>643</v>
      </c>
      <c r="J336" s="252" t="s">
        <v>96</v>
      </c>
      <c r="K336" s="256" t="s">
        <v>200</v>
      </c>
      <c r="L336" s="252" t="s">
        <v>2089</v>
      </c>
      <c r="M336" s="248"/>
      <c r="N336" s="248"/>
      <c r="O336" s="248"/>
    </row>
    <row r="337" spans="1:15" hidden="1">
      <c r="A337" s="247">
        <v>45716</v>
      </c>
      <c r="B337" s="248" t="s">
        <v>529</v>
      </c>
      <c r="C337" s="254" t="s">
        <v>172</v>
      </c>
      <c r="D337" s="249" t="s">
        <v>115</v>
      </c>
      <c r="E337" s="250">
        <v>14000</v>
      </c>
      <c r="F337" s="250">
        <v>24.169138392659075</v>
      </c>
      <c r="G337" s="251">
        <v>579.25099999999998</v>
      </c>
      <c r="H337" s="252" t="s">
        <v>198</v>
      </c>
      <c r="I337" s="252" t="s">
        <v>530</v>
      </c>
      <c r="J337" s="252" t="s">
        <v>96</v>
      </c>
      <c r="K337" s="256" t="s">
        <v>200</v>
      </c>
      <c r="L337" s="252" t="s">
        <v>2089</v>
      </c>
      <c r="M337" s="248"/>
      <c r="N337" s="248"/>
      <c r="O337" s="248"/>
    </row>
    <row r="338" spans="1:15" hidden="1">
      <c r="A338" s="247">
        <v>45716</v>
      </c>
      <c r="B338" s="248" t="s">
        <v>644</v>
      </c>
      <c r="C338" s="254" t="s">
        <v>172</v>
      </c>
      <c r="D338" s="248" t="s">
        <v>116</v>
      </c>
      <c r="E338" s="250">
        <v>35500</v>
      </c>
      <c r="F338" s="250">
        <v>61.286029495671229</v>
      </c>
      <c r="G338" s="251">
        <v>579.25099999999998</v>
      </c>
      <c r="H338" s="252" t="s">
        <v>155</v>
      </c>
      <c r="I338" s="252" t="s">
        <v>645</v>
      </c>
      <c r="J338" s="252" t="s">
        <v>96</v>
      </c>
      <c r="K338" s="256" t="s">
        <v>200</v>
      </c>
      <c r="L338" s="252" t="s">
        <v>2089</v>
      </c>
      <c r="M338" s="248"/>
      <c r="N338" s="248"/>
      <c r="O338" s="248"/>
    </row>
    <row r="339" spans="1:15" hidden="1">
      <c r="A339" s="247">
        <v>45716</v>
      </c>
      <c r="B339" s="248" t="s">
        <v>619</v>
      </c>
      <c r="C339" s="254" t="s">
        <v>302</v>
      </c>
      <c r="D339" s="248" t="s">
        <v>116</v>
      </c>
      <c r="E339" s="250">
        <v>6000</v>
      </c>
      <c r="F339" s="250">
        <v>10.35820216828246</v>
      </c>
      <c r="G339" s="251">
        <v>579.25099999999998</v>
      </c>
      <c r="H339" s="252" t="s">
        <v>155</v>
      </c>
      <c r="I339" s="252" t="s">
        <v>620</v>
      </c>
      <c r="J339" s="252" t="s">
        <v>96</v>
      </c>
      <c r="K339" s="256" t="s">
        <v>200</v>
      </c>
      <c r="L339" s="252" t="s">
        <v>2089</v>
      </c>
      <c r="M339" s="248"/>
      <c r="N339" s="248"/>
      <c r="O339" s="248"/>
    </row>
    <row r="340" spans="1:15" hidden="1">
      <c r="A340" s="247">
        <v>45716</v>
      </c>
      <c r="B340" s="248" t="s">
        <v>623</v>
      </c>
      <c r="C340" s="248" t="s">
        <v>624</v>
      </c>
      <c r="D340" s="248" t="s">
        <v>116</v>
      </c>
      <c r="E340" s="250">
        <v>45050</v>
      </c>
      <c r="F340" s="250">
        <v>77.772834613520814</v>
      </c>
      <c r="G340" s="251">
        <v>579.25099999999998</v>
      </c>
      <c r="H340" s="252" t="s">
        <v>155</v>
      </c>
      <c r="I340" s="252" t="s">
        <v>625</v>
      </c>
      <c r="J340" s="252" t="s">
        <v>96</v>
      </c>
      <c r="K340" s="256" t="s">
        <v>200</v>
      </c>
      <c r="L340" s="252" t="s">
        <v>2089</v>
      </c>
      <c r="M340" s="248"/>
      <c r="N340" s="248"/>
      <c r="O340" s="248"/>
    </row>
    <row r="341" spans="1:15" hidden="1">
      <c r="A341" s="247">
        <v>45716</v>
      </c>
      <c r="B341" s="248" t="s">
        <v>628</v>
      </c>
      <c r="C341" s="254" t="s">
        <v>1168</v>
      </c>
      <c r="D341" s="248" t="s">
        <v>116</v>
      </c>
      <c r="E341" s="250">
        <v>182000</v>
      </c>
      <c r="F341" s="250">
        <v>314.19879910456797</v>
      </c>
      <c r="G341" s="251">
        <v>579.25099999999998</v>
      </c>
      <c r="H341" s="252" t="s">
        <v>155</v>
      </c>
      <c r="I341" s="252" t="s">
        <v>629</v>
      </c>
      <c r="J341" s="252" t="s">
        <v>96</v>
      </c>
      <c r="K341" s="256" t="s">
        <v>200</v>
      </c>
      <c r="L341" s="252" t="s">
        <v>2089</v>
      </c>
      <c r="M341" s="248"/>
      <c r="N341" s="248"/>
      <c r="O341" s="248"/>
    </row>
    <row r="342" spans="1:15" hidden="1">
      <c r="A342" s="247">
        <v>45716</v>
      </c>
      <c r="B342" s="248" t="s">
        <v>630</v>
      </c>
      <c r="C342" s="248" t="s">
        <v>125</v>
      </c>
      <c r="D342" s="248" t="s">
        <v>116</v>
      </c>
      <c r="E342" s="250">
        <v>10500</v>
      </c>
      <c r="F342" s="250">
        <v>18.126853794494306</v>
      </c>
      <c r="G342" s="251">
        <v>579.25099999999998</v>
      </c>
      <c r="H342" s="252" t="s">
        <v>155</v>
      </c>
      <c r="I342" s="252" t="s">
        <v>631</v>
      </c>
      <c r="J342" s="252" t="s">
        <v>96</v>
      </c>
      <c r="K342" s="256" t="s">
        <v>200</v>
      </c>
      <c r="L342" s="252" t="s">
        <v>2089</v>
      </c>
      <c r="M342" s="248"/>
      <c r="N342" s="248"/>
      <c r="O342" s="248"/>
    </row>
    <row r="343" spans="1:15" hidden="1">
      <c r="A343" s="247">
        <v>45716</v>
      </c>
      <c r="B343" s="248" t="s">
        <v>621</v>
      </c>
      <c r="C343" s="255" t="s">
        <v>2090</v>
      </c>
      <c r="D343" s="248" t="s">
        <v>116</v>
      </c>
      <c r="E343" s="250">
        <v>7020</v>
      </c>
      <c r="F343" s="250">
        <v>12.119096536890479</v>
      </c>
      <c r="G343" s="251">
        <v>579.25099999999998</v>
      </c>
      <c r="H343" s="252" t="s">
        <v>581</v>
      </c>
      <c r="I343" s="257" t="s">
        <v>622</v>
      </c>
      <c r="J343" s="252" t="s">
        <v>96</v>
      </c>
      <c r="K343" s="256" t="s">
        <v>200</v>
      </c>
      <c r="L343" s="252" t="s">
        <v>2089</v>
      </c>
      <c r="M343" s="248"/>
      <c r="N343" s="248"/>
      <c r="O343" s="248"/>
    </row>
    <row r="344" spans="1:15" hidden="1">
      <c r="A344" s="247">
        <v>45716</v>
      </c>
      <c r="B344" s="248" t="s">
        <v>626</v>
      </c>
      <c r="C344" s="254" t="s">
        <v>302</v>
      </c>
      <c r="D344" s="248" t="s">
        <v>116</v>
      </c>
      <c r="E344" s="250">
        <v>75625</v>
      </c>
      <c r="F344" s="250">
        <v>130.55650649606019</v>
      </c>
      <c r="G344" s="251">
        <v>579.25099999999998</v>
      </c>
      <c r="H344" s="252" t="s">
        <v>581</v>
      </c>
      <c r="I344" s="257" t="s">
        <v>627</v>
      </c>
      <c r="J344" s="252" t="s">
        <v>96</v>
      </c>
      <c r="K344" s="256" t="s">
        <v>200</v>
      </c>
      <c r="L344" s="252" t="s">
        <v>2089</v>
      </c>
      <c r="M344" s="248"/>
      <c r="N344" s="248"/>
      <c r="O344" s="248"/>
    </row>
    <row r="345" spans="1:15" hidden="1">
      <c r="A345" s="247">
        <v>45716</v>
      </c>
      <c r="B345" s="248" t="s">
        <v>4758</v>
      </c>
      <c r="C345" s="254" t="s">
        <v>172</v>
      </c>
      <c r="D345" s="249" t="s">
        <v>440</v>
      </c>
      <c r="E345" s="250">
        <v>6000</v>
      </c>
      <c r="F345" s="250">
        <v>10.35820216828246</v>
      </c>
      <c r="G345" s="251">
        <v>579.25099999999998</v>
      </c>
      <c r="H345" s="253" t="s">
        <v>182</v>
      </c>
      <c r="I345" s="253" t="s">
        <v>669</v>
      </c>
      <c r="J345" s="252" t="s">
        <v>96</v>
      </c>
      <c r="K345" s="256" t="s">
        <v>200</v>
      </c>
      <c r="L345" s="252" t="s">
        <v>2089</v>
      </c>
      <c r="M345" s="248"/>
      <c r="N345" s="248"/>
      <c r="O345" s="248"/>
    </row>
    <row r="346" spans="1:15" hidden="1">
      <c r="A346" s="247">
        <v>45716</v>
      </c>
      <c r="B346" s="248" t="s">
        <v>4783</v>
      </c>
      <c r="C346" s="254" t="s">
        <v>175</v>
      </c>
      <c r="D346" s="249" t="s">
        <v>440</v>
      </c>
      <c r="E346" s="250">
        <v>60000</v>
      </c>
      <c r="F346" s="250">
        <v>103.5820216828246</v>
      </c>
      <c r="G346" s="251">
        <v>579.25099999999998</v>
      </c>
      <c r="H346" s="253" t="s">
        <v>182</v>
      </c>
      <c r="I346" s="253" t="s">
        <v>670</v>
      </c>
      <c r="J346" s="252" t="s">
        <v>96</v>
      </c>
      <c r="K346" s="256" t="s">
        <v>200</v>
      </c>
      <c r="L346" s="252" t="s">
        <v>2089</v>
      </c>
      <c r="M346" s="248"/>
      <c r="N346" s="248"/>
      <c r="O346" s="248"/>
    </row>
    <row r="347" spans="1:15" hidden="1">
      <c r="A347" s="247">
        <v>45716</v>
      </c>
      <c r="B347" s="248" t="s">
        <v>671</v>
      </c>
      <c r="C347" s="254" t="s">
        <v>172</v>
      </c>
      <c r="D347" s="249" t="s">
        <v>440</v>
      </c>
      <c r="E347" s="250">
        <v>66800</v>
      </c>
      <c r="F347" s="250">
        <v>115.32131747354472</v>
      </c>
      <c r="G347" s="251">
        <v>579.25099999999998</v>
      </c>
      <c r="H347" s="253" t="s">
        <v>182</v>
      </c>
      <c r="I347" s="253" t="s">
        <v>672</v>
      </c>
      <c r="J347" s="252" t="s">
        <v>96</v>
      </c>
      <c r="K347" s="256" t="s">
        <v>200</v>
      </c>
      <c r="L347" s="252" t="s">
        <v>2089</v>
      </c>
      <c r="M347" s="248"/>
      <c r="N347" s="248"/>
      <c r="O347" s="248"/>
    </row>
    <row r="348" spans="1:15" hidden="1">
      <c r="A348" s="247">
        <v>45716</v>
      </c>
      <c r="B348" s="248" t="s">
        <v>4753</v>
      </c>
      <c r="C348" s="254" t="s">
        <v>175</v>
      </c>
      <c r="D348" s="249" t="s">
        <v>440</v>
      </c>
      <c r="E348" s="250">
        <v>60000</v>
      </c>
      <c r="F348" s="250">
        <v>103.5820216828246</v>
      </c>
      <c r="G348" s="251">
        <v>579.25099999999998</v>
      </c>
      <c r="H348" s="252" t="s">
        <v>173</v>
      </c>
      <c r="I348" s="252" t="s">
        <v>680</v>
      </c>
      <c r="J348" s="252" t="s">
        <v>96</v>
      </c>
      <c r="K348" s="256" t="s">
        <v>200</v>
      </c>
      <c r="L348" s="252" t="s">
        <v>2089</v>
      </c>
      <c r="M348" s="248"/>
      <c r="N348" s="248"/>
      <c r="O348" s="248"/>
    </row>
    <row r="349" spans="1:15" hidden="1">
      <c r="A349" s="247">
        <v>45716</v>
      </c>
      <c r="B349" s="248" t="s">
        <v>4744</v>
      </c>
      <c r="C349" s="254" t="s">
        <v>172</v>
      </c>
      <c r="D349" s="249" t="s">
        <v>440</v>
      </c>
      <c r="E349" s="250">
        <v>6000</v>
      </c>
      <c r="F349" s="250">
        <v>10.35820216828246</v>
      </c>
      <c r="G349" s="251">
        <v>579.25099999999998</v>
      </c>
      <c r="H349" s="252" t="s">
        <v>173</v>
      </c>
      <c r="I349" s="252" t="s">
        <v>681</v>
      </c>
      <c r="J349" s="252" t="s">
        <v>96</v>
      </c>
      <c r="K349" s="256" t="s">
        <v>200</v>
      </c>
      <c r="L349" s="252" t="s">
        <v>2089</v>
      </c>
      <c r="M349" s="248"/>
      <c r="N349" s="248"/>
      <c r="O349" s="248"/>
    </row>
    <row r="350" spans="1:15" hidden="1">
      <c r="A350" s="247">
        <v>45716</v>
      </c>
      <c r="B350" s="248" t="s">
        <v>682</v>
      </c>
      <c r="C350" s="254" t="s">
        <v>172</v>
      </c>
      <c r="D350" s="249" t="s">
        <v>440</v>
      </c>
      <c r="E350" s="250">
        <v>53700</v>
      </c>
      <c r="F350" s="250">
        <v>92.705909406128029</v>
      </c>
      <c r="G350" s="251">
        <v>579.25099999999998</v>
      </c>
      <c r="H350" s="252" t="s">
        <v>173</v>
      </c>
      <c r="I350" s="252" t="s">
        <v>683</v>
      </c>
      <c r="J350" s="252" t="s">
        <v>96</v>
      </c>
      <c r="K350" s="256" t="s">
        <v>200</v>
      </c>
      <c r="L350" s="252" t="s">
        <v>2089</v>
      </c>
      <c r="M350" s="248"/>
      <c r="N350" s="248"/>
      <c r="O350" s="248"/>
    </row>
    <row r="351" spans="1:15" hidden="1">
      <c r="A351" s="247">
        <v>45716</v>
      </c>
      <c r="B351" s="248" t="s">
        <v>4815</v>
      </c>
      <c r="C351" s="254" t="s">
        <v>175</v>
      </c>
      <c r="D351" s="249" t="s">
        <v>440</v>
      </c>
      <c r="E351" s="250">
        <v>30000</v>
      </c>
      <c r="F351" s="250">
        <v>51.791010841412302</v>
      </c>
      <c r="G351" s="251">
        <v>579.25099999999998</v>
      </c>
      <c r="H351" s="252" t="s">
        <v>315</v>
      </c>
      <c r="I351" s="252" t="s">
        <v>761</v>
      </c>
      <c r="J351" s="252" t="s">
        <v>96</v>
      </c>
      <c r="K351" s="256" t="s">
        <v>200</v>
      </c>
      <c r="L351" s="252" t="s">
        <v>2089</v>
      </c>
      <c r="M351" s="248"/>
      <c r="N351" s="248"/>
      <c r="O351" s="248"/>
    </row>
    <row r="352" spans="1:15" hidden="1">
      <c r="A352" s="247">
        <v>45716</v>
      </c>
      <c r="B352" s="248" t="s">
        <v>4797</v>
      </c>
      <c r="C352" s="254" t="s">
        <v>172</v>
      </c>
      <c r="D352" s="249" t="s">
        <v>440</v>
      </c>
      <c r="E352" s="250">
        <v>7000</v>
      </c>
      <c r="F352" s="250">
        <v>12.084569196329538</v>
      </c>
      <c r="G352" s="251">
        <v>579.25099999999998</v>
      </c>
      <c r="H352" s="252" t="s">
        <v>315</v>
      </c>
      <c r="I352" s="252" t="s">
        <v>762</v>
      </c>
      <c r="J352" s="252" t="s">
        <v>96</v>
      </c>
      <c r="K352" s="256" t="s">
        <v>200</v>
      </c>
      <c r="L352" s="252" t="s">
        <v>2089</v>
      </c>
      <c r="M352" s="248"/>
      <c r="N352" s="248"/>
      <c r="O352" s="248"/>
    </row>
    <row r="353" spans="1:15" hidden="1">
      <c r="A353" s="247">
        <v>45716</v>
      </c>
      <c r="B353" s="248" t="s">
        <v>763</v>
      </c>
      <c r="C353" s="254" t="s">
        <v>172</v>
      </c>
      <c r="D353" s="249" t="s">
        <v>440</v>
      </c>
      <c r="E353" s="250">
        <v>66500</v>
      </c>
      <c r="F353" s="250">
        <v>114.80340736513061</v>
      </c>
      <c r="G353" s="251">
        <v>579.25099999999998</v>
      </c>
      <c r="H353" s="252" t="s">
        <v>315</v>
      </c>
      <c r="I353" s="252" t="s">
        <v>764</v>
      </c>
      <c r="J353" s="252" t="s">
        <v>96</v>
      </c>
      <c r="K353" s="256" t="s">
        <v>200</v>
      </c>
      <c r="L353" s="252" t="s">
        <v>2089</v>
      </c>
      <c r="M353" s="248"/>
      <c r="N353" s="248"/>
      <c r="O353" s="248"/>
    </row>
    <row r="354" spans="1:15" hidden="1">
      <c r="A354" s="247">
        <v>45716</v>
      </c>
      <c r="B354" s="248" t="s">
        <v>714</v>
      </c>
      <c r="C354" s="254" t="s">
        <v>1168</v>
      </c>
      <c r="D354" s="249" t="s">
        <v>115</v>
      </c>
      <c r="E354" s="250">
        <v>24675</v>
      </c>
      <c r="F354" s="250">
        <v>42.598106417061622</v>
      </c>
      <c r="G354" s="251">
        <v>579.25099999999998</v>
      </c>
      <c r="H354" s="252" t="s">
        <v>185</v>
      </c>
      <c r="I354" s="252" t="s">
        <v>715</v>
      </c>
      <c r="J354" s="252" t="s">
        <v>96</v>
      </c>
      <c r="K354" s="256" t="s">
        <v>200</v>
      </c>
      <c r="L354" s="252" t="s">
        <v>2089</v>
      </c>
      <c r="M354" s="248"/>
      <c r="N354" s="248"/>
      <c r="O354" s="248"/>
    </row>
    <row r="355" spans="1:15" hidden="1">
      <c r="A355" s="247">
        <v>45716</v>
      </c>
      <c r="B355" s="248" t="s">
        <v>716</v>
      </c>
      <c r="C355" s="254" t="s">
        <v>172</v>
      </c>
      <c r="D355" s="249" t="s">
        <v>115</v>
      </c>
      <c r="E355" s="250">
        <v>35500</v>
      </c>
      <c r="F355" s="250">
        <v>61.286029495671229</v>
      </c>
      <c r="G355" s="251">
        <v>579.25099999999998</v>
      </c>
      <c r="H355" s="252" t="s">
        <v>185</v>
      </c>
      <c r="I355" s="252" t="s">
        <v>717</v>
      </c>
      <c r="J355" s="252" t="s">
        <v>96</v>
      </c>
      <c r="K355" s="256" t="s">
        <v>200</v>
      </c>
      <c r="L355" s="252" t="s">
        <v>2089</v>
      </c>
      <c r="M355" s="248"/>
      <c r="N355" s="248"/>
      <c r="O355" s="248"/>
    </row>
    <row r="356" spans="1:15" hidden="1">
      <c r="A356" s="247">
        <v>45716</v>
      </c>
      <c r="B356" s="248" t="s">
        <v>516</v>
      </c>
      <c r="C356" s="248" t="s">
        <v>311</v>
      </c>
      <c r="D356" s="249" t="s">
        <v>2091</v>
      </c>
      <c r="E356" s="250">
        <v>18000</v>
      </c>
      <c r="F356" s="250">
        <v>31.074606504847381</v>
      </c>
      <c r="G356" s="251">
        <v>579.25099999999998</v>
      </c>
      <c r="H356" s="252" t="s">
        <v>188</v>
      </c>
      <c r="I356" s="252" t="s">
        <v>517</v>
      </c>
      <c r="J356" s="252" t="s">
        <v>96</v>
      </c>
      <c r="K356" s="256" t="s">
        <v>200</v>
      </c>
      <c r="L356" s="252" t="s">
        <v>2089</v>
      </c>
      <c r="M356" s="248"/>
      <c r="N356" s="248"/>
      <c r="O356" s="248"/>
    </row>
    <row r="357" spans="1:15" hidden="1">
      <c r="A357" s="247">
        <v>45716</v>
      </c>
      <c r="B357" s="248" t="s">
        <v>765</v>
      </c>
      <c r="C357" s="254" t="s">
        <v>172</v>
      </c>
      <c r="D357" s="249" t="s">
        <v>115</v>
      </c>
      <c r="E357" s="250">
        <v>45000</v>
      </c>
      <c r="F357" s="250">
        <v>77.68651626211846</v>
      </c>
      <c r="G357" s="251">
        <v>579.25099999999998</v>
      </c>
      <c r="H357" s="252" t="s">
        <v>188</v>
      </c>
      <c r="I357" s="252" t="s">
        <v>766</v>
      </c>
      <c r="J357" s="252" t="s">
        <v>96</v>
      </c>
      <c r="K357" s="256" t="s">
        <v>200</v>
      </c>
      <c r="L357" s="252" t="s">
        <v>2089</v>
      </c>
      <c r="M357" s="248"/>
      <c r="N357" s="248"/>
      <c r="O357" s="248"/>
    </row>
    <row r="358" spans="1:15" hidden="1">
      <c r="A358" s="247">
        <v>45716</v>
      </c>
      <c r="B358" s="248" t="s">
        <v>491</v>
      </c>
      <c r="C358" s="254" t="s">
        <v>175</v>
      </c>
      <c r="D358" s="248" t="s">
        <v>118</v>
      </c>
      <c r="E358" s="250">
        <v>45000</v>
      </c>
      <c r="F358" s="250">
        <v>77.68651626211846</v>
      </c>
      <c r="G358" s="251">
        <v>579.25099999999998</v>
      </c>
      <c r="H358" s="252" t="s">
        <v>211</v>
      </c>
      <c r="I358" s="252" t="s">
        <v>492</v>
      </c>
      <c r="J358" s="252" t="s">
        <v>96</v>
      </c>
      <c r="K358" s="256" t="s">
        <v>200</v>
      </c>
      <c r="L358" s="252" t="s">
        <v>2089</v>
      </c>
      <c r="M358" s="248"/>
      <c r="N358" s="248"/>
      <c r="O358" s="248"/>
    </row>
    <row r="359" spans="1:15" hidden="1">
      <c r="A359" s="247">
        <v>45716</v>
      </c>
      <c r="B359" s="248" t="s">
        <v>273</v>
      </c>
      <c r="C359" s="254" t="s">
        <v>172</v>
      </c>
      <c r="D359" s="248" t="s">
        <v>118</v>
      </c>
      <c r="E359" s="250">
        <v>7000</v>
      </c>
      <c r="F359" s="250">
        <v>12.084569196329538</v>
      </c>
      <c r="G359" s="251">
        <v>579.25099999999998</v>
      </c>
      <c r="H359" s="252" t="s">
        <v>211</v>
      </c>
      <c r="I359" s="252" t="s">
        <v>493</v>
      </c>
      <c r="J359" s="252" t="s">
        <v>96</v>
      </c>
      <c r="K359" s="256" t="s">
        <v>200</v>
      </c>
      <c r="L359" s="252" t="s">
        <v>2089</v>
      </c>
      <c r="M359" s="248"/>
      <c r="N359" s="248"/>
      <c r="O359" s="248"/>
    </row>
    <row r="360" spans="1:15" hidden="1">
      <c r="A360" s="247">
        <v>45716</v>
      </c>
      <c r="B360" s="248" t="s">
        <v>494</v>
      </c>
      <c r="C360" s="254" t="s">
        <v>172</v>
      </c>
      <c r="D360" s="248" t="s">
        <v>118</v>
      </c>
      <c r="E360" s="250">
        <v>33500</v>
      </c>
      <c r="F360" s="250">
        <v>57.833295439577071</v>
      </c>
      <c r="G360" s="251">
        <v>579.25099999999998</v>
      </c>
      <c r="H360" s="252" t="s">
        <v>211</v>
      </c>
      <c r="I360" s="252" t="s">
        <v>495</v>
      </c>
      <c r="J360" s="252" t="s">
        <v>96</v>
      </c>
      <c r="K360" s="256" t="s">
        <v>200</v>
      </c>
      <c r="L360" s="252" t="s">
        <v>2089</v>
      </c>
      <c r="M360" s="248"/>
      <c r="N360" s="248"/>
      <c r="O360" s="248"/>
    </row>
    <row r="361" spans="1:15" hidden="1">
      <c r="A361" s="247">
        <v>45716</v>
      </c>
      <c r="B361" s="248" t="s">
        <v>500</v>
      </c>
      <c r="C361" s="254" t="s">
        <v>2092</v>
      </c>
      <c r="D361" s="248" t="s">
        <v>118</v>
      </c>
      <c r="E361" s="250">
        <v>200000</v>
      </c>
      <c r="F361" s="250">
        <v>345.27340560941536</v>
      </c>
      <c r="G361" s="251">
        <v>579.25099999999998</v>
      </c>
      <c r="H361" s="252" t="s">
        <v>211</v>
      </c>
      <c r="I361" s="252" t="s">
        <v>501</v>
      </c>
      <c r="J361" s="252" t="s">
        <v>96</v>
      </c>
      <c r="K361" s="256" t="s">
        <v>200</v>
      </c>
      <c r="L361" s="252" t="s">
        <v>2089</v>
      </c>
      <c r="M361" s="248"/>
      <c r="N361" s="248"/>
      <c r="O361" s="248"/>
    </row>
    <row r="362" spans="1:15" hidden="1">
      <c r="A362" s="258">
        <v>45717</v>
      </c>
      <c r="B362" s="248" t="s">
        <v>1112</v>
      </c>
      <c r="C362" s="254" t="s">
        <v>175</v>
      </c>
      <c r="D362" s="249" t="s">
        <v>115</v>
      </c>
      <c r="E362" s="259">
        <v>75000</v>
      </c>
      <c r="F362" s="250">
        <v>129.47754945610797</v>
      </c>
      <c r="G362" s="260">
        <v>579.25099999999998</v>
      </c>
      <c r="H362" s="252" t="s">
        <v>198</v>
      </c>
      <c r="I362" s="252" t="s">
        <v>1138</v>
      </c>
      <c r="J362" s="252" t="s">
        <v>96</v>
      </c>
      <c r="K362" s="256" t="s">
        <v>200</v>
      </c>
      <c r="L362" s="252" t="s">
        <v>153</v>
      </c>
      <c r="M362" s="248"/>
      <c r="N362" s="248"/>
      <c r="O362" s="248"/>
    </row>
    <row r="363" spans="1:15" hidden="1">
      <c r="A363" s="258">
        <v>45717</v>
      </c>
      <c r="B363" s="248" t="s">
        <v>1066</v>
      </c>
      <c r="C363" s="254" t="s">
        <v>172</v>
      </c>
      <c r="D363" s="249" t="s">
        <v>115</v>
      </c>
      <c r="E363" s="259">
        <v>7000</v>
      </c>
      <c r="F363" s="250">
        <v>12.084571282570078</v>
      </c>
      <c r="G363" s="260">
        <v>579.25099999999998</v>
      </c>
      <c r="H363" s="252" t="s">
        <v>188</v>
      </c>
      <c r="I363" s="252" t="s">
        <v>1067</v>
      </c>
      <c r="J363" s="252" t="s">
        <v>96</v>
      </c>
      <c r="K363" s="256" t="s">
        <v>200</v>
      </c>
      <c r="L363" s="252" t="s">
        <v>153</v>
      </c>
      <c r="M363" s="248"/>
      <c r="N363" s="248"/>
      <c r="O363" s="248"/>
    </row>
    <row r="364" spans="1:15" hidden="1">
      <c r="A364" s="258">
        <v>45717</v>
      </c>
      <c r="B364" s="248" t="s">
        <v>1068</v>
      </c>
      <c r="C364" s="254" t="s">
        <v>175</v>
      </c>
      <c r="D364" s="249" t="s">
        <v>115</v>
      </c>
      <c r="E364" s="259">
        <v>135000</v>
      </c>
      <c r="F364" s="250">
        <v>233.05958902099437</v>
      </c>
      <c r="G364" s="260">
        <v>579.25099999999998</v>
      </c>
      <c r="H364" s="252" t="s">
        <v>188</v>
      </c>
      <c r="I364" s="252" t="s">
        <v>1069</v>
      </c>
      <c r="J364" s="252" t="s">
        <v>96</v>
      </c>
      <c r="K364" s="256" t="s">
        <v>200</v>
      </c>
      <c r="L364" s="252" t="s">
        <v>153</v>
      </c>
      <c r="M364" s="248"/>
      <c r="N364" s="248"/>
      <c r="O364" s="248"/>
    </row>
    <row r="365" spans="1:15" hidden="1">
      <c r="A365" s="258">
        <v>45719</v>
      </c>
      <c r="B365" s="248" t="s">
        <v>779</v>
      </c>
      <c r="C365" s="248" t="s">
        <v>150</v>
      </c>
      <c r="D365" s="248" t="s">
        <v>117</v>
      </c>
      <c r="E365" s="259">
        <v>47000</v>
      </c>
      <c r="F365" s="250">
        <v>81.139264325827668</v>
      </c>
      <c r="G365" s="260">
        <v>579.25099999999998</v>
      </c>
      <c r="H365" s="252" t="s">
        <v>155</v>
      </c>
      <c r="I365" s="252" t="s">
        <v>827</v>
      </c>
      <c r="J365" s="252" t="s">
        <v>96</v>
      </c>
      <c r="K365" s="256" t="s">
        <v>200</v>
      </c>
      <c r="L365" s="252" t="s">
        <v>153</v>
      </c>
      <c r="M365" s="248"/>
      <c r="N365" s="248"/>
      <c r="O365" s="248"/>
    </row>
    <row r="366" spans="1:15" hidden="1">
      <c r="A366" s="258">
        <v>45719</v>
      </c>
      <c r="B366" s="248" t="s">
        <v>780</v>
      </c>
      <c r="C366" s="248" t="s">
        <v>150</v>
      </c>
      <c r="D366" s="249" t="s">
        <v>115</v>
      </c>
      <c r="E366" s="259">
        <v>74000</v>
      </c>
      <c r="F366" s="250">
        <v>127.75118213002654</v>
      </c>
      <c r="G366" s="260">
        <v>579.25099999999998</v>
      </c>
      <c r="H366" s="252" t="s">
        <v>155</v>
      </c>
      <c r="I366" s="252" t="s">
        <v>828</v>
      </c>
      <c r="J366" s="252" t="s">
        <v>96</v>
      </c>
      <c r="K366" s="256" t="s">
        <v>200</v>
      </c>
      <c r="L366" s="252" t="s">
        <v>153</v>
      </c>
      <c r="M366" s="248"/>
      <c r="N366" s="248"/>
      <c r="O366" s="248"/>
    </row>
    <row r="367" spans="1:15" hidden="1">
      <c r="A367" s="258">
        <v>45719</v>
      </c>
      <c r="B367" s="248" t="s">
        <v>781</v>
      </c>
      <c r="C367" s="248" t="s">
        <v>150</v>
      </c>
      <c r="D367" s="249" t="s">
        <v>440</v>
      </c>
      <c r="E367" s="259">
        <v>88000</v>
      </c>
      <c r="F367" s="250">
        <v>151.9203246951667</v>
      </c>
      <c r="G367" s="260">
        <v>579.25099999999998</v>
      </c>
      <c r="H367" s="252" t="s">
        <v>155</v>
      </c>
      <c r="I367" s="252" t="s">
        <v>829</v>
      </c>
      <c r="J367" s="252" t="s">
        <v>96</v>
      </c>
      <c r="K367" s="256" t="s">
        <v>200</v>
      </c>
      <c r="L367" s="252" t="s">
        <v>153</v>
      </c>
      <c r="M367" s="248"/>
      <c r="N367" s="248"/>
      <c r="O367" s="248"/>
    </row>
    <row r="368" spans="1:15" hidden="1">
      <c r="A368" s="258">
        <v>45719</v>
      </c>
      <c r="B368" s="248" t="s">
        <v>782</v>
      </c>
      <c r="C368" s="248" t="s">
        <v>150</v>
      </c>
      <c r="D368" s="248" t="s">
        <v>118</v>
      </c>
      <c r="E368" s="259">
        <v>10000</v>
      </c>
      <c r="F368" s="250">
        <v>17.263673260814397</v>
      </c>
      <c r="G368" s="260">
        <v>579.25099999999998</v>
      </c>
      <c r="H368" s="252" t="s">
        <v>155</v>
      </c>
      <c r="I368" s="252" t="s">
        <v>830</v>
      </c>
      <c r="J368" s="252" t="s">
        <v>96</v>
      </c>
      <c r="K368" s="256" t="s">
        <v>200</v>
      </c>
      <c r="L368" s="252" t="s">
        <v>153</v>
      </c>
      <c r="M368" s="248"/>
      <c r="N368" s="248"/>
      <c r="O368" s="248"/>
    </row>
    <row r="369" spans="1:15" hidden="1">
      <c r="A369" s="258">
        <v>45719</v>
      </c>
      <c r="B369" s="248" t="s">
        <v>783</v>
      </c>
      <c r="C369" s="248" t="s">
        <v>150</v>
      </c>
      <c r="D369" s="249" t="s">
        <v>115</v>
      </c>
      <c r="E369" s="259">
        <v>10000</v>
      </c>
      <c r="F369" s="250">
        <v>17.263673260814397</v>
      </c>
      <c r="G369" s="260">
        <v>579.25099999999998</v>
      </c>
      <c r="H369" s="252" t="s">
        <v>155</v>
      </c>
      <c r="I369" s="252" t="s">
        <v>831</v>
      </c>
      <c r="J369" s="252" t="s">
        <v>96</v>
      </c>
      <c r="K369" s="256" t="s">
        <v>200</v>
      </c>
      <c r="L369" s="252" t="s">
        <v>153</v>
      </c>
      <c r="M369" s="248"/>
      <c r="N369" s="248"/>
      <c r="O369" s="248"/>
    </row>
    <row r="370" spans="1:15" hidden="1">
      <c r="A370" s="258">
        <v>45719</v>
      </c>
      <c r="B370" s="248" t="s">
        <v>784</v>
      </c>
      <c r="C370" s="248" t="s">
        <v>150</v>
      </c>
      <c r="D370" s="249" t="s">
        <v>440</v>
      </c>
      <c r="E370" s="259">
        <v>16000</v>
      </c>
      <c r="F370" s="250">
        <v>27.621877217303034</v>
      </c>
      <c r="G370" s="260">
        <v>579.25099999999998</v>
      </c>
      <c r="H370" s="252" t="s">
        <v>155</v>
      </c>
      <c r="I370" s="252" t="s">
        <v>832</v>
      </c>
      <c r="J370" s="252" t="s">
        <v>96</v>
      </c>
      <c r="K370" s="256" t="s">
        <v>200</v>
      </c>
      <c r="L370" s="252" t="s">
        <v>153</v>
      </c>
      <c r="M370" s="248"/>
      <c r="N370" s="248"/>
      <c r="O370" s="248"/>
    </row>
    <row r="371" spans="1:15" hidden="1">
      <c r="A371" s="258">
        <v>45719</v>
      </c>
      <c r="B371" s="248" t="s">
        <v>785</v>
      </c>
      <c r="C371" s="248" t="s">
        <v>150</v>
      </c>
      <c r="D371" s="248" t="s">
        <v>118</v>
      </c>
      <c r="E371" s="259">
        <v>11000</v>
      </c>
      <c r="F371" s="250">
        <v>18.990040586895837</v>
      </c>
      <c r="G371" s="260">
        <v>579.25099999999998</v>
      </c>
      <c r="H371" s="252" t="s">
        <v>155</v>
      </c>
      <c r="I371" s="252" t="s">
        <v>833</v>
      </c>
      <c r="J371" s="252" t="s">
        <v>96</v>
      </c>
      <c r="K371" s="256" t="s">
        <v>200</v>
      </c>
      <c r="L371" s="252" t="s">
        <v>153</v>
      </c>
      <c r="M371" s="248"/>
      <c r="N371" s="248"/>
      <c r="O371" s="248"/>
    </row>
    <row r="372" spans="1:15" hidden="1">
      <c r="A372" s="258">
        <v>45719</v>
      </c>
      <c r="B372" s="248" t="s">
        <v>786</v>
      </c>
      <c r="C372" s="254" t="s">
        <v>1547</v>
      </c>
      <c r="D372" s="249" t="s">
        <v>115</v>
      </c>
      <c r="E372" s="259">
        <v>65000</v>
      </c>
      <c r="F372" s="250">
        <v>112.21387619529358</v>
      </c>
      <c r="G372" s="260">
        <v>579.25099999999998</v>
      </c>
      <c r="H372" s="252" t="s">
        <v>155</v>
      </c>
      <c r="I372" s="252" t="s">
        <v>834</v>
      </c>
      <c r="J372" s="252" t="s">
        <v>96</v>
      </c>
      <c r="K372" s="256" t="s">
        <v>200</v>
      </c>
      <c r="L372" s="252" t="s">
        <v>153</v>
      </c>
      <c r="M372" s="248"/>
      <c r="N372" s="248"/>
      <c r="O372" s="248"/>
    </row>
    <row r="373" spans="1:15" hidden="1">
      <c r="A373" s="258">
        <v>45719</v>
      </c>
      <c r="B373" s="248" t="s">
        <v>788</v>
      </c>
      <c r="C373" s="248" t="s">
        <v>263</v>
      </c>
      <c r="D373" s="248" t="s">
        <v>2091</v>
      </c>
      <c r="E373" s="259">
        <v>45000</v>
      </c>
      <c r="F373" s="250">
        <v>77.686529673664793</v>
      </c>
      <c r="G373" s="260">
        <v>579.25099999999998</v>
      </c>
      <c r="H373" s="252" t="s">
        <v>155</v>
      </c>
      <c r="I373" s="252" t="s">
        <v>882</v>
      </c>
      <c r="J373" s="252" t="s">
        <v>96</v>
      </c>
      <c r="K373" s="256" t="s">
        <v>200</v>
      </c>
      <c r="L373" s="252" t="s">
        <v>153</v>
      </c>
      <c r="M373" s="248"/>
      <c r="N373" s="248"/>
      <c r="O373" s="248"/>
    </row>
    <row r="374" spans="1:15" hidden="1">
      <c r="A374" s="258">
        <v>45719</v>
      </c>
      <c r="B374" s="248" t="s">
        <v>566</v>
      </c>
      <c r="C374" s="248" t="s">
        <v>125</v>
      </c>
      <c r="D374" s="248" t="s">
        <v>118</v>
      </c>
      <c r="E374" s="259">
        <v>30000</v>
      </c>
      <c r="F374" s="250">
        <v>51.791019782443193</v>
      </c>
      <c r="G374" s="260">
        <v>579.25099999999998</v>
      </c>
      <c r="H374" s="252" t="s">
        <v>155</v>
      </c>
      <c r="I374" s="252" t="s">
        <v>883</v>
      </c>
      <c r="J374" s="252" t="s">
        <v>96</v>
      </c>
      <c r="K374" s="256" t="s">
        <v>200</v>
      </c>
      <c r="L374" s="252" t="s">
        <v>153</v>
      </c>
      <c r="M374" s="248"/>
      <c r="N374" s="248"/>
      <c r="O374" s="248"/>
    </row>
    <row r="375" spans="1:15" hidden="1">
      <c r="A375" s="258">
        <v>45719</v>
      </c>
      <c r="B375" s="248" t="s">
        <v>556</v>
      </c>
      <c r="C375" s="248" t="s">
        <v>125</v>
      </c>
      <c r="D375" s="248" t="s">
        <v>116</v>
      </c>
      <c r="E375" s="259">
        <v>94430</v>
      </c>
      <c r="F375" s="250">
        <v>163.02086660187035</v>
      </c>
      <c r="G375" s="260">
        <v>579.25099999999998</v>
      </c>
      <c r="H375" s="252" t="s">
        <v>155</v>
      </c>
      <c r="I375" s="252" t="s">
        <v>884</v>
      </c>
      <c r="J375" s="252" t="s">
        <v>96</v>
      </c>
      <c r="K375" s="256" t="s">
        <v>200</v>
      </c>
      <c r="L375" s="252" t="s">
        <v>153</v>
      </c>
      <c r="M375" s="248"/>
      <c r="N375" s="248"/>
      <c r="O375" s="248"/>
    </row>
    <row r="376" spans="1:15" hidden="1">
      <c r="A376" s="258">
        <v>45719</v>
      </c>
      <c r="B376" s="248" t="s">
        <v>789</v>
      </c>
      <c r="C376" s="248" t="s">
        <v>263</v>
      </c>
      <c r="D376" s="248" t="s">
        <v>2091</v>
      </c>
      <c r="E376" s="259">
        <v>20000</v>
      </c>
      <c r="F376" s="250">
        <v>34.527346521628793</v>
      </c>
      <c r="G376" s="260">
        <v>579.25099999999998</v>
      </c>
      <c r="H376" s="252" t="s">
        <v>155</v>
      </c>
      <c r="I376" s="252" t="s">
        <v>885</v>
      </c>
      <c r="J376" s="252" t="s">
        <v>96</v>
      </c>
      <c r="K376" s="256" t="s">
        <v>200</v>
      </c>
      <c r="L376" s="252" t="s">
        <v>153</v>
      </c>
      <c r="M376" s="248"/>
      <c r="N376" s="248"/>
      <c r="O376" s="248"/>
    </row>
    <row r="377" spans="1:15" hidden="1">
      <c r="A377" s="258">
        <v>45719</v>
      </c>
      <c r="B377" s="248" t="s">
        <v>791</v>
      </c>
      <c r="C377" s="248" t="s">
        <v>263</v>
      </c>
      <c r="D377" s="248" t="s">
        <v>2091</v>
      </c>
      <c r="E377" s="259">
        <v>45000</v>
      </c>
      <c r="F377" s="250">
        <v>77.686529673664793</v>
      </c>
      <c r="G377" s="260">
        <v>579.25099999999998</v>
      </c>
      <c r="H377" s="252" t="s">
        <v>155</v>
      </c>
      <c r="I377" s="252" t="s">
        <v>887</v>
      </c>
      <c r="J377" s="252" t="s">
        <v>96</v>
      </c>
      <c r="K377" s="256" t="s">
        <v>200</v>
      </c>
      <c r="L377" s="252" t="s">
        <v>153</v>
      </c>
      <c r="M377" s="248"/>
      <c r="N377" s="248"/>
      <c r="O377" s="248"/>
    </row>
    <row r="378" spans="1:15" hidden="1">
      <c r="A378" s="258">
        <v>45719</v>
      </c>
      <c r="B378" s="248" t="s">
        <v>562</v>
      </c>
      <c r="C378" s="248" t="s">
        <v>125</v>
      </c>
      <c r="D378" s="249" t="s">
        <v>115</v>
      </c>
      <c r="E378" s="259">
        <v>30000</v>
      </c>
      <c r="F378" s="250">
        <v>51.791019782443193</v>
      </c>
      <c r="G378" s="260">
        <v>579.25099999999998</v>
      </c>
      <c r="H378" s="252" t="s">
        <v>155</v>
      </c>
      <c r="I378" s="252" t="s">
        <v>888</v>
      </c>
      <c r="J378" s="252" t="s">
        <v>96</v>
      </c>
      <c r="K378" s="256" t="s">
        <v>200</v>
      </c>
      <c r="L378" s="252" t="s">
        <v>153</v>
      </c>
      <c r="M378" s="248"/>
      <c r="N378" s="248"/>
      <c r="O378" s="248"/>
    </row>
    <row r="379" spans="1:15" hidden="1">
      <c r="A379" s="258">
        <v>45719</v>
      </c>
      <c r="B379" s="248" t="s">
        <v>564</v>
      </c>
      <c r="C379" s="248" t="s">
        <v>125</v>
      </c>
      <c r="D379" s="249" t="s">
        <v>115</v>
      </c>
      <c r="E379" s="259">
        <v>30000</v>
      </c>
      <c r="F379" s="250">
        <v>51.791019782443193</v>
      </c>
      <c r="G379" s="260">
        <v>579.25099999999998</v>
      </c>
      <c r="H379" s="252" t="s">
        <v>155</v>
      </c>
      <c r="I379" s="252" t="s">
        <v>889</v>
      </c>
      <c r="J379" s="252" t="s">
        <v>96</v>
      </c>
      <c r="K379" s="256" t="s">
        <v>200</v>
      </c>
      <c r="L379" s="252" t="s">
        <v>153</v>
      </c>
      <c r="M379" s="248"/>
      <c r="N379" s="248"/>
      <c r="O379" s="248"/>
    </row>
    <row r="380" spans="1:15" hidden="1">
      <c r="A380" s="258">
        <v>45719</v>
      </c>
      <c r="B380" s="248" t="s">
        <v>1153</v>
      </c>
      <c r="C380" s="254" t="s">
        <v>1168</v>
      </c>
      <c r="D380" s="248" t="s">
        <v>116</v>
      </c>
      <c r="E380" s="259">
        <v>25000</v>
      </c>
      <c r="F380" s="250">
        <v>43.159183152035993</v>
      </c>
      <c r="G380" s="260">
        <v>579.25099999999998</v>
      </c>
      <c r="H380" s="252" t="s">
        <v>581</v>
      </c>
      <c r="I380" s="252" t="s">
        <v>835</v>
      </c>
      <c r="J380" s="252" t="s">
        <v>96</v>
      </c>
      <c r="K380" s="256" t="s">
        <v>200</v>
      </c>
      <c r="L380" s="252" t="s">
        <v>153</v>
      </c>
      <c r="M380" s="248"/>
      <c r="N380" s="248"/>
      <c r="O380" s="248"/>
    </row>
    <row r="381" spans="1:15" hidden="1">
      <c r="A381" s="258">
        <v>45719</v>
      </c>
      <c r="B381" s="248" t="s">
        <v>790</v>
      </c>
      <c r="C381" s="248" t="s">
        <v>125</v>
      </c>
      <c r="D381" s="248" t="s">
        <v>116</v>
      </c>
      <c r="E381" s="259">
        <v>15000</v>
      </c>
      <c r="F381" s="250">
        <v>25.895509891221597</v>
      </c>
      <c r="G381" s="260">
        <v>579.25099999999998</v>
      </c>
      <c r="H381" s="252" t="s">
        <v>581</v>
      </c>
      <c r="I381" s="252" t="s">
        <v>886</v>
      </c>
      <c r="J381" s="252" t="s">
        <v>96</v>
      </c>
      <c r="K381" s="256" t="s">
        <v>200</v>
      </c>
      <c r="L381" s="252" t="s">
        <v>153</v>
      </c>
      <c r="M381" s="248"/>
      <c r="N381" s="248"/>
      <c r="O381" s="248"/>
    </row>
    <row r="382" spans="1:15" hidden="1">
      <c r="A382" s="258">
        <v>45719</v>
      </c>
      <c r="B382" s="261" t="s">
        <v>787</v>
      </c>
      <c r="C382" s="254" t="s">
        <v>1168</v>
      </c>
      <c r="D382" s="248" t="s">
        <v>116</v>
      </c>
      <c r="E382" s="259">
        <v>62500</v>
      </c>
      <c r="F382" s="250">
        <v>107.89795788008998</v>
      </c>
      <c r="G382" s="260">
        <v>579.25099999999998</v>
      </c>
      <c r="H382" s="252" t="s">
        <v>188</v>
      </c>
      <c r="I382" s="252" t="s">
        <v>836</v>
      </c>
      <c r="J382" s="252" t="s">
        <v>96</v>
      </c>
      <c r="K382" s="256" t="s">
        <v>200</v>
      </c>
      <c r="L382" s="252" t="s">
        <v>153</v>
      </c>
      <c r="M382" s="248"/>
      <c r="N382" s="248"/>
      <c r="O382" s="248"/>
    </row>
    <row r="383" spans="1:15" hidden="1">
      <c r="A383" s="258">
        <v>45719</v>
      </c>
      <c r="B383" s="248" t="s">
        <v>483</v>
      </c>
      <c r="C383" s="254" t="s">
        <v>124</v>
      </c>
      <c r="D383" s="248" t="s">
        <v>116</v>
      </c>
      <c r="E383" s="259">
        <v>500000</v>
      </c>
      <c r="F383" s="250">
        <v>863.18366304071981</v>
      </c>
      <c r="G383" s="260">
        <v>579.25099999999998</v>
      </c>
      <c r="H383" s="252" t="s">
        <v>146</v>
      </c>
      <c r="I383" s="252" t="s">
        <v>938</v>
      </c>
      <c r="J383" s="252" t="s">
        <v>96</v>
      </c>
      <c r="K383" s="256" t="s">
        <v>200</v>
      </c>
      <c r="L383" s="252" t="s">
        <v>153</v>
      </c>
      <c r="M383" s="248"/>
      <c r="N383" s="248"/>
      <c r="O383" s="248"/>
    </row>
    <row r="384" spans="1:15" hidden="1">
      <c r="A384" s="258">
        <v>45719</v>
      </c>
      <c r="B384" s="248" t="s">
        <v>897</v>
      </c>
      <c r="C384" s="248" t="s">
        <v>125</v>
      </c>
      <c r="D384" s="249" t="s">
        <v>115</v>
      </c>
      <c r="E384" s="259">
        <v>200000</v>
      </c>
      <c r="F384" s="250">
        <v>345.27346521628795</v>
      </c>
      <c r="G384" s="260">
        <v>579.25099999999998</v>
      </c>
      <c r="H384" s="252" t="s">
        <v>146</v>
      </c>
      <c r="I384" s="252" t="s">
        <v>939</v>
      </c>
      <c r="J384" s="252" t="s">
        <v>96</v>
      </c>
      <c r="K384" s="256" t="s">
        <v>200</v>
      </c>
      <c r="L384" s="252" t="s">
        <v>153</v>
      </c>
      <c r="M384" s="248"/>
      <c r="N384" s="248"/>
      <c r="O384" s="248"/>
    </row>
    <row r="385" spans="1:15" hidden="1">
      <c r="A385" s="258">
        <v>45719</v>
      </c>
      <c r="B385" s="248" t="s">
        <v>898</v>
      </c>
      <c r="C385" s="248" t="s">
        <v>125</v>
      </c>
      <c r="D385" s="249" t="s">
        <v>115</v>
      </c>
      <c r="E385" s="259">
        <v>200000</v>
      </c>
      <c r="F385" s="250">
        <v>345.27346521628795</v>
      </c>
      <c r="G385" s="260">
        <v>579.25099999999998</v>
      </c>
      <c r="H385" s="252" t="s">
        <v>146</v>
      </c>
      <c r="I385" s="252" t="s">
        <v>940</v>
      </c>
      <c r="J385" s="252" t="s">
        <v>96</v>
      </c>
      <c r="K385" s="256" t="s">
        <v>200</v>
      </c>
      <c r="L385" s="252" t="s">
        <v>153</v>
      </c>
      <c r="M385" s="248"/>
      <c r="N385" s="248"/>
      <c r="O385" s="248"/>
    </row>
    <row r="386" spans="1:15" hidden="1">
      <c r="A386" s="258">
        <v>45719</v>
      </c>
      <c r="B386" s="248" t="s">
        <v>899</v>
      </c>
      <c r="C386" s="248" t="s">
        <v>125</v>
      </c>
      <c r="D386" s="249" t="s">
        <v>115</v>
      </c>
      <c r="E386" s="259">
        <v>200000</v>
      </c>
      <c r="F386" s="250">
        <v>345.27346521628795</v>
      </c>
      <c r="G386" s="260">
        <v>579.25099999999998</v>
      </c>
      <c r="H386" s="252" t="s">
        <v>146</v>
      </c>
      <c r="I386" s="252" t="s">
        <v>941</v>
      </c>
      <c r="J386" s="252" t="s">
        <v>96</v>
      </c>
      <c r="K386" s="256" t="s">
        <v>200</v>
      </c>
      <c r="L386" s="252" t="s">
        <v>153</v>
      </c>
      <c r="M386" s="248"/>
      <c r="N386" s="248"/>
      <c r="O386" s="248"/>
    </row>
    <row r="387" spans="1:15" hidden="1">
      <c r="A387" s="258">
        <v>45719</v>
      </c>
      <c r="B387" s="248" t="s">
        <v>900</v>
      </c>
      <c r="C387" s="248" t="s">
        <v>125</v>
      </c>
      <c r="D387" s="249" t="s">
        <v>115</v>
      </c>
      <c r="E387" s="259">
        <v>551482</v>
      </c>
      <c r="F387" s="250">
        <v>952.06050572204458</v>
      </c>
      <c r="G387" s="260">
        <v>579.25099999999998</v>
      </c>
      <c r="H387" s="252" t="s">
        <v>146</v>
      </c>
      <c r="I387" s="252" t="s">
        <v>942</v>
      </c>
      <c r="J387" s="252" t="s">
        <v>96</v>
      </c>
      <c r="K387" s="256" t="s">
        <v>200</v>
      </c>
      <c r="L387" s="252" t="s">
        <v>153</v>
      </c>
      <c r="M387" s="248"/>
      <c r="N387" s="248"/>
      <c r="O387" s="248"/>
    </row>
    <row r="388" spans="1:15" hidden="1">
      <c r="A388" s="258">
        <v>45719</v>
      </c>
      <c r="B388" s="248" t="s">
        <v>901</v>
      </c>
      <c r="C388" s="248" t="s">
        <v>125</v>
      </c>
      <c r="D388" s="248" t="s">
        <v>116</v>
      </c>
      <c r="E388" s="259">
        <v>384789</v>
      </c>
      <c r="F388" s="250">
        <v>664.2871570355511</v>
      </c>
      <c r="G388" s="260">
        <v>579.25099999999998</v>
      </c>
      <c r="H388" s="252" t="s">
        <v>146</v>
      </c>
      <c r="I388" s="252" t="s">
        <v>943</v>
      </c>
      <c r="J388" s="252" t="s">
        <v>96</v>
      </c>
      <c r="K388" s="256" t="s">
        <v>200</v>
      </c>
      <c r="L388" s="252" t="s">
        <v>153</v>
      </c>
      <c r="M388" s="248"/>
      <c r="N388" s="248"/>
      <c r="O388" s="248"/>
    </row>
    <row r="389" spans="1:15" hidden="1">
      <c r="A389" s="258">
        <v>45719</v>
      </c>
      <c r="B389" s="248" t="s">
        <v>902</v>
      </c>
      <c r="C389" s="248" t="s">
        <v>125</v>
      </c>
      <c r="D389" s="248" t="s">
        <v>118</v>
      </c>
      <c r="E389" s="259">
        <v>238140</v>
      </c>
      <c r="F389" s="250">
        <v>411.11711503303405</v>
      </c>
      <c r="G389" s="260">
        <v>579.25099999999998</v>
      </c>
      <c r="H389" s="252" t="s">
        <v>146</v>
      </c>
      <c r="I389" s="252" t="s">
        <v>944</v>
      </c>
      <c r="J389" s="252" t="s">
        <v>96</v>
      </c>
      <c r="K389" s="256" t="s">
        <v>200</v>
      </c>
      <c r="L389" s="252" t="s">
        <v>153</v>
      </c>
      <c r="M389" s="248"/>
      <c r="N389" s="248"/>
      <c r="O389" s="248"/>
    </row>
    <row r="390" spans="1:15" hidden="1">
      <c r="A390" s="258">
        <v>45719</v>
      </c>
      <c r="B390" s="248" t="s">
        <v>903</v>
      </c>
      <c r="C390" s="248" t="s">
        <v>125</v>
      </c>
      <c r="D390" s="249" t="s">
        <v>440</v>
      </c>
      <c r="E390" s="259">
        <v>405000</v>
      </c>
      <c r="F390" s="250">
        <v>699.17876706298307</v>
      </c>
      <c r="G390" s="260">
        <v>579.25099999999998</v>
      </c>
      <c r="H390" s="252" t="s">
        <v>146</v>
      </c>
      <c r="I390" s="252" t="s">
        <v>945</v>
      </c>
      <c r="J390" s="252" t="s">
        <v>96</v>
      </c>
      <c r="K390" s="256" t="s">
        <v>200</v>
      </c>
      <c r="L390" s="252" t="s">
        <v>153</v>
      </c>
      <c r="M390" s="248"/>
      <c r="N390" s="248"/>
      <c r="O390" s="248"/>
    </row>
    <row r="391" spans="1:15" hidden="1">
      <c r="A391" s="258">
        <v>45719</v>
      </c>
      <c r="B391" s="248" t="s">
        <v>904</v>
      </c>
      <c r="C391" s="248" t="s">
        <v>125</v>
      </c>
      <c r="D391" s="249" t="s">
        <v>440</v>
      </c>
      <c r="E391" s="259">
        <v>460000</v>
      </c>
      <c r="F391" s="250">
        <v>794.12896999746226</v>
      </c>
      <c r="G391" s="260">
        <v>579.25099999999998</v>
      </c>
      <c r="H391" s="252" t="s">
        <v>146</v>
      </c>
      <c r="I391" s="252" t="s">
        <v>946</v>
      </c>
      <c r="J391" s="252" t="s">
        <v>96</v>
      </c>
      <c r="K391" s="256" t="s">
        <v>200</v>
      </c>
      <c r="L391" s="252" t="s">
        <v>153</v>
      </c>
      <c r="M391" s="248"/>
      <c r="N391" s="248"/>
      <c r="O391" s="248"/>
    </row>
    <row r="392" spans="1:15" hidden="1">
      <c r="A392" s="258">
        <v>45719</v>
      </c>
      <c r="B392" s="248" t="s">
        <v>905</v>
      </c>
      <c r="C392" s="248" t="s">
        <v>125</v>
      </c>
      <c r="D392" s="249" t="s">
        <v>440</v>
      </c>
      <c r="E392" s="259">
        <v>255000</v>
      </c>
      <c r="F392" s="250">
        <v>440.22366815076714</v>
      </c>
      <c r="G392" s="260">
        <v>579.25099999999998</v>
      </c>
      <c r="H392" s="252" t="s">
        <v>146</v>
      </c>
      <c r="I392" s="252" t="s">
        <v>947</v>
      </c>
      <c r="J392" s="252" t="s">
        <v>96</v>
      </c>
      <c r="K392" s="256" t="s">
        <v>200</v>
      </c>
      <c r="L392" s="252" t="s">
        <v>153</v>
      </c>
      <c r="M392" s="248"/>
      <c r="N392" s="248"/>
      <c r="O392" s="248"/>
    </row>
    <row r="393" spans="1:15" hidden="1">
      <c r="A393" s="258">
        <v>45719</v>
      </c>
      <c r="B393" s="248" t="s">
        <v>906</v>
      </c>
      <c r="C393" s="248" t="s">
        <v>125</v>
      </c>
      <c r="D393" s="249" t="s">
        <v>440</v>
      </c>
      <c r="E393" s="259">
        <v>255000</v>
      </c>
      <c r="F393" s="250">
        <v>440.22366815076714</v>
      </c>
      <c r="G393" s="260">
        <v>579.25099999999998</v>
      </c>
      <c r="H393" s="252" t="s">
        <v>146</v>
      </c>
      <c r="I393" s="252" t="s">
        <v>948</v>
      </c>
      <c r="J393" s="252" t="s">
        <v>96</v>
      </c>
      <c r="K393" s="256" t="s">
        <v>200</v>
      </c>
      <c r="L393" s="252" t="s">
        <v>153</v>
      </c>
      <c r="M393" s="248"/>
      <c r="N393" s="248"/>
      <c r="O393" s="248"/>
    </row>
    <row r="394" spans="1:15" hidden="1">
      <c r="A394" s="258">
        <v>45719</v>
      </c>
      <c r="B394" s="248" t="s">
        <v>907</v>
      </c>
      <c r="C394" s="248" t="s">
        <v>302</v>
      </c>
      <c r="D394" s="248" t="s">
        <v>116</v>
      </c>
      <c r="E394" s="259">
        <v>260000</v>
      </c>
      <c r="F394" s="250">
        <v>448.85550478117432</v>
      </c>
      <c r="G394" s="260">
        <v>579.25099999999998</v>
      </c>
      <c r="H394" s="252" t="s">
        <v>146</v>
      </c>
      <c r="I394" s="252" t="s">
        <v>949</v>
      </c>
      <c r="J394" s="252" t="s">
        <v>96</v>
      </c>
      <c r="K394" s="256" t="s">
        <v>200</v>
      </c>
      <c r="L394" s="252" t="s">
        <v>153</v>
      </c>
      <c r="M394" s="248"/>
      <c r="N394" s="248"/>
      <c r="O394" s="248"/>
    </row>
    <row r="395" spans="1:15" hidden="1">
      <c r="A395" s="258">
        <v>45719</v>
      </c>
      <c r="B395" s="248" t="s">
        <v>908</v>
      </c>
      <c r="C395" s="248" t="s">
        <v>126</v>
      </c>
      <c r="D395" s="248" t="s">
        <v>116</v>
      </c>
      <c r="E395" s="259">
        <v>10665</v>
      </c>
      <c r="F395" s="250">
        <v>18.411707532658554</v>
      </c>
      <c r="G395" s="260">
        <v>579.25099999999998</v>
      </c>
      <c r="H395" s="252" t="s">
        <v>146</v>
      </c>
      <c r="I395" s="252" t="s">
        <v>950</v>
      </c>
      <c r="J395" s="252" t="s">
        <v>96</v>
      </c>
      <c r="K395" s="256" t="s">
        <v>200</v>
      </c>
      <c r="L395" s="252" t="s">
        <v>153</v>
      </c>
      <c r="M395" s="248"/>
      <c r="N395" s="248"/>
      <c r="O395" s="248"/>
    </row>
    <row r="396" spans="1:15" hidden="1">
      <c r="A396" s="258">
        <v>45719</v>
      </c>
      <c r="B396" s="248" t="s">
        <v>909</v>
      </c>
      <c r="C396" s="248" t="s">
        <v>121</v>
      </c>
      <c r="D396" s="249" t="s">
        <v>115</v>
      </c>
      <c r="E396" s="259">
        <v>300000</v>
      </c>
      <c r="F396" s="250">
        <v>517.91019782443186</v>
      </c>
      <c r="G396" s="260">
        <v>579.25099999999998</v>
      </c>
      <c r="H396" s="252" t="s">
        <v>146</v>
      </c>
      <c r="I396" s="252" t="s">
        <v>951</v>
      </c>
      <c r="J396" s="252" t="s">
        <v>96</v>
      </c>
      <c r="K396" s="256" t="s">
        <v>200</v>
      </c>
      <c r="L396" s="252" t="s">
        <v>153</v>
      </c>
      <c r="M396" s="248"/>
      <c r="N396" s="248"/>
      <c r="O396" s="248"/>
    </row>
    <row r="397" spans="1:15" hidden="1">
      <c r="A397" s="258">
        <v>45720</v>
      </c>
      <c r="B397" s="248" t="s">
        <v>1154</v>
      </c>
      <c r="C397" s="254" t="s">
        <v>363</v>
      </c>
      <c r="D397" s="249" t="s">
        <v>440</v>
      </c>
      <c r="E397" s="259">
        <v>30000</v>
      </c>
      <c r="F397" s="250">
        <v>51.791019782443193</v>
      </c>
      <c r="G397" s="260">
        <v>579.25099999999998</v>
      </c>
      <c r="H397" s="252" t="s">
        <v>151</v>
      </c>
      <c r="I397" s="252" t="s">
        <v>838</v>
      </c>
      <c r="J397" s="252" t="s">
        <v>96</v>
      </c>
      <c r="K397" s="256" t="s">
        <v>200</v>
      </c>
      <c r="L397" s="252" t="s">
        <v>153</v>
      </c>
      <c r="M397" s="248"/>
      <c r="N397" s="248"/>
      <c r="O397" s="248"/>
    </row>
    <row r="398" spans="1:15" hidden="1">
      <c r="A398" s="258">
        <v>45720</v>
      </c>
      <c r="B398" s="248" t="s">
        <v>973</v>
      </c>
      <c r="C398" s="254" t="s">
        <v>172</v>
      </c>
      <c r="D398" s="248" t="s">
        <v>116</v>
      </c>
      <c r="E398" s="259">
        <v>9900</v>
      </c>
      <c r="F398" s="250">
        <v>17.091036528206253</v>
      </c>
      <c r="G398" s="260">
        <v>579.25099999999998</v>
      </c>
      <c r="H398" s="252" t="s">
        <v>155</v>
      </c>
      <c r="I398" s="252" t="s">
        <v>1129</v>
      </c>
      <c r="J398" s="252" t="s">
        <v>96</v>
      </c>
      <c r="K398" s="256" t="s">
        <v>200</v>
      </c>
      <c r="L398" s="252" t="s">
        <v>153</v>
      </c>
      <c r="M398" s="248"/>
      <c r="N398" s="248"/>
      <c r="O398" s="248"/>
    </row>
    <row r="399" spans="1:15" hidden="1">
      <c r="A399" s="258">
        <v>45720</v>
      </c>
      <c r="B399" s="248" t="s">
        <v>793</v>
      </c>
      <c r="C399" s="248" t="s">
        <v>125</v>
      </c>
      <c r="D399" s="248" t="s">
        <v>116</v>
      </c>
      <c r="E399" s="259">
        <v>131428</v>
      </c>
      <c r="F399" s="250">
        <v>226.89300493223146</v>
      </c>
      <c r="G399" s="260">
        <v>579.25099999999998</v>
      </c>
      <c r="H399" s="252" t="s">
        <v>155</v>
      </c>
      <c r="I399" s="252" t="s">
        <v>837</v>
      </c>
      <c r="J399" s="252" t="s">
        <v>96</v>
      </c>
      <c r="K399" s="256" t="s">
        <v>200</v>
      </c>
      <c r="L399" s="252" t="s">
        <v>153</v>
      </c>
      <c r="M399" s="248"/>
      <c r="N399" s="248"/>
      <c r="O399" s="248"/>
    </row>
    <row r="400" spans="1:15" hidden="1">
      <c r="A400" s="258">
        <v>45720</v>
      </c>
      <c r="B400" s="248" t="s">
        <v>797</v>
      </c>
      <c r="C400" s="254" t="s">
        <v>172</v>
      </c>
      <c r="D400" s="249" t="s">
        <v>115</v>
      </c>
      <c r="E400" s="259">
        <v>20000</v>
      </c>
      <c r="F400" s="250">
        <v>34.527346521628793</v>
      </c>
      <c r="G400" s="260">
        <v>579.25099999999998</v>
      </c>
      <c r="H400" s="252" t="s">
        <v>155</v>
      </c>
      <c r="I400" s="252" t="s">
        <v>842</v>
      </c>
      <c r="J400" s="252" t="s">
        <v>96</v>
      </c>
      <c r="K400" s="256" t="s">
        <v>200</v>
      </c>
      <c r="L400" s="252" t="s">
        <v>153</v>
      </c>
      <c r="M400" s="248"/>
      <c r="N400" s="248"/>
      <c r="O400" s="248"/>
    </row>
    <row r="401" spans="1:15" hidden="1">
      <c r="A401" s="258">
        <v>45720</v>
      </c>
      <c r="B401" s="248" t="s">
        <v>798</v>
      </c>
      <c r="C401" s="254" t="s">
        <v>175</v>
      </c>
      <c r="D401" s="249" t="s">
        <v>115</v>
      </c>
      <c r="E401" s="259">
        <v>50000</v>
      </c>
      <c r="F401" s="250">
        <v>86.318366304071986</v>
      </c>
      <c r="G401" s="260">
        <v>579.25099999999998</v>
      </c>
      <c r="H401" s="252" t="s">
        <v>155</v>
      </c>
      <c r="I401" s="252" t="s">
        <v>843</v>
      </c>
      <c r="J401" s="252" t="s">
        <v>96</v>
      </c>
      <c r="K401" s="256" t="s">
        <v>200</v>
      </c>
      <c r="L401" s="252" t="s">
        <v>153</v>
      </c>
      <c r="M401" s="248"/>
      <c r="N401" s="248"/>
      <c r="O401" s="248"/>
    </row>
    <row r="402" spans="1:15" hidden="1">
      <c r="A402" s="258">
        <v>45720</v>
      </c>
      <c r="B402" s="248" t="s">
        <v>558</v>
      </c>
      <c r="C402" s="248" t="s">
        <v>125</v>
      </c>
      <c r="D402" s="249" t="s">
        <v>115</v>
      </c>
      <c r="E402" s="259">
        <v>30000</v>
      </c>
      <c r="F402" s="250">
        <v>51.791019782443193</v>
      </c>
      <c r="G402" s="260">
        <v>579.25099999999998</v>
      </c>
      <c r="H402" s="252" t="s">
        <v>155</v>
      </c>
      <c r="I402" s="252" t="s">
        <v>891</v>
      </c>
      <c r="J402" s="252" t="s">
        <v>96</v>
      </c>
      <c r="K402" s="256" t="s">
        <v>200</v>
      </c>
      <c r="L402" s="252" t="s">
        <v>153</v>
      </c>
      <c r="M402" s="248"/>
      <c r="N402" s="248"/>
      <c r="O402" s="248"/>
    </row>
    <row r="403" spans="1:15" hidden="1">
      <c r="A403" s="258">
        <v>45720</v>
      </c>
      <c r="B403" s="248" t="s">
        <v>799</v>
      </c>
      <c r="C403" s="248" t="s">
        <v>263</v>
      </c>
      <c r="D403" s="248" t="s">
        <v>2091</v>
      </c>
      <c r="E403" s="259">
        <v>50000</v>
      </c>
      <c r="F403" s="250">
        <v>86.318366304071986</v>
      </c>
      <c r="G403" s="260">
        <v>579.25099999999998</v>
      </c>
      <c r="H403" s="252" t="s">
        <v>155</v>
      </c>
      <c r="I403" s="252" t="s">
        <v>892</v>
      </c>
      <c r="J403" s="252" t="s">
        <v>96</v>
      </c>
      <c r="K403" s="256" t="s">
        <v>200</v>
      </c>
      <c r="L403" s="252" t="s">
        <v>153</v>
      </c>
      <c r="M403" s="248"/>
      <c r="N403" s="248"/>
      <c r="O403" s="248"/>
    </row>
    <row r="404" spans="1:15" hidden="1">
      <c r="A404" s="258">
        <v>45720</v>
      </c>
      <c r="B404" s="248" t="s">
        <v>795</v>
      </c>
      <c r="C404" s="255" t="s">
        <v>2090</v>
      </c>
      <c r="D404" s="248" t="s">
        <v>116</v>
      </c>
      <c r="E404" s="259">
        <v>8700</v>
      </c>
      <c r="F404" s="250">
        <v>15.019395736908526</v>
      </c>
      <c r="G404" s="260">
        <v>579.25099999999998</v>
      </c>
      <c r="H404" s="252" t="s">
        <v>581</v>
      </c>
      <c r="I404" s="252" t="s">
        <v>840</v>
      </c>
      <c r="J404" s="252" t="s">
        <v>96</v>
      </c>
      <c r="K404" s="256" t="s">
        <v>200</v>
      </c>
      <c r="L404" s="252" t="s">
        <v>153</v>
      </c>
      <c r="M404" s="248"/>
      <c r="N404" s="248"/>
      <c r="O404" s="248"/>
    </row>
    <row r="405" spans="1:15" hidden="1">
      <c r="A405" s="258">
        <v>45720</v>
      </c>
      <c r="B405" s="248" t="s">
        <v>796</v>
      </c>
      <c r="C405" s="254" t="s">
        <v>175</v>
      </c>
      <c r="D405" s="249" t="s">
        <v>115</v>
      </c>
      <c r="E405" s="259">
        <v>100000</v>
      </c>
      <c r="F405" s="250">
        <v>172.63673260814397</v>
      </c>
      <c r="G405" s="260">
        <v>579.25099999999998</v>
      </c>
      <c r="H405" s="252" t="s">
        <v>581</v>
      </c>
      <c r="I405" s="252" t="s">
        <v>841</v>
      </c>
      <c r="J405" s="252" t="s">
        <v>96</v>
      </c>
      <c r="K405" s="256" t="s">
        <v>200</v>
      </c>
      <c r="L405" s="252" t="s">
        <v>153</v>
      </c>
      <c r="M405" s="248"/>
      <c r="N405" s="248"/>
      <c r="O405" s="248"/>
    </row>
    <row r="406" spans="1:15" hidden="1">
      <c r="A406" s="258">
        <v>45720</v>
      </c>
      <c r="B406" s="248" t="s">
        <v>992</v>
      </c>
      <c r="C406" s="248" t="s">
        <v>125</v>
      </c>
      <c r="D406" s="249" t="s">
        <v>993</v>
      </c>
      <c r="E406" s="259">
        <v>65000</v>
      </c>
      <c r="F406" s="250">
        <v>112.21387619529358</v>
      </c>
      <c r="G406" s="260">
        <v>579.25099999999998</v>
      </c>
      <c r="H406" s="252" t="s">
        <v>173</v>
      </c>
      <c r="I406" s="252" t="s">
        <v>994</v>
      </c>
      <c r="J406" s="252" t="s">
        <v>96</v>
      </c>
      <c r="K406" s="256" t="s">
        <v>200</v>
      </c>
      <c r="L406" s="252" t="s">
        <v>153</v>
      </c>
      <c r="M406" s="248"/>
      <c r="N406" s="248"/>
      <c r="O406" s="248"/>
    </row>
    <row r="407" spans="1:15" hidden="1">
      <c r="A407" s="258">
        <v>45720</v>
      </c>
      <c r="B407" s="248" t="s">
        <v>1155</v>
      </c>
      <c r="C407" s="254" t="s">
        <v>175</v>
      </c>
      <c r="D407" s="249" t="s">
        <v>115</v>
      </c>
      <c r="E407" s="259">
        <v>40000</v>
      </c>
      <c r="F407" s="250">
        <v>69.054693043257586</v>
      </c>
      <c r="G407" s="260">
        <v>579.25099999999998</v>
      </c>
      <c r="H407" s="252" t="s">
        <v>185</v>
      </c>
      <c r="I407" s="252" t="s">
        <v>1047</v>
      </c>
      <c r="J407" s="252" t="s">
        <v>96</v>
      </c>
      <c r="K407" s="256" t="s">
        <v>200</v>
      </c>
      <c r="L407" s="252" t="s">
        <v>153</v>
      </c>
      <c r="M407" s="248"/>
      <c r="N407" s="248"/>
      <c r="O407" s="248"/>
    </row>
    <row r="408" spans="1:15" hidden="1">
      <c r="A408" s="258">
        <v>45720</v>
      </c>
      <c r="B408" s="248" t="s">
        <v>794</v>
      </c>
      <c r="C408" s="255" t="s">
        <v>2090</v>
      </c>
      <c r="D408" s="248" t="s">
        <v>116</v>
      </c>
      <c r="E408" s="259">
        <v>1952</v>
      </c>
      <c r="F408" s="250">
        <v>3.3698690205109703</v>
      </c>
      <c r="G408" s="260">
        <v>579.25099999999998</v>
      </c>
      <c r="H408" s="252" t="s">
        <v>191</v>
      </c>
      <c r="I408" s="252" t="s">
        <v>839</v>
      </c>
      <c r="J408" s="252" t="s">
        <v>96</v>
      </c>
      <c r="K408" s="256" t="s">
        <v>200</v>
      </c>
      <c r="L408" s="262" t="s">
        <v>153</v>
      </c>
      <c r="M408" s="248"/>
      <c r="N408" s="248"/>
      <c r="O408" s="248"/>
    </row>
    <row r="409" spans="1:15" hidden="1">
      <c r="A409" s="258">
        <v>45720</v>
      </c>
      <c r="B409" s="248" t="s">
        <v>792</v>
      </c>
      <c r="C409" s="254" t="s">
        <v>2092</v>
      </c>
      <c r="D409" s="248" t="s">
        <v>118</v>
      </c>
      <c r="E409" s="259">
        <v>148000</v>
      </c>
      <c r="F409" s="250">
        <v>255.50236426005307</v>
      </c>
      <c r="G409" s="260">
        <v>579.25099999999998</v>
      </c>
      <c r="H409" s="252" t="s">
        <v>211</v>
      </c>
      <c r="I409" s="252" t="s">
        <v>890</v>
      </c>
      <c r="J409" s="252" t="s">
        <v>96</v>
      </c>
      <c r="K409" s="256" t="s">
        <v>200</v>
      </c>
      <c r="L409" s="252" t="s">
        <v>153</v>
      </c>
      <c r="M409" s="248"/>
      <c r="N409" s="248"/>
      <c r="O409" s="248"/>
    </row>
    <row r="410" spans="1:15" hidden="1">
      <c r="A410" s="258">
        <v>45721</v>
      </c>
      <c r="B410" s="248" t="s">
        <v>1113</v>
      </c>
      <c r="C410" s="254" t="s">
        <v>175</v>
      </c>
      <c r="D410" s="249" t="s">
        <v>115</v>
      </c>
      <c r="E410" s="259">
        <v>30000</v>
      </c>
      <c r="F410" s="250">
        <v>51.791019782443193</v>
      </c>
      <c r="G410" s="260">
        <v>579.25099999999998</v>
      </c>
      <c r="H410" s="252" t="s">
        <v>198</v>
      </c>
      <c r="I410" s="252" t="s">
        <v>1114</v>
      </c>
      <c r="J410" s="252" t="s">
        <v>96</v>
      </c>
      <c r="K410" s="256" t="s">
        <v>200</v>
      </c>
      <c r="L410" s="252" t="s">
        <v>153</v>
      </c>
      <c r="M410" s="248"/>
      <c r="N410" s="248"/>
      <c r="O410" s="248"/>
    </row>
    <row r="411" spans="1:15" hidden="1">
      <c r="A411" s="258">
        <v>45722</v>
      </c>
      <c r="B411" s="248" t="s">
        <v>2095</v>
      </c>
      <c r="C411" s="248" t="s">
        <v>125</v>
      </c>
      <c r="D411" s="248" t="s">
        <v>117</v>
      </c>
      <c r="E411" s="259">
        <v>174625</v>
      </c>
      <c r="F411" s="250">
        <v>301.46689431697143</v>
      </c>
      <c r="G411" s="260">
        <v>579.25099999999998</v>
      </c>
      <c r="H411" s="252" t="s">
        <v>151</v>
      </c>
      <c r="I411" s="252" t="s">
        <v>967</v>
      </c>
      <c r="J411" s="252" t="s">
        <v>96</v>
      </c>
      <c r="K411" s="256" t="s">
        <v>200</v>
      </c>
      <c r="L411" s="252" t="s">
        <v>153</v>
      </c>
      <c r="M411" s="248"/>
      <c r="N411" s="248"/>
      <c r="O411" s="248"/>
    </row>
    <row r="412" spans="1:15" hidden="1">
      <c r="A412" s="258">
        <v>45722</v>
      </c>
      <c r="B412" s="248" t="s">
        <v>582</v>
      </c>
      <c r="C412" s="254" t="s">
        <v>363</v>
      </c>
      <c r="D412" s="249" t="s">
        <v>440</v>
      </c>
      <c r="E412" s="259">
        <v>30000</v>
      </c>
      <c r="F412" s="250">
        <v>51.791019782443193</v>
      </c>
      <c r="G412" s="260">
        <v>579.25099999999998</v>
      </c>
      <c r="H412" s="252" t="s">
        <v>151</v>
      </c>
      <c r="I412" s="252" t="s">
        <v>844</v>
      </c>
      <c r="J412" s="252" t="s">
        <v>96</v>
      </c>
      <c r="K412" s="256" t="s">
        <v>200</v>
      </c>
      <c r="L412" s="252" t="s">
        <v>153</v>
      </c>
      <c r="M412" s="248"/>
      <c r="N412" s="248"/>
      <c r="O412" s="248"/>
    </row>
    <row r="413" spans="1:15" hidden="1">
      <c r="A413" s="258">
        <v>45722</v>
      </c>
      <c r="B413" s="248" t="s">
        <v>4752</v>
      </c>
      <c r="C413" s="254" t="s">
        <v>172</v>
      </c>
      <c r="D413" s="249" t="s">
        <v>440</v>
      </c>
      <c r="E413" s="259">
        <v>7000</v>
      </c>
      <c r="F413" s="250">
        <v>12.084571282570078</v>
      </c>
      <c r="G413" s="260">
        <v>579.25099999999998</v>
      </c>
      <c r="H413" s="252" t="s">
        <v>321</v>
      </c>
      <c r="I413" s="252" t="s">
        <v>1038</v>
      </c>
      <c r="J413" s="252" t="s">
        <v>96</v>
      </c>
      <c r="K413" s="256" t="s">
        <v>200</v>
      </c>
      <c r="L413" s="252" t="s">
        <v>153</v>
      </c>
      <c r="M413" s="248"/>
      <c r="N413" s="248"/>
      <c r="O413" s="248"/>
    </row>
    <row r="414" spans="1:15" hidden="1">
      <c r="A414" s="258">
        <v>45722</v>
      </c>
      <c r="B414" s="248" t="s">
        <v>800</v>
      </c>
      <c r="C414" s="255" t="s">
        <v>2090</v>
      </c>
      <c r="D414" s="248" t="s">
        <v>116</v>
      </c>
      <c r="E414" s="259">
        <v>1952</v>
      </c>
      <c r="F414" s="250">
        <v>3.3698690205109703</v>
      </c>
      <c r="G414" s="260">
        <v>579.25099999999998</v>
      </c>
      <c r="H414" s="252" t="s">
        <v>191</v>
      </c>
      <c r="I414" s="252" t="s">
        <v>845</v>
      </c>
      <c r="J414" s="252" t="s">
        <v>96</v>
      </c>
      <c r="K414" s="256" t="s">
        <v>200</v>
      </c>
      <c r="L414" s="252" t="s">
        <v>153</v>
      </c>
      <c r="M414" s="248"/>
      <c r="N414" s="248"/>
      <c r="O414" s="248"/>
    </row>
    <row r="415" spans="1:15" hidden="1">
      <c r="A415" s="258">
        <v>45723</v>
      </c>
      <c r="B415" s="248" t="s">
        <v>1152</v>
      </c>
      <c r="C415" s="248" t="s">
        <v>302</v>
      </c>
      <c r="D415" s="248" t="s">
        <v>116</v>
      </c>
      <c r="E415" s="259">
        <v>20000</v>
      </c>
      <c r="F415" s="250">
        <v>34.527346521628793</v>
      </c>
      <c r="G415" s="260">
        <v>579.25099999999998</v>
      </c>
      <c r="H415" s="252" t="s">
        <v>151</v>
      </c>
      <c r="I415" s="252" t="s">
        <v>846</v>
      </c>
      <c r="J415" s="252" t="s">
        <v>96</v>
      </c>
      <c r="K415" s="256" t="s">
        <v>200</v>
      </c>
      <c r="L415" s="252" t="s">
        <v>153</v>
      </c>
      <c r="M415" s="248"/>
      <c r="N415" s="248"/>
      <c r="O415" s="248"/>
    </row>
    <row r="416" spans="1:15" hidden="1">
      <c r="A416" s="258">
        <v>45723</v>
      </c>
      <c r="B416" s="248" t="s">
        <v>4816</v>
      </c>
      <c r="C416" s="254" t="s">
        <v>175</v>
      </c>
      <c r="D416" s="249" t="s">
        <v>440</v>
      </c>
      <c r="E416" s="259">
        <v>170000</v>
      </c>
      <c r="F416" s="250">
        <v>293.48244543384476</v>
      </c>
      <c r="G416" s="260">
        <v>579.25099999999998</v>
      </c>
      <c r="H416" s="252" t="s">
        <v>321</v>
      </c>
      <c r="I416" s="252" t="s">
        <v>1039</v>
      </c>
      <c r="J416" s="252" t="s">
        <v>96</v>
      </c>
      <c r="K416" s="256" t="s">
        <v>200</v>
      </c>
      <c r="L416" s="252" t="s">
        <v>153</v>
      </c>
      <c r="M416" s="248"/>
      <c r="N416" s="248"/>
      <c r="O416" s="248"/>
    </row>
    <row r="417" spans="1:15" hidden="1">
      <c r="A417" s="282">
        <v>45723</v>
      </c>
      <c r="B417" s="248" t="s">
        <v>910</v>
      </c>
      <c r="C417" s="248" t="s">
        <v>123</v>
      </c>
      <c r="D417" s="248"/>
      <c r="E417" s="283"/>
      <c r="F417" s="284">
        <f t="shared" ref="F417:F418" si="0">+E417/G417</f>
        <v>0</v>
      </c>
      <c r="G417" s="285">
        <v>579.64599999999996</v>
      </c>
      <c r="H417" s="248" t="s">
        <v>146</v>
      </c>
      <c r="I417" s="248" t="s">
        <v>935</v>
      </c>
      <c r="J417" s="248" t="s">
        <v>96</v>
      </c>
      <c r="K417" s="248" t="s">
        <v>200</v>
      </c>
      <c r="L417" s="248" t="s">
        <v>153</v>
      </c>
      <c r="M417" s="289">
        <v>17389380</v>
      </c>
      <c r="N417" s="290">
        <v>30000</v>
      </c>
      <c r="O417" s="248"/>
    </row>
    <row r="418" spans="1:15" hidden="1">
      <c r="A418" s="282">
        <v>45723</v>
      </c>
      <c r="B418" s="248" t="s">
        <v>911</v>
      </c>
      <c r="C418" s="248" t="s">
        <v>123</v>
      </c>
      <c r="D418" s="248"/>
      <c r="E418" s="283"/>
      <c r="F418" s="284">
        <f t="shared" si="0"/>
        <v>0</v>
      </c>
      <c r="G418" s="248">
        <v>579.64599999999996</v>
      </c>
      <c r="H418" s="248" t="s">
        <v>146</v>
      </c>
      <c r="I418" s="248" t="s">
        <v>936</v>
      </c>
      <c r="J418" s="248" t="s">
        <v>96</v>
      </c>
      <c r="K418" s="248" t="s">
        <v>1137</v>
      </c>
      <c r="L418" s="248" t="s">
        <v>153</v>
      </c>
      <c r="M418" s="289">
        <v>2898230</v>
      </c>
      <c r="N418" s="290">
        <v>5000</v>
      </c>
      <c r="O418" s="248"/>
    </row>
    <row r="419" spans="1:15" hidden="1">
      <c r="A419" s="258">
        <v>45724</v>
      </c>
      <c r="B419" s="248" t="s">
        <v>1115</v>
      </c>
      <c r="C419" s="254" t="s">
        <v>175</v>
      </c>
      <c r="D419" s="249" t="s">
        <v>115</v>
      </c>
      <c r="E419" s="259">
        <v>105000</v>
      </c>
      <c r="F419" s="250">
        <v>181.14504369908531</v>
      </c>
      <c r="G419" s="260">
        <v>579.64599999999996</v>
      </c>
      <c r="H419" s="252" t="s">
        <v>198</v>
      </c>
      <c r="I419" s="252" t="s">
        <v>1139</v>
      </c>
      <c r="J419" s="252" t="s">
        <v>96</v>
      </c>
      <c r="K419" s="256" t="s">
        <v>200</v>
      </c>
      <c r="L419" s="252" t="s">
        <v>153</v>
      </c>
      <c r="M419" s="248"/>
      <c r="N419" s="248"/>
      <c r="O419" s="248"/>
    </row>
    <row r="420" spans="1:15" hidden="1">
      <c r="A420" s="258">
        <v>45724</v>
      </c>
      <c r="B420" s="248" t="s">
        <v>1116</v>
      </c>
      <c r="C420" s="254" t="s">
        <v>172</v>
      </c>
      <c r="D420" s="249" t="s">
        <v>115</v>
      </c>
      <c r="E420" s="259">
        <v>7000</v>
      </c>
      <c r="F420" s="250">
        <v>12.076336246605688</v>
      </c>
      <c r="G420" s="260">
        <v>579.64599999999996</v>
      </c>
      <c r="H420" s="252" t="s">
        <v>198</v>
      </c>
      <c r="I420" s="252" t="s">
        <v>1140</v>
      </c>
      <c r="J420" s="252" t="s">
        <v>96</v>
      </c>
      <c r="K420" s="256" t="s">
        <v>200</v>
      </c>
      <c r="L420" s="252" t="s">
        <v>153</v>
      </c>
      <c r="M420" s="248"/>
      <c r="N420" s="248"/>
      <c r="O420" s="248"/>
    </row>
    <row r="421" spans="1:15" hidden="1">
      <c r="A421" s="258">
        <v>45724</v>
      </c>
      <c r="B421" s="248" t="s">
        <v>1156</v>
      </c>
      <c r="C421" s="254" t="s">
        <v>175</v>
      </c>
      <c r="D421" s="249" t="s">
        <v>115</v>
      </c>
      <c r="E421" s="259">
        <v>165000</v>
      </c>
      <c r="F421" s="250">
        <v>284.6564972414198</v>
      </c>
      <c r="G421" s="260">
        <v>579.64599999999996</v>
      </c>
      <c r="H421" s="252" t="s">
        <v>185</v>
      </c>
      <c r="I421" s="252" t="s">
        <v>1048</v>
      </c>
      <c r="J421" s="252" t="s">
        <v>96</v>
      </c>
      <c r="K421" s="256" t="s">
        <v>200</v>
      </c>
      <c r="L421" s="252" t="s">
        <v>153</v>
      </c>
      <c r="M421" s="248"/>
      <c r="N421" s="248"/>
      <c r="O421" s="248"/>
    </row>
    <row r="422" spans="1:15" hidden="1">
      <c r="A422" s="258">
        <v>45726</v>
      </c>
      <c r="B422" s="248" t="s">
        <v>801</v>
      </c>
      <c r="C422" s="248" t="s">
        <v>125</v>
      </c>
      <c r="D422" s="249" t="s">
        <v>115</v>
      </c>
      <c r="E422" s="259">
        <v>30000</v>
      </c>
      <c r="F422" s="250">
        <v>51.755726771167232</v>
      </c>
      <c r="G422" s="260">
        <v>579.64599999999996</v>
      </c>
      <c r="H422" s="252" t="s">
        <v>155</v>
      </c>
      <c r="I422" s="252" t="s">
        <v>893</v>
      </c>
      <c r="J422" s="252" t="s">
        <v>96</v>
      </c>
      <c r="K422" s="256" t="s">
        <v>200</v>
      </c>
      <c r="L422" s="252" t="s">
        <v>153</v>
      </c>
      <c r="M422" s="248"/>
      <c r="N422" s="248"/>
      <c r="O422" s="248"/>
    </row>
    <row r="423" spans="1:15" hidden="1">
      <c r="A423" s="258">
        <v>45726</v>
      </c>
      <c r="B423" s="248" t="s">
        <v>802</v>
      </c>
      <c r="C423" s="248" t="s">
        <v>263</v>
      </c>
      <c r="D423" s="248" t="s">
        <v>2091</v>
      </c>
      <c r="E423" s="259">
        <v>45000</v>
      </c>
      <c r="F423" s="250">
        <v>77.633590156750856</v>
      </c>
      <c r="G423" s="260">
        <v>579.64599999999996</v>
      </c>
      <c r="H423" s="252" t="s">
        <v>155</v>
      </c>
      <c r="I423" s="252" t="s">
        <v>894</v>
      </c>
      <c r="J423" s="252" t="s">
        <v>96</v>
      </c>
      <c r="K423" s="256" t="s">
        <v>200</v>
      </c>
      <c r="L423" s="252" t="s">
        <v>153</v>
      </c>
      <c r="M423" s="248"/>
      <c r="N423" s="248"/>
      <c r="O423" s="248"/>
    </row>
    <row r="424" spans="1:15" hidden="1">
      <c r="A424" s="258">
        <v>45726</v>
      </c>
      <c r="B424" s="248" t="s">
        <v>4758</v>
      </c>
      <c r="C424" s="254" t="s">
        <v>172</v>
      </c>
      <c r="D424" s="249" t="s">
        <v>440</v>
      </c>
      <c r="E424" s="259">
        <v>10000</v>
      </c>
      <c r="F424" s="250">
        <v>17.251908923722411</v>
      </c>
      <c r="G424" s="260">
        <v>579.64599999999996</v>
      </c>
      <c r="H424" s="252" t="s">
        <v>182</v>
      </c>
      <c r="I424" s="252" t="s">
        <v>975</v>
      </c>
      <c r="J424" s="252" t="s">
        <v>96</v>
      </c>
      <c r="K424" s="256" t="s">
        <v>200</v>
      </c>
      <c r="L424" s="252" t="s">
        <v>153</v>
      </c>
      <c r="M424" s="248"/>
      <c r="N424" s="248"/>
      <c r="O424" s="248"/>
    </row>
    <row r="425" spans="1:15" hidden="1">
      <c r="A425" s="258">
        <v>45726</v>
      </c>
      <c r="B425" s="248" t="s">
        <v>1166</v>
      </c>
      <c r="C425" s="254" t="s">
        <v>363</v>
      </c>
      <c r="D425" s="249" t="s">
        <v>440</v>
      </c>
      <c r="E425" s="259">
        <v>16000</v>
      </c>
      <c r="F425" s="250">
        <v>27.603054277955859</v>
      </c>
      <c r="G425" s="260">
        <v>579.64599999999996</v>
      </c>
      <c r="H425" s="252" t="s">
        <v>321</v>
      </c>
      <c r="I425" s="252" t="s">
        <v>1040</v>
      </c>
      <c r="J425" s="252" t="s">
        <v>96</v>
      </c>
      <c r="K425" s="256" t="s">
        <v>200</v>
      </c>
      <c r="L425" s="252" t="s">
        <v>153</v>
      </c>
      <c r="M425" s="248"/>
      <c r="N425" s="248"/>
      <c r="O425" s="248"/>
    </row>
    <row r="426" spans="1:15" hidden="1">
      <c r="A426" s="258">
        <v>45726</v>
      </c>
      <c r="B426" s="248" t="s">
        <v>552</v>
      </c>
      <c r="C426" s="255" t="s">
        <v>2090</v>
      </c>
      <c r="D426" s="248" t="s">
        <v>116</v>
      </c>
      <c r="E426" s="259">
        <v>4170</v>
      </c>
      <c r="F426" s="250">
        <v>7.1940460211922455</v>
      </c>
      <c r="G426" s="260">
        <v>579.64599999999996</v>
      </c>
      <c r="H426" s="252" t="s">
        <v>191</v>
      </c>
      <c r="I426" s="252" t="s">
        <v>847</v>
      </c>
      <c r="J426" s="252" t="s">
        <v>96</v>
      </c>
      <c r="K426" s="256" t="s">
        <v>200</v>
      </c>
      <c r="L426" s="252" t="s">
        <v>153</v>
      </c>
      <c r="M426" s="248"/>
      <c r="N426" s="248"/>
      <c r="O426" s="248"/>
    </row>
    <row r="427" spans="1:15" hidden="1">
      <c r="A427" s="258">
        <v>45726</v>
      </c>
      <c r="B427" s="248" t="s">
        <v>912</v>
      </c>
      <c r="C427" s="248" t="s">
        <v>121</v>
      </c>
      <c r="D427" s="249" t="s">
        <v>115</v>
      </c>
      <c r="E427" s="259">
        <v>150000</v>
      </c>
      <c r="F427" s="250">
        <v>258.77863385583618</v>
      </c>
      <c r="G427" s="260">
        <v>579.64599999999996</v>
      </c>
      <c r="H427" s="252" t="s">
        <v>146</v>
      </c>
      <c r="I427" s="252" t="s">
        <v>952</v>
      </c>
      <c r="J427" s="252" t="s">
        <v>96</v>
      </c>
      <c r="K427" s="256" t="s">
        <v>200</v>
      </c>
      <c r="L427" s="252" t="s">
        <v>153</v>
      </c>
      <c r="M427" s="248"/>
      <c r="N427" s="248"/>
      <c r="O427" s="248"/>
    </row>
    <row r="428" spans="1:15" hidden="1">
      <c r="A428" s="258">
        <v>45726</v>
      </c>
      <c r="B428" s="248" t="s">
        <v>913</v>
      </c>
      <c r="C428" s="248" t="s">
        <v>121</v>
      </c>
      <c r="D428" s="249" t="s">
        <v>115</v>
      </c>
      <c r="E428" s="259">
        <v>150000</v>
      </c>
      <c r="F428" s="250">
        <v>258.77863385583618</v>
      </c>
      <c r="G428" s="260">
        <v>579.64599999999996</v>
      </c>
      <c r="H428" s="252" t="s">
        <v>146</v>
      </c>
      <c r="I428" s="252" t="s">
        <v>953</v>
      </c>
      <c r="J428" s="252" t="s">
        <v>96</v>
      </c>
      <c r="K428" s="256" t="s">
        <v>200</v>
      </c>
      <c r="L428" s="252" t="s">
        <v>153</v>
      </c>
      <c r="M428" s="248"/>
      <c r="N428" s="248"/>
      <c r="O428" s="248"/>
    </row>
    <row r="429" spans="1:15" hidden="1">
      <c r="A429" s="258">
        <v>45726</v>
      </c>
      <c r="B429" s="248" t="s">
        <v>914</v>
      </c>
      <c r="C429" s="248" t="s">
        <v>125</v>
      </c>
      <c r="D429" s="248" t="s">
        <v>117</v>
      </c>
      <c r="E429" s="259">
        <v>1311000</v>
      </c>
      <c r="F429" s="250">
        <v>2261.725259900008</v>
      </c>
      <c r="G429" s="260">
        <v>579.64599999999996</v>
      </c>
      <c r="H429" s="252" t="s">
        <v>146</v>
      </c>
      <c r="I429" s="252" t="s">
        <v>954</v>
      </c>
      <c r="J429" s="252" t="s">
        <v>96</v>
      </c>
      <c r="K429" s="256" t="s">
        <v>200</v>
      </c>
      <c r="L429" s="252" t="s">
        <v>153</v>
      </c>
      <c r="M429" s="248"/>
      <c r="N429" s="248"/>
      <c r="O429" s="248"/>
    </row>
    <row r="430" spans="1:15" hidden="1">
      <c r="A430" s="258">
        <v>45727</v>
      </c>
      <c r="B430" s="248" t="s">
        <v>804</v>
      </c>
      <c r="C430" s="248" t="s">
        <v>125</v>
      </c>
      <c r="D430" s="249" t="s">
        <v>993</v>
      </c>
      <c r="E430" s="259">
        <v>112000</v>
      </c>
      <c r="F430" s="250">
        <v>193.22137994569101</v>
      </c>
      <c r="G430" s="260">
        <v>579.64599999999996</v>
      </c>
      <c r="H430" s="252" t="s">
        <v>581</v>
      </c>
      <c r="I430" s="252" t="s">
        <v>849</v>
      </c>
      <c r="J430" s="252" t="s">
        <v>96</v>
      </c>
      <c r="K430" s="256" t="s">
        <v>200</v>
      </c>
      <c r="L430" s="252" t="s">
        <v>153</v>
      </c>
      <c r="M430" s="248"/>
      <c r="N430" s="248"/>
      <c r="O430" s="248"/>
    </row>
    <row r="431" spans="1:15" hidden="1">
      <c r="A431" s="258">
        <v>45727</v>
      </c>
      <c r="B431" s="248" t="s">
        <v>4817</v>
      </c>
      <c r="C431" s="254" t="s">
        <v>175</v>
      </c>
      <c r="D431" s="249" t="s">
        <v>440</v>
      </c>
      <c r="E431" s="259">
        <v>130000</v>
      </c>
      <c r="F431" s="250">
        <v>224.27481600839135</v>
      </c>
      <c r="G431" s="251">
        <v>579.64599999999996</v>
      </c>
      <c r="H431" s="252" t="s">
        <v>182</v>
      </c>
      <c r="I431" s="252" t="s">
        <v>976</v>
      </c>
      <c r="J431" s="252" t="s">
        <v>96</v>
      </c>
      <c r="K431" s="252" t="s">
        <v>1137</v>
      </c>
      <c r="L431" s="252" t="s">
        <v>153</v>
      </c>
      <c r="M431" s="248"/>
      <c r="N431" s="248"/>
      <c r="O431" s="248"/>
    </row>
    <row r="432" spans="1:15" hidden="1">
      <c r="A432" s="258">
        <v>45727</v>
      </c>
      <c r="B432" s="248" t="s">
        <v>4818</v>
      </c>
      <c r="C432" s="254" t="s">
        <v>175</v>
      </c>
      <c r="D432" s="249" t="s">
        <v>440</v>
      </c>
      <c r="E432" s="259">
        <v>70000</v>
      </c>
      <c r="F432" s="250">
        <v>120.76336246605688</v>
      </c>
      <c r="G432" s="251">
        <v>579.64599999999996</v>
      </c>
      <c r="H432" s="252" t="s">
        <v>173</v>
      </c>
      <c r="I432" s="252" t="s">
        <v>995</v>
      </c>
      <c r="J432" s="252" t="s">
        <v>96</v>
      </c>
      <c r="K432" s="252" t="s">
        <v>1137</v>
      </c>
      <c r="L432" s="252" t="s">
        <v>153</v>
      </c>
      <c r="M432" s="248"/>
      <c r="N432" s="248"/>
      <c r="O432" s="248"/>
    </row>
    <row r="433" spans="1:15" hidden="1">
      <c r="A433" s="258">
        <v>45727</v>
      </c>
      <c r="B433" s="248" t="s">
        <v>4785</v>
      </c>
      <c r="C433" s="254" t="s">
        <v>172</v>
      </c>
      <c r="D433" s="249" t="s">
        <v>440</v>
      </c>
      <c r="E433" s="259">
        <v>6000</v>
      </c>
      <c r="F433" s="250">
        <v>10.351145354233447</v>
      </c>
      <c r="G433" s="251">
        <v>579.64599999999996</v>
      </c>
      <c r="H433" s="252" t="s">
        <v>173</v>
      </c>
      <c r="I433" s="252" t="s">
        <v>996</v>
      </c>
      <c r="J433" s="252" t="s">
        <v>96</v>
      </c>
      <c r="K433" s="252" t="s">
        <v>1137</v>
      </c>
      <c r="L433" s="252" t="s">
        <v>153</v>
      </c>
      <c r="M433" s="248"/>
      <c r="N433" s="248"/>
      <c r="O433" s="248"/>
    </row>
    <row r="434" spans="1:15" hidden="1">
      <c r="A434" s="258">
        <v>45727</v>
      </c>
      <c r="B434" s="248" t="s">
        <v>4811</v>
      </c>
      <c r="C434" s="254" t="s">
        <v>175</v>
      </c>
      <c r="D434" s="249" t="s">
        <v>440</v>
      </c>
      <c r="E434" s="259">
        <v>70000</v>
      </c>
      <c r="F434" s="250">
        <v>120.76336246605688</v>
      </c>
      <c r="G434" s="251">
        <v>579.64599999999996</v>
      </c>
      <c r="H434" s="252" t="s">
        <v>315</v>
      </c>
      <c r="I434" s="252" t="s">
        <v>1022</v>
      </c>
      <c r="J434" s="252" t="s">
        <v>96</v>
      </c>
      <c r="K434" s="252" t="s">
        <v>1137</v>
      </c>
      <c r="L434" s="252" t="s">
        <v>153</v>
      </c>
      <c r="M434" s="248"/>
      <c r="N434" s="248"/>
      <c r="O434" s="248"/>
    </row>
    <row r="435" spans="1:15" hidden="1">
      <c r="A435" s="258">
        <v>45727</v>
      </c>
      <c r="B435" s="248" t="s">
        <v>4749</v>
      </c>
      <c r="C435" s="254" t="s">
        <v>172</v>
      </c>
      <c r="D435" s="249" t="s">
        <v>440</v>
      </c>
      <c r="E435" s="259">
        <v>12000</v>
      </c>
      <c r="F435" s="250">
        <v>20.702290708466894</v>
      </c>
      <c r="G435" s="251">
        <v>579.64599999999996</v>
      </c>
      <c r="H435" s="252" t="s">
        <v>315</v>
      </c>
      <c r="I435" s="252" t="s">
        <v>1023</v>
      </c>
      <c r="J435" s="252" t="s">
        <v>96</v>
      </c>
      <c r="K435" s="252" t="s">
        <v>1137</v>
      </c>
      <c r="L435" s="252" t="s">
        <v>153</v>
      </c>
      <c r="M435" s="248"/>
      <c r="N435" s="248"/>
      <c r="O435" s="248"/>
    </row>
    <row r="436" spans="1:15" hidden="1">
      <c r="A436" s="258">
        <v>45727</v>
      </c>
      <c r="B436" s="248" t="s">
        <v>803</v>
      </c>
      <c r="C436" s="254" t="s">
        <v>124</v>
      </c>
      <c r="D436" s="248" t="s">
        <v>116</v>
      </c>
      <c r="E436" s="259">
        <v>72102</v>
      </c>
      <c r="F436" s="250">
        <v>124.38971372182333</v>
      </c>
      <c r="G436" s="251">
        <v>579.64599999999996</v>
      </c>
      <c r="H436" s="252" t="s">
        <v>191</v>
      </c>
      <c r="I436" s="252" t="s">
        <v>848</v>
      </c>
      <c r="J436" s="252" t="s">
        <v>96</v>
      </c>
      <c r="K436" s="252" t="s">
        <v>1137</v>
      </c>
      <c r="L436" s="252" t="s">
        <v>153</v>
      </c>
      <c r="M436" s="248"/>
      <c r="N436" s="248"/>
      <c r="O436" s="248"/>
    </row>
    <row r="437" spans="1:15" hidden="1">
      <c r="A437" s="282">
        <v>45727</v>
      </c>
      <c r="B437" s="248" t="s">
        <v>915</v>
      </c>
      <c r="C437" s="248" t="s">
        <v>123</v>
      </c>
      <c r="D437" s="248"/>
      <c r="E437" s="283">
        <v>2107400</v>
      </c>
      <c r="F437" s="284">
        <f t="shared" ref="F437" si="1">+E437/G437</f>
        <v>3635.6672865852611</v>
      </c>
      <c r="G437" s="248">
        <v>579.64599999999996</v>
      </c>
      <c r="H437" s="248" t="s">
        <v>146</v>
      </c>
      <c r="I437" s="248" t="s">
        <v>937</v>
      </c>
      <c r="J437" s="248" t="s">
        <v>96</v>
      </c>
      <c r="K437" s="248" t="s">
        <v>1136</v>
      </c>
      <c r="L437" s="248" t="s">
        <v>153</v>
      </c>
      <c r="M437" s="281"/>
      <c r="N437" s="248"/>
      <c r="O437" s="248"/>
    </row>
    <row r="438" spans="1:15" hidden="1">
      <c r="A438" s="258">
        <v>45727</v>
      </c>
      <c r="B438" s="248" t="s">
        <v>916</v>
      </c>
      <c r="C438" s="248" t="s">
        <v>126</v>
      </c>
      <c r="D438" s="248" t="s">
        <v>116</v>
      </c>
      <c r="E438" s="259">
        <v>24268</v>
      </c>
      <c r="F438" s="250">
        <v>41.866932576089546</v>
      </c>
      <c r="G438" s="251">
        <v>579.64599999999996</v>
      </c>
      <c r="H438" s="252" t="s">
        <v>146</v>
      </c>
      <c r="I438" s="252" t="s">
        <v>955</v>
      </c>
      <c r="J438" s="252" t="s">
        <v>96</v>
      </c>
      <c r="K438" s="252" t="s">
        <v>1137</v>
      </c>
      <c r="L438" s="252" t="s">
        <v>153</v>
      </c>
      <c r="M438" s="248"/>
      <c r="N438" s="248"/>
      <c r="O438" s="248"/>
    </row>
    <row r="439" spans="1:15" hidden="1">
      <c r="A439" s="258">
        <v>45727</v>
      </c>
      <c r="B439" s="248" t="s">
        <v>917</v>
      </c>
      <c r="C439" s="248" t="s">
        <v>125</v>
      </c>
      <c r="D439" s="248" t="s">
        <v>116</v>
      </c>
      <c r="E439" s="259">
        <v>398693</v>
      </c>
      <c r="F439" s="250">
        <v>687.82153245256598</v>
      </c>
      <c r="G439" s="260">
        <v>579.64599999999996</v>
      </c>
      <c r="H439" s="252" t="s">
        <v>146</v>
      </c>
      <c r="I439" s="252" t="s">
        <v>956</v>
      </c>
      <c r="J439" s="252" t="s">
        <v>96</v>
      </c>
      <c r="K439" s="256" t="s">
        <v>200</v>
      </c>
      <c r="L439" s="252" t="s">
        <v>153</v>
      </c>
      <c r="M439" s="248"/>
      <c r="N439" s="248"/>
      <c r="O439" s="248"/>
    </row>
    <row r="440" spans="1:15" hidden="1">
      <c r="A440" s="258">
        <v>45727</v>
      </c>
      <c r="B440" s="248" t="s">
        <v>918</v>
      </c>
      <c r="C440" s="248" t="s">
        <v>126</v>
      </c>
      <c r="D440" s="248" t="s">
        <v>116</v>
      </c>
      <c r="E440" s="259">
        <v>18255</v>
      </c>
      <c r="F440" s="250">
        <v>31.493359740255261</v>
      </c>
      <c r="G440" s="251">
        <v>579.64599999999996</v>
      </c>
      <c r="H440" s="252" t="s">
        <v>146</v>
      </c>
      <c r="I440" s="252" t="s">
        <v>957</v>
      </c>
      <c r="J440" s="252" t="s">
        <v>96</v>
      </c>
      <c r="K440" s="252" t="s">
        <v>1137</v>
      </c>
      <c r="L440" s="252" t="s">
        <v>153</v>
      </c>
      <c r="M440" s="248"/>
      <c r="N440" s="248"/>
      <c r="O440" s="248"/>
    </row>
    <row r="441" spans="1:15" hidden="1">
      <c r="A441" s="258">
        <v>45728</v>
      </c>
      <c r="B441" s="248" t="s">
        <v>1167</v>
      </c>
      <c r="C441" s="254" t="s">
        <v>1168</v>
      </c>
      <c r="D441" s="248" t="s">
        <v>116</v>
      </c>
      <c r="E441" s="259">
        <v>56550</v>
      </c>
      <c r="F441" s="250">
        <v>97.559544963650239</v>
      </c>
      <c r="G441" s="251">
        <v>579.64599999999996</v>
      </c>
      <c r="H441" s="252" t="s">
        <v>581</v>
      </c>
      <c r="I441" s="252" t="s">
        <v>851</v>
      </c>
      <c r="J441" s="252" t="s">
        <v>96</v>
      </c>
      <c r="K441" s="252" t="s">
        <v>1137</v>
      </c>
      <c r="L441" s="252" t="s">
        <v>153</v>
      </c>
      <c r="M441" s="248"/>
      <c r="N441" s="248"/>
      <c r="O441" s="248"/>
    </row>
    <row r="442" spans="1:15" hidden="1">
      <c r="A442" s="258">
        <v>45728</v>
      </c>
      <c r="B442" s="248" t="s">
        <v>805</v>
      </c>
      <c r="C442" s="248" t="s">
        <v>150</v>
      </c>
      <c r="D442" s="249" t="s">
        <v>115</v>
      </c>
      <c r="E442" s="259">
        <v>15000</v>
      </c>
      <c r="F442" s="250">
        <v>25.877863385583616</v>
      </c>
      <c r="G442" s="251">
        <v>579.64599999999996</v>
      </c>
      <c r="H442" s="252" t="s">
        <v>581</v>
      </c>
      <c r="I442" s="252" t="s">
        <v>852</v>
      </c>
      <c r="J442" s="252" t="s">
        <v>96</v>
      </c>
      <c r="K442" s="252" t="s">
        <v>1137</v>
      </c>
      <c r="L442" s="252" t="s">
        <v>153</v>
      </c>
      <c r="M442" s="248"/>
      <c r="N442" s="248"/>
      <c r="O442" s="248"/>
    </row>
    <row r="443" spans="1:15" hidden="1">
      <c r="A443" s="258">
        <v>45728</v>
      </c>
      <c r="B443" s="248" t="s">
        <v>4753</v>
      </c>
      <c r="C443" s="254" t="s">
        <v>175</v>
      </c>
      <c r="D443" s="249" t="s">
        <v>440</v>
      </c>
      <c r="E443" s="259">
        <v>15000</v>
      </c>
      <c r="F443" s="250">
        <v>25.877863385583616</v>
      </c>
      <c r="G443" s="251">
        <v>579.64599999999996</v>
      </c>
      <c r="H443" s="252" t="s">
        <v>173</v>
      </c>
      <c r="I443" s="252" t="s">
        <v>997</v>
      </c>
      <c r="J443" s="252" t="s">
        <v>96</v>
      </c>
      <c r="K443" s="252" t="s">
        <v>1137</v>
      </c>
      <c r="L443" s="252" t="s">
        <v>153</v>
      </c>
      <c r="M443" s="248"/>
      <c r="N443" s="248"/>
      <c r="O443" s="248"/>
    </row>
    <row r="444" spans="1:15" hidden="1">
      <c r="A444" s="258">
        <v>45728</v>
      </c>
      <c r="B444" s="248" t="s">
        <v>4794</v>
      </c>
      <c r="C444" s="254" t="s">
        <v>172</v>
      </c>
      <c r="D444" s="249" t="s">
        <v>440</v>
      </c>
      <c r="E444" s="259">
        <v>4000</v>
      </c>
      <c r="F444" s="250">
        <v>6.9007635694889649</v>
      </c>
      <c r="G444" s="251">
        <v>579.64599999999996</v>
      </c>
      <c r="H444" s="252" t="s">
        <v>173</v>
      </c>
      <c r="I444" s="252" t="s">
        <v>998</v>
      </c>
      <c r="J444" s="252" t="s">
        <v>96</v>
      </c>
      <c r="K444" s="252" t="s">
        <v>1137</v>
      </c>
      <c r="L444" s="252" t="s">
        <v>153</v>
      </c>
      <c r="M444" s="248"/>
      <c r="N444" s="248"/>
      <c r="O444" s="248"/>
    </row>
    <row r="445" spans="1:15" hidden="1">
      <c r="A445" s="258">
        <v>45728</v>
      </c>
      <c r="B445" s="248" t="s">
        <v>1151</v>
      </c>
      <c r="C445" s="254" t="s">
        <v>1168</v>
      </c>
      <c r="D445" s="248" t="s">
        <v>116</v>
      </c>
      <c r="E445" s="259">
        <v>25000</v>
      </c>
      <c r="F445" s="250">
        <v>43.129772309306027</v>
      </c>
      <c r="G445" s="251">
        <v>579.64599999999996</v>
      </c>
      <c r="H445" s="252" t="s">
        <v>191</v>
      </c>
      <c r="I445" s="252" t="s">
        <v>850</v>
      </c>
      <c r="J445" s="252" t="s">
        <v>96</v>
      </c>
      <c r="K445" s="252" t="s">
        <v>1137</v>
      </c>
      <c r="L445" s="252" t="s">
        <v>153</v>
      </c>
      <c r="M445" s="248"/>
      <c r="N445" s="248"/>
      <c r="O445" s="248"/>
    </row>
    <row r="446" spans="1:15" hidden="1">
      <c r="A446" s="258">
        <v>45729</v>
      </c>
      <c r="B446" s="248" t="s">
        <v>552</v>
      </c>
      <c r="C446" s="255" t="s">
        <v>2090</v>
      </c>
      <c r="D446" s="248" t="s">
        <v>116</v>
      </c>
      <c r="E446" s="259">
        <v>1740</v>
      </c>
      <c r="F446" s="250">
        <v>3.0018321527276997</v>
      </c>
      <c r="G446" s="251">
        <v>579.64599999999996</v>
      </c>
      <c r="H446" s="252" t="s">
        <v>191</v>
      </c>
      <c r="I446" s="252" t="s">
        <v>853</v>
      </c>
      <c r="J446" s="252" t="s">
        <v>96</v>
      </c>
      <c r="K446" s="252" t="s">
        <v>1137</v>
      </c>
      <c r="L446" s="252" t="s">
        <v>153</v>
      </c>
      <c r="M446" s="248"/>
      <c r="N446" s="248"/>
      <c r="O446" s="248"/>
    </row>
    <row r="447" spans="1:15" hidden="1">
      <c r="A447" s="258">
        <v>45730</v>
      </c>
      <c r="B447" s="248" t="s">
        <v>4754</v>
      </c>
      <c r="C447" s="254" t="s">
        <v>175</v>
      </c>
      <c r="D447" s="249" t="s">
        <v>440</v>
      </c>
      <c r="E447" s="259">
        <v>30000</v>
      </c>
      <c r="F447" s="250">
        <v>51.755726771167232</v>
      </c>
      <c r="G447" s="251">
        <v>579.64599999999996</v>
      </c>
      <c r="H447" s="252" t="s">
        <v>173</v>
      </c>
      <c r="I447" s="252" t="s">
        <v>999</v>
      </c>
      <c r="J447" s="252" t="s">
        <v>96</v>
      </c>
      <c r="K447" s="252" t="s">
        <v>1137</v>
      </c>
      <c r="L447" s="252" t="s">
        <v>153</v>
      </c>
      <c r="M447" s="248"/>
      <c r="N447" s="248"/>
      <c r="O447" s="248"/>
    </row>
    <row r="448" spans="1:15" hidden="1">
      <c r="A448" s="258">
        <v>45730</v>
      </c>
      <c r="B448" s="248" t="s">
        <v>4794</v>
      </c>
      <c r="C448" s="254" t="s">
        <v>172</v>
      </c>
      <c r="D448" s="249" t="s">
        <v>440</v>
      </c>
      <c r="E448" s="259">
        <v>4000</v>
      </c>
      <c r="F448" s="250">
        <v>6.9007635694889649</v>
      </c>
      <c r="G448" s="251">
        <v>579.64599999999996</v>
      </c>
      <c r="H448" s="252" t="s">
        <v>173</v>
      </c>
      <c r="I448" s="252" t="s">
        <v>1000</v>
      </c>
      <c r="J448" s="252" t="s">
        <v>96</v>
      </c>
      <c r="K448" s="252" t="s">
        <v>1137</v>
      </c>
      <c r="L448" s="252" t="s">
        <v>153</v>
      </c>
      <c r="M448" s="248"/>
      <c r="N448" s="248"/>
      <c r="O448" s="248"/>
    </row>
    <row r="449" spans="1:15" hidden="1">
      <c r="A449" s="258">
        <v>45730</v>
      </c>
      <c r="B449" s="248" t="s">
        <v>919</v>
      </c>
      <c r="C449" s="248" t="s">
        <v>121</v>
      </c>
      <c r="D449" s="249" t="s">
        <v>115</v>
      </c>
      <c r="E449" s="259">
        <v>300000</v>
      </c>
      <c r="F449" s="250">
        <v>517.55726771167235</v>
      </c>
      <c r="G449" s="260">
        <v>579.64599999999996</v>
      </c>
      <c r="H449" s="252" t="s">
        <v>146</v>
      </c>
      <c r="I449" s="252" t="s">
        <v>958</v>
      </c>
      <c r="J449" s="252" t="s">
        <v>96</v>
      </c>
      <c r="K449" s="256" t="s">
        <v>200</v>
      </c>
      <c r="L449" s="252" t="s">
        <v>153</v>
      </c>
      <c r="M449" s="248"/>
      <c r="N449" s="248"/>
      <c r="O449" s="248"/>
    </row>
    <row r="450" spans="1:15" hidden="1">
      <c r="A450" s="258">
        <v>45730</v>
      </c>
      <c r="B450" s="248" t="s">
        <v>920</v>
      </c>
      <c r="C450" s="248" t="s">
        <v>121</v>
      </c>
      <c r="D450" s="249" t="s">
        <v>115</v>
      </c>
      <c r="E450" s="259">
        <v>200000</v>
      </c>
      <c r="F450" s="250">
        <v>345.03817847444822</v>
      </c>
      <c r="G450" s="260">
        <v>579.64599999999996</v>
      </c>
      <c r="H450" s="252" t="s">
        <v>146</v>
      </c>
      <c r="I450" s="252" t="s">
        <v>959</v>
      </c>
      <c r="J450" s="252" t="s">
        <v>96</v>
      </c>
      <c r="K450" s="256" t="s">
        <v>200</v>
      </c>
      <c r="L450" s="252" t="s">
        <v>153</v>
      </c>
      <c r="M450" s="248"/>
      <c r="N450" s="248"/>
      <c r="O450" s="248"/>
    </row>
    <row r="451" spans="1:15" hidden="1">
      <c r="A451" s="258">
        <v>45731</v>
      </c>
      <c r="B451" s="248" t="s">
        <v>4754</v>
      </c>
      <c r="C451" s="254" t="s">
        <v>175</v>
      </c>
      <c r="D451" s="249" t="s">
        <v>440</v>
      </c>
      <c r="E451" s="259">
        <v>15000</v>
      </c>
      <c r="F451" s="250">
        <v>25.877863385583616</v>
      </c>
      <c r="G451" s="251">
        <v>579.64599999999996</v>
      </c>
      <c r="H451" s="252" t="s">
        <v>173</v>
      </c>
      <c r="I451" s="252" t="s">
        <v>1001</v>
      </c>
      <c r="J451" s="252" t="s">
        <v>96</v>
      </c>
      <c r="K451" s="252" t="s">
        <v>1137</v>
      </c>
      <c r="L451" s="252" t="s">
        <v>153</v>
      </c>
      <c r="M451" s="248"/>
      <c r="N451" s="248"/>
      <c r="O451" s="248"/>
    </row>
    <row r="452" spans="1:15" hidden="1">
      <c r="A452" s="258">
        <v>45731</v>
      </c>
      <c r="B452" s="248" t="s">
        <v>4794</v>
      </c>
      <c r="C452" s="254" t="s">
        <v>172</v>
      </c>
      <c r="D452" s="249" t="s">
        <v>440</v>
      </c>
      <c r="E452" s="259">
        <v>4000</v>
      </c>
      <c r="F452" s="250">
        <v>6.9007635694889649</v>
      </c>
      <c r="G452" s="251">
        <v>579.64599999999996</v>
      </c>
      <c r="H452" s="252" t="s">
        <v>173</v>
      </c>
      <c r="I452" s="252" t="s">
        <v>1002</v>
      </c>
      <c r="J452" s="252" t="s">
        <v>96</v>
      </c>
      <c r="K452" s="252" t="s">
        <v>1137</v>
      </c>
      <c r="L452" s="252" t="s">
        <v>153</v>
      </c>
      <c r="M452" s="248"/>
      <c r="N452" s="248"/>
      <c r="O452" s="248"/>
    </row>
    <row r="453" spans="1:15" hidden="1">
      <c r="A453" s="258">
        <v>45732</v>
      </c>
      <c r="B453" s="248" t="s">
        <v>1117</v>
      </c>
      <c r="C453" s="254" t="s">
        <v>172</v>
      </c>
      <c r="D453" s="249" t="s">
        <v>115</v>
      </c>
      <c r="E453" s="259">
        <v>10000</v>
      </c>
      <c r="F453" s="250">
        <v>17.251908923722411</v>
      </c>
      <c r="G453" s="251">
        <v>579.64599999999996</v>
      </c>
      <c r="H453" s="252" t="s">
        <v>198</v>
      </c>
      <c r="I453" s="252" t="s">
        <v>1141</v>
      </c>
      <c r="J453" s="252" t="s">
        <v>96</v>
      </c>
      <c r="K453" s="252" t="s">
        <v>1137</v>
      </c>
      <c r="L453" s="252" t="s">
        <v>153</v>
      </c>
      <c r="M453" s="248"/>
      <c r="N453" s="248"/>
      <c r="O453" s="248"/>
    </row>
    <row r="454" spans="1:15" hidden="1">
      <c r="A454" s="258">
        <v>45732</v>
      </c>
      <c r="B454" s="248" t="s">
        <v>4819</v>
      </c>
      <c r="C454" s="254" t="s">
        <v>175</v>
      </c>
      <c r="D454" s="249" t="s">
        <v>440</v>
      </c>
      <c r="E454" s="259">
        <v>75000</v>
      </c>
      <c r="F454" s="250">
        <v>129.38931692791809</v>
      </c>
      <c r="G454" s="251">
        <v>579.64599999999996</v>
      </c>
      <c r="H454" s="252" t="s">
        <v>315</v>
      </c>
      <c r="I454" s="252" t="s">
        <v>1024</v>
      </c>
      <c r="J454" s="252" t="s">
        <v>96</v>
      </c>
      <c r="K454" s="252" t="s">
        <v>1137</v>
      </c>
      <c r="L454" s="252" t="s">
        <v>153</v>
      </c>
      <c r="M454" s="248"/>
      <c r="N454" s="248"/>
      <c r="O454" s="248"/>
    </row>
    <row r="455" spans="1:15" hidden="1">
      <c r="A455" s="258">
        <v>45732</v>
      </c>
      <c r="B455" s="248" t="s">
        <v>4749</v>
      </c>
      <c r="C455" s="254" t="s">
        <v>172</v>
      </c>
      <c r="D455" s="249" t="s">
        <v>440</v>
      </c>
      <c r="E455" s="259">
        <v>7000</v>
      </c>
      <c r="F455" s="250">
        <v>12.076336246605688</v>
      </c>
      <c r="G455" s="251">
        <v>579.64599999999996</v>
      </c>
      <c r="H455" s="252" t="s">
        <v>315</v>
      </c>
      <c r="I455" s="252" t="s">
        <v>1025</v>
      </c>
      <c r="J455" s="252" t="s">
        <v>96</v>
      </c>
      <c r="K455" s="252" t="s">
        <v>1137</v>
      </c>
      <c r="L455" s="252" t="s">
        <v>153</v>
      </c>
      <c r="M455" s="248"/>
      <c r="N455" s="248"/>
      <c r="O455" s="248"/>
    </row>
    <row r="456" spans="1:15" hidden="1">
      <c r="A456" s="258">
        <v>45732</v>
      </c>
      <c r="B456" s="248" t="s">
        <v>1049</v>
      </c>
      <c r="C456" s="254" t="s">
        <v>172</v>
      </c>
      <c r="D456" s="249" t="s">
        <v>115</v>
      </c>
      <c r="E456" s="259">
        <v>10000</v>
      </c>
      <c r="F456" s="250">
        <v>17.251908923722411</v>
      </c>
      <c r="G456" s="251">
        <v>579.64599999999996</v>
      </c>
      <c r="H456" s="252" t="s">
        <v>185</v>
      </c>
      <c r="I456" s="252" t="s">
        <v>1050</v>
      </c>
      <c r="J456" s="252" t="s">
        <v>96</v>
      </c>
      <c r="K456" s="252" t="s">
        <v>1137</v>
      </c>
      <c r="L456" s="252" t="s">
        <v>153</v>
      </c>
      <c r="M456" s="248"/>
      <c r="N456" s="248"/>
      <c r="O456" s="248"/>
    </row>
    <row r="457" spans="1:15" hidden="1">
      <c r="A457" s="258">
        <v>45732</v>
      </c>
      <c r="B457" s="248" t="s">
        <v>1157</v>
      </c>
      <c r="C457" s="254" t="s">
        <v>172</v>
      </c>
      <c r="D457" s="249" t="s">
        <v>115</v>
      </c>
      <c r="E457" s="259">
        <v>10000</v>
      </c>
      <c r="F457" s="250">
        <v>17.251908923722411</v>
      </c>
      <c r="G457" s="251">
        <v>579.64599999999996</v>
      </c>
      <c r="H457" s="252" t="s">
        <v>188</v>
      </c>
      <c r="I457" s="252" t="s">
        <v>1070</v>
      </c>
      <c r="J457" s="252" t="s">
        <v>96</v>
      </c>
      <c r="K457" s="252" t="s">
        <v>1137</v>
      </c>
      <c r="L457" s="252" t="s">
        <v>153</v>
      </c>
      <c r="M457" s="248"/>
      <c r="N457" s="248"/>
      <c r="O457" s="248"/>
    </row>
    <row r="458" spans="1:15" hidden="1">
      <c r="A458" s="258">
        <v>45732</v>
      </c>
      <c r="B458" s="248" t="s">
        <v>1090</v>
      </c>
      <c r="C458" s="254" t="s">
        <v>172</v>
      </c>
      <c r="D458" s="249" t="s">
        <v>115</v>
      </c>
      <c r="E458" s="259">
        <v>10000</v>
      </c>
      <c r="F458" s="250">
        <v>17.251908923722411</v>
      </c>
      <c r="G458" s="251">
        <v>579.64599999999996</v>
      </c>
      <c r="H458" s="252" t="s">
        <v>195</v>
      </c>
      <c r="I458" s="252" t="s">
        <v>1091</v>
      </c>
      <c r="J458" s="252" t="s">
        <v>96</v>
      </c>
      <c r="K458" s="252" t="s">
        <v>1137</v>
      </c>
      <c r="L458" s="252" t="s">
        <v>153</v>
      </c>
      <c r="M458" s="248"/>
      <c r="N458" s="248"/>
      <c r="O458" s="248"/>
    </row>
    <row r="459" spans="1:15" hidden="1">
      <c r="A459" s="258">
        <v>45732</v>
      </c>
      <c r="B459" s="248" t="s">
        <v>1158</v>
      </c>
      <c r="C459" s="254" t="s">
        <v>172</v>
      </c>
      <c r="D459" s="248" t="s">
        <v>2091</v>
      </c>
      <c r="E459" s="259">
        <v>10000</v>
      </c>
      <c r="F459" s="250">
        <v>17.251908923722411</v>
      </c>
      <c r="G459" s="251">
        <v>579.64599999999996</v>
      </c>
      <c r="H459" s="252" t="s">
        <v>211</v>
      </c>
      <c r="I459" s="252" t="s">
        <v>1103</v>
      </c>
      <c r="J459" s="252" t="s">
        <v>96</v>
      </c>
      <c r="K459" s="252" t="s">
        <v>1137</v>
      </c>
      <c r="L459" s="252" t="s">
        <v>153</v>
      </c>
      <c r="M459" s="248"/>
      <c r="N459" s="248"/>
      <c r="O459" s="248"/>
    </row>
    <row r="460" spans="1:15" hidden="1">
      <c r="A460" s="258">
        <v>45733</v>
      </c>
      <c r="B460" s="248" t="s">
        <v>1118</v>
      </c>
      <c r="C460" s="254" t="s">
        <v>175</v>
      </c>
      <c r="D460" s="248" t="s">
        <v>2091</v>
      </c>
      <c r="E460" s="259">
        <v>190000</v>
      </c>
      <c r="F460" s="250">
        <v>327.78626955072582</v>
      </c>
      <c r="G460" s="260">
        <v>579.64599999999996</v>
      </c>
      <c r="H460" s="252" t="s">
        <v>198</v>
      </c>
      <c r="I460" s="252" t="s">
        <v>1119</v>
      </c>
      <c r="J460" s="252" t="s">
        <v>96</v>
      </c>
      <c r="K460" s="256" t="s">
        <v>200</v>
      </c>
      <c r="L460" s="252" t="s">
        <v>153</v>
      </c>
      <c r="M460" s="248"/>
      <c r="N460" s="248"/>
      <c r="O460" s="248"/>
    </row>
    <row r="461" spans="1:15" hidden="1">
      <c r="A461" s="258">
        <v>45733</v>
      </c>
      <c r="B461" s="248" t="s">
        <v>806</v>
      </c>
      <c r="C461" s="255" t="s">
        <v>2090</v>
      </c>
      <c r="D461" s="248" t="s">
        <v>116</v>
      </c>
      <c r="E461" s="259">
        <v>12690</v>
      </c>
      <c r="F461" s="250">
        <v>21.892672424203738</v>
      </c>
      <c r="G461" s="251">
        <v>579.64599999999996</v>
      </c>
      <c r="H461" s="252" t="s">
        <v>581</v>
      </c>
      <c r="I461" s="252" t="s">
        <v>854</v>
      </c>
      <c r="J461" s="252" t="s">
        <v>96</v>
      </c>
      <c r="K461" s="252" t="s">
        <v>1137</v>
      </c>
      <c r="L461" s="252" t="s">
        <v>153</v>
      </c>
      <c r="M461" s="248"/>
      <c r="N461" s="248"/>
      <c r="O461" s="248"/>
    </row>
    <row r="462" spans="1:15" hidden="1">
      <c r="A462" s="258">
        <v>45733</v>
      </c>
      <c r="B462" s="248" t="s">
        <v>807</v>
      </c>
      <c r="C462" s="248" t="s">
        <v>150</v>
      </c>
      <c r="D462" s="248" t="s">
        <v>117</v>
      </c>
      <c r="E462" s="259">
        <v>20000</v>
      </c>
      <c r="F462" s="250">
        <v>34.503817847444822</v>
      </c>
      <c r="G462" s="251">
        <v>579.64599999999996</v>
      </c>
      <c r="H462" s="252" t="s">
        <v>581</v>
      </c>
      <c r="I462" s="252" t="s">
        <v>855</v>
      </c>
      <c r="J462" s="252" t="s">
        <v>96</v>
      </c>
      <c r="K462" s="252" t="s">
        <v>1137</v>
      </c>
      <c r="L462" s="252" t="s">
        <v>153</v>
      </c>
      <c r="M462" s="248"/>
      <c r="N462" s="248"/>
      <c r="O462" s="248"/>
    </row>
    <row r="463" spans="1:15" hidden="1">
      <c r="A463" s="258">
        <v>45733</v>
      </c>
      <c r="B463" s="248" t="s">
        <v>808</v>
      </c>
      <c r="C463" s="248" t="s">
        <v>150</v>
      </c>
      <c r="D463" s="249" t="s">
        <v>115</v>
      </c>
      <c r="E463" s="259">
        <v>30000</v>
      </c>
      <c r="F463" s="250">
        <v>51.755726771167232</v>
      </c>
      <c r="G463" s="251">
        <v>579.64599999999996</v>
      </c>
      <c r="H463" s="252" t="s">
        <v>581</v>
      </c>
      <c r="I463" s="252" t="s">
        <v>856</v>
      </c>
      <c r="J463" s="252" t="s">
        <v>96</v>
      </c>
      <c r="K463" s="252" t="s">
        <v>1137</v>
      </c>
      <c r="L463" s="252" t="s">
        <v>153</v>
      </c>
      <c r="M463" s="248"/>
      <c r="N463" s="248"/>
      <c r="O463" s="248"/>
    </row>
    <row r="464" spans="1:15" hidden="1">
      <c r="A464" s="258">
        <v>45733</v>
      </c>
      <c r="B464" s="248" t="s">
        <v>809</v>
      </c>
      <c r="C464" s="248" t="s">
        <v>150</v>
      </c>
      <c r="D464" s="249" t="s">
        <v>440</v>
      </c>
      <c r="E464" s="259">
        <v>55000</v>
      </c>
      <c r="F464" s="250">
        <v>94.885499080473267</v>
      </c>
      <c r="G464" s="251">
        <v>579.64599999999996</v>
      </c>
      <c r="H464" s="252" t="s">
        <v>581</v>
      </c>
      <c r="I464" s="252" t="s">
        <v>857</v>
      </c>
      <c r="J464" s="252" t="s">
        <v>96</v>
      </c>
      <c r="K464" s="252" t="s">
        <v>1137</v>
      </c>
      <c r="L464" s="252" t="s">
        <v>153</v>
      </c>
      <c r="M464" s="248"/>
      <c r="N464" s="248"/>
      <c r="O464" s="248"/>
    </row>
    <row r="465" spans="1:15" hidden="1">
      <c r="A465" s="258">
        <v>45733</v>
      </c>
      <c r="B465" s="248" t="s">
        <v>810</v>
      </c>
      <c r="C465" s="248" t="s">
        <v>150</v>
      </c>
      <c r="D465" s="248" t="s">
        <v>118</v>
      </c>
      <c r="E465" s="259">
        <v>10000</v>
      </c>
      <c r="F465" s="250">
        <v>17.251908923722411</v>
      </c>
      <c r="G465" s="251">
        <v>579.64599999999996</v>
      </c>
      <c r="H465" s="252" t="s">
        <v>581</v>
      </c>
      <c r="I465" s="252" t="s">
        <v>858</v>
      </c>
      <c r="J465" s="252" t="s">
        <v>96</v>
      </c>
      <c r="K465" s="252" t="s">
        <v>1137</v>
      </c>
      <c r="L465" s="252" t="s">
        <v>153</v>
      </c>
      <c r="M465" s="248"/>
      <c r="N465" s="248"/>
      <c r="O465" s="248"/>
    </row>
    <row r="466" spans="1:15" hidden="1">
      <c r="A466" s="258">
        <v>45733</v>
      </c>
      <c r="B466" s="248" t="s">
        <v>811</v>
      </c>
      <c r="C466" s="248" t="s">
        <v>150</v>
      </c>
      <c r="D466" s="249" t="s">
        <v>115</v>
      </c>
      <c r="E466" s="259">
        <v>10000</v>
      </c>
      <c r="F466" s="250">
        <v>17.251908923722411</v>
      </c>
      <c r="G466" s="251">
        <v>579.64599999999996</v>
      </c>
      <c r="H466" s="252" t="s">
        <v>581</v>
      </c>
      <c r="I466" s="252" t="s">
        <v>859</v>
      </c>
      <c r="J466" s="252" t="s">
        <v>96</v>
      </c>
      <c r="K466" s="252" t="s">
        <v>1137</v>
      </c>
      <c r="L466" s="252" t="s">
        <v>153</v>
      </c>
      <c r="M466" s="248"/>
      <c r="N466" s="248"/>
      <c r="O466" s="248"/>
    </row>
    <row r="467" spans="1:15" hidden="1">
      <c r="A467" s="258">
        <v>45733</v>
      </c>
      <c r="B467" s="248" t="s">
        <v>812</v>
      </c>
      <c r="C467" s="248" t="s">
        <v>150</v>
      </c>
      <c r="D467" s="249" t="s">
        <v>440</v>
      </c>
      <c r="E467" s="259">
        <v>5000</v>
      </c>
      <c r="F467" s="250">
        <v>8.6259544618612054</v>
      </c>
      <c r="G467" s="251">
        <v>579.64599999999996</v>
      </c>
      <c r="H467" s="252" t="s">
        <v>581</v>
      </c>
      <c r="I467" s="252" t="s">
        <v>860</v>
      </c>
      <c r="J467" s="252" t="s">
        <v>96</v>
      </c>
      <c r="K467" s="252" t="s">
        <v>1137</v>
      </c>
      <c r="L467" s="252" t="s">
        <v>153</v>
      </c>
      <c r="M467" s="248"/>
      <c r="N467" s="248"/>
      <c r="O467" s="248"/>
    </row>
    <row r="468" spans="1:15" hidden="1">
      <c r="A468" s="258">
        <v>45733</v>
      </c>
      <c r="B468" s="248" t="s">
        <v>1051</v>
      </c>
      <c r="C468" s="254" t="s">
        <v>175</v>
      </c>
      <c r="D468" s="249" t="s">
        <v>115</v>
      </c>
      <c r="E468" s="259">
        <v>120000</v>
      </c>
      <c r="F468" s="250">
        <v>207.02290708466893</v>
      </c>
      <c r="G468" s="251">
        <v>579.64599999999996</v>
      </c>
      <c r="H468" s="252" t="s">
        <v>185</v>
      </c>
      <c r="I468" s="252" t="s">
        <v>1052</v>
      </c>
      <c r="J468" s="252" t="s">
        <v>96</v>
      </c>
      <c r="K468" s="252" t="s">
        <v>1137</v>
      </c>
      <c r="L468" s="252" t="s">
        <v>153</v>
      </c>
      <c r="M468" s="248"/>
      <c r="N468" s="248"/>
      <c r="O468" s="248"/>
    </row>
    <row r="469" spans="1:15" hidden="1">
      <c r="A469" s="258">
        <v>45733</v>
      </c>
      <c r="B469" s="248" t="s">
        <v>1071</v>
      </c>
      <c r="C469" s="254" t="s">
        <v>175</v>
      </c>
      <c r="D469" s="248" t="s">
        <v>2091</v>
      </c>
      <c r="E469" s="259">
        <v>90000</v>
      </c>
      <c r="F469" s="250">
        <v>155.26718031350171</v>
      </c>
      <c r="G469" s="251">
        <v>579.64599999999996</v>
      </c>
      <c r="H469" s="252" t="s">
        <v>188</v>
      </c>
      <c r="I469" s="252" t="s">
        <v>1072</v>
      </c>
      <c r="J469" s="252" t="s">
        <v>96</v>
      </c>
      <c r="K469" s="252" t="s">
        <v>1137</v>
      </c>
      <c r="L469" s="252" t="s">
        <v>153</v>
      </c>
      <c r="M469" s="248"/>
      <c r="N469" s="248"/>
      <c r="O469" s="248"/>
    </row>
    <row r="470" spans="1:15" hidden="1">
      <c r="A470" s="258">
        <v>45733</v>
      </c>
      <c r="B470" s="248" t="s">
        <v>1092</v>
      </c>
      <c r="C470" s="254" t="s">
        <v>175</v>
      </c>
      <c r="D470" s="249" t="s">
        <v>115</v>
      </c>
      <c r="E470" s="259">
        <v>190000</v>
      </c>
      <c r="F470" s="250">
        <v>327.78626955072582</v>
      </c>
      <c r="G470" s="260">
        <v>579.64599999999996</v>
      </c>
      <c r="H470" s="252" t="s">
        <v>195</v>
      </c>
      <c r="I470" s="252" t="s">
        <v>1093</v>
      </c>
      <c r="J470" s="252" t="s">
        <v>96</v>
      </c>
      <c r="K470" s="256" t="s">
        <v>200</v>
      </c>
      <c r="L470" s="252" t="s">
        <v>153</v>
      </c>
      <c r="M470" s="248"/>
      <c r="N470" s="248"/>
      <c r="O470" s="248"/>
    </row>
    <row r="471" spans="1:15" hidden="1">
      <c r="A471" s="258">
        <v>45733</v>
      </c>
      <c r="B471" s="248" t="s">
        <v>1104</v>
      </c>
      <c r="C471" s="254" t="s">
        <v>175</v>
      </c>
      <c r="D471" s="248" t="s">
        <v>2091</v>
      </c>
      <c r="E471" s="259">
        <v>90000</v>
      </c>
      <c r="F471" s="250">
        <v>155.26718031350171</v>
      </c>
      <c r="G471" s="251">
        <v>579.64599999999996</v>
      </c>
      <c r="H471" s="252" t="s">
        <v>211</v>
      </c>
      <c r="I471" s="252" t="s">
        <v>1105</v>
      </c>
      <c r="J471" s="252" t="s">
        <v>96</v>
      </c>
      <c r="K471" s="252" t="s">
        <v>1137</v>
      </c>
      <c r="L471" s="252" t="s">
        <v>153</v>
      </c>
      <c r="M471" s="248"/>
      <c r="N471" s="248"/>
      <c r="O471" s="248"/>
    </row>
    <row r="472" spans="1:15" hidden="1">
      <c r="A472" s="258">
        <v>45734</v>
      </c>
      <c r="B472" s="248" t="s">
        <v>4753</v>
      </c>
      <c r="C472" s="254" t="s">
        <v>175</v>
      </c>
      <c r="D472" s="249" t="s">
        <v>440</v>
      </c>
      <c r="E472" s="259">
        <v>45000</v>
      </c>
      <c r="F472" s="250">
        <v>77.633590156750856</v>
      </c>
      <c r="G472" s="251">
        <v>579.64599999999996</v>
      </c>
      <c r="H472" s="252" t="s">
        <v>173</v>
      </c>
      <c r="I472" s="252" t="s">
        <v>1003</v>
      </c>
      <c r="J472" s="252" t="s">
        <v>96</v>
      </c>
      <c r="K472" s="252" t="s">
        <v>1137</v>
      </c>
      <c r="L472" s="252" t="s">
        <v>153</v>
      </c>
      <c r="M472" s="248"/>
      <c r="N472" s="248"/>
      <c r="O472" s="248"/>
    </row>
    <row r="473" spans="1:15" hidden="1">
      <c r="A473" s="258">
        <v>45734</v>
      </c>
      <c r="B473" s="248" t="s">
        <v>4785</v>
      </c>
      <c r="C473" s="254" t="s">
        <v>172</v>
      </c>
      <c r="D473" s="249" t="s">
        <v>440</v>
      </c>
      <c r="E473" s="259">
        <v>6000</v>
      </c>
      <c r="F473" s="250">
        <v>10.351145354233447</v>
      </c>
      <c r="G473" s="251">
        <v>579.64599999999996</v>
      </c>
      <c r="H473" s="252" t="s">
        <v>173</v>
      </c>
      <c r="I473" s="252" t="s">
        <v>1004</v>
      </c>
      <c r="J473" s="252" t="s">
        <v>96</v>
      </c>
      <c r="K473" s="252" t="s">
        <v>1137</v>
      </c>
      <c r="L473" s="252" t="s">
        <v>153</v>
      </c>
      <c r="M473" s="248"/>
      <c r="N473" s="248"/>
      <c r="O473" s="248"/>
    </row>
    <row r="474" spans="1:15" hidden="1">
      <c r="A474" s="258">
        <v>45734</v>
      </c>
      <c r="B474" s="248" t="s">
        <v>4820</v>
      </c>
      <c r="C474" s="254" t="s">
        <v>175</v>
      </c>
      <c r="D474" s="249" t="s">
        <v>440</v>
      </c>
      <c r="E474" s="259">
        <v>30000</v>
      </c>
      <c r="F474" s="250">
        <v>51.755726771167232</v>
      </c>
      <c r="G474" s="260">
        <v>579.64599999999996</v>
      </c>
      <c r="H474" s="252" t="s">
        <v>315</v>
      </c>
      <c r="I474" s="252" t="s">
        <v>1026</v>
      </c>
      <c r="J474" s="252" t="s">
        <v>96</v>
      </c>
      <c r="K474" s="256" t="s">
        <v>200</v>
      </c>
      <c r="L474" s="252" t="s">
        <v>153</v>
      </c>
      <c r="M474" s="248"/>
      <c r="N474" s="248"/>
      <c r="O474" s="248"/>
    </row>
    <row r="475" spans="1:15" hidden="1">
      <c r="A475" s="258">
        <v>45734</v>
      </c>
      <c r="B475" s="248" t="s">
        <v>4797</v>
      </c>
      <c r="C475" s="254" t="s">
        <v>172</v>
      </c>
      <c r="D475" s="249" t="s">
        <v>440</v>
      </c>
      <c r="E475" s="259">
        <v>7000</v>
      </c>
      <c r="F475" s="250">
        <v>12.076336246605688</v>
      </c>
      <c r="G475" s="260">
        <v>579.64599999999996</v>
      </c>
      <c r="H475" s="252" t="s">
        <v>315</v>
      </c>
      <c r="I475" s="252" t="s">
        <v>1027</v>
      </c>
      <c r="J475" s="252" t="s">
        <v>96</v>
      </c>
      <c r="K475" s="256" t="s">
        <v>200</v>
      </c>
      <c r="L475" s="252" t="s">
        <v>153</v>
      </c>
      <c r="M475" s="248"/>
      <c r="N475" s="248"/>
      <c r="O475" s="248"/>
    </row>
    <row r="476" spans="1:15" hidden="1">
      <c r="A476" s="258">
        <v>45734</v>
      </c>
      <c r="B476" s="248" t="s">
        <v>1082</v>
      </c>
      <c r="C476" s="254" t="s">
        <v>172</v>
      </c>
      <c r="D476" s="249" t="s">
        <v>115</v>
      </c>
      <c r="E476" s="259">
        <v>7000</v>
      </c>
      <c r="F476" s="250">
        <v>12.076336246605688</v>
      </c>
      <c r="G476" s="260">
        <v>579.64599999999996</v>
      </c>
      <c r="H476" s="252" t="s">
        <v>191</v>
      </c>
      <c r="I476" s="252" t="s">
        <v>1083</v>
      </c>
      <c r="J476" s="252" t="s">
        <v>96</v>
      </c>
      <c r="K476" s="256" t="s">
        <v>200</v>
      </c>
      <c r="L476" s="252" t="s">
        <v>153</v>
      </c>
      <c r="M476" s="248"/>
      <c r="N476" s="248"/>
      <c r="O476" s="248"/>
    </row>
    <row r="477" spans="1:15" hidden="1">
      <c r="A477" s="258">
        <v>45734</v>
      </c>
      <c r="B477" s="248" t="s">
        <v>1159</v>
      </c>
      <c r="C477" s="254" t="s">
        <v>172</v>
      </c>
      <c r="D477" s="249" t="s">
        <v>115</v>
      </c>
      <c r="E477" s="259">
        <v>21000</v>
      </c>
      <c r="F477" s="250">
        <v>36.229008739817061</v>
      </c>
      <c r="G477" s="260">
        <v>579.64599999999996</v>
      </c>
      <c r="H477" s="252" t="s">
        <v>191</v>
      </c>
      <c r="I477" s="252" t="s">
        <v>861</v>
      </c>
      <c r="J477" s="252" t="s">
        <v>96</v>
      </c>
      <c r="K477" s="256" t="s">
        <v>200</v>
      </c>
      <c r="L477" s="252" t="s">
        <v>153</v>
      </c>
      <c r="M477" s="248"/>
      <c r="N477" s="248"/>
      <c r="O477" s="248"/>
    </row>
    <row r="478" spans="1:15" hidden="1">
      <c r="A478" s="258">
        <v>45734</v>
      </c>
      <c r="B478" s="248" t="s">
        <v>1160</v>
      </c>
      <c r="C478" s="254" t="s">
        <v>175</v>
      </c>
      <c r="D478" s="249" t="s">
        <v>115</v>
      </c>
      <c r="E478" s="259">
        <v>75000</v>
      </c>
      <c r="F478" s="250">
        <v>129.38931692791809</v>
      </c>
      <c r="G478" s="260">
        <v>579.64599999999996</v>
      </c>
      <c r="H478" s="252" t="s">
        <v>191</v>
      </c>
      <c r="I478" s="252" t="s">
        <v>862</v>
      </c>
      <c r="J478" s="252" t="s">
        <v>96</v>
      </c>
      <c r="K478" s="256" t="s">
        <v>200</v>
      </c>
      <c r="L478" s="252" t="s">
        <v>153</v>
      </c>
      <c r="M478" s="248"/>
      <c r="N478" s="248"/>
      <c r="O478" s="248"/>
    </row>
    <row r="479" spans="1:15" hidden="1">
      <c r="A479" s="258">
        <v>45734</v>
      </c>
      <c r="B479" s="248" t="s">
        <v>813</v>
      </c>
      <c r="C479" s="254" t="s">
        <v>172</v>
      </c>
      <c r="D479" s="249" t="s">
        <v>115</v>
      </c>
      <c r="E479" s="259">
        <v>21000</v>
      </c>
      <c r="F479" s="250">
        <v>36.229008739817061</v>
      </c>
      <c r="G479" s="260">
        <v>579.64599999999996</v>
      </c>
      <c r="H479" s="252" t="s">
        <v>191</v>
      </c>
      <c r="I479" s="252" t="s">
        <v>863</v>
      </c>
      <c r="J479" s="252" t="s">
        <v>96</v>
      </c>
      <c r="K479" s="256" t="s">
        <v>200</v>
      </c>
      <c r="L479" s="252" t="s">
        <v>153</v>
      </c>
      <c r="M479" s="248"/>
      <c r="N479" s="248"/>
      <c r="O479" s="248"/>
    </row>
    <row r="480" spans="1:15" hidden="1">
      <c r="A480" s="258">
        <v>45734</v>
      </c>
      <c r="B480" s="248" t="s">
        <v>2096</v>
      </c>
      <c r="C480" s="254" t="s">
        <v>175</v>
      </c>
      <c r="D480" s="249" t="s">
        <v>115</v>
      </c>
      <c r="E480" s="259">
        <v>50000</v>
      </c>
      <c r="F480" s="250">
        <v>86.259544618612054</v>
      </c>
      <c r="G480" s="260">
        <v>579.64599999999996</v>
      </c>
      <c r="H480" s="252" t="s">
        <v>191</v>
      </c>
      <c r="I480" s="252" t="s">
        <v>864</v>
      </c>
      <c r="J480" s="252" t="s">
        <v>96</v>
      </c>
      <c r="K480" s="256" t="s">
        <v>200</v>
      </c>
      <c r="L480" s="252" t="s">
        <v>153</v>
      </c>
      <c r="M480" s="248"/>
      <c r="N480" s="248"/>
      <c r="O480" s="248"/>
    </row>
    <row r="481" spans="1:15" hidden="1">
      <c r="A481" s="258">
        <v>45735</v>
      </c>
      <c r="B481" s="248" t="s">
        <v>1120</v>
      </c>
      <c r="C481" s="254" t="s">
        <v>175</v>
      </c>
      <c r="D481" s="248" t="s">
        <v>2091</v>
      </c>
      <c r="E481" s="259">
        <v>30000</v>
      </c>
      <c r="F481" s="250">
        <v>51.755726771167232</v>
      </c>
      <c r="G481" s="260">
        <v>579.64599999999996</v>
      </c>
      <c r="H481" s="252" t="s">
        <v>198</v>
      </c>
      <c r="I481" s="252" t="s">
        <v>1142</v>
      </c>
      <c r="J481" s="252" t="s">
        <v>96</v>
      </c>
      <c r="K481" s="256" t="s">
        <v>200</v>
      </c>
      <c r="L481" s="252" t="s">
        <v>153</v>
      </c>
      <c r="M481" s="248"/>
      <c r="N481" s="248"/>
      <c r="O481" s="248"/>
    </row>
    <row r="482" spans="1:15" hidden="1">
      <c r="A482" s="258">
        <v>45735</v>
      </c>
      <c r="B482" s="248" t="s">
        <v>814</v>
      </c>
      <c r="C482" s="255" t="s">
        <v>2090</v>
      </c>
      <c r="D482" s="248" t="s">
        <v>116</v>
      </c>
      <c r="E482" s="259">
        <v>19830</v>
      </c>
      <c r="F482" s="250">
        <v>34.210535395741545</v>
      </c>
      <c r="G482" s="260">
        <v>579.64599999999996</v>
      </c>
      <c r="H482" s="252" t="s">
        <v>581</v>
      </c>
      <c r="I482" s="252" t="s">
        <v>865</v>
      </c>
      <c r="J482" s="252" t="s">
        <v>96</v>
      </c>
      <c r="K482" s="256" t="s">
        <v>200</v>
      </c>
      <c r="L482" s="252" t="s">
        <v>153</v>
      </c>
      <c r="M482" s="248"/>
      <c r="N482" s="248"/>
      <c r="O482" s="248"/>
    </row>
    <row r="483" spans="1:15" hidden="1">
      <c r="A483" s="258">
        <v>45735</v>
      </c>
      <c r="B483" s="248" t="s">
        <v>815</v>
      </c>
      <c r="C483" s="254" t="s">
        <v>1168</v>
      </c>
      <c r="D483" s="248" t="s">
        <v>116</v>
      </c>
      <c r="E483" s="259">
        <v>300000</v>
      </c>
      <c r="F483" s="250">
        <v>517.55726771167235</v>
      </c>
      <c r="G483" s="260">
        <v>579.64599999999996</v>
      </c>
      <c r="H483" s="252" t="s">
        <v>581</v>
      </c>
      <c r="I483" s="252" t="s">
        <v>866</v>
      </c>
      <c r="J483" s="252" t="s">
        <v>96</v>
      </c>
      <c r="K483" s="256" t="s">
        <v>200</v>
      </c>
      <c r="L483" s="252" t="s">
        <v>153</v>
      </c>
      <c r="M483" s="248"/>
      <c r="N483" s="248"/>
      <c r="O483" s="248"/>
    </row>
    <row r="484" spans="1:15" hidden="1">
      <c r="A484" s="258">
        <v>45735</v>
      </c>
      <c r="B484" s="248" t="s">
        <v>4821</v>
      </c>
      <c r="C484" s="254" t="s">
        <v>175</v>
      </c>
      <c r="D484" s="249" t="s">
        <v>440</v>
      </c>
      <c r="E484" s="259">
        <v>120000</v>
      </c>
      <c r="F484" s="250">
        <v>207.02290708466893</v>
      </c>
      <c r="G484" s="260">
        <v>579.64599999999996</v>
      </c>
      <c r="H484" s="252" t="s">
        <v>182</v>
      </c>
      <c r="I484" s="252" t="s">
        <v>977</v>
      </c>
      <c r="J484" s="252" t="s">
        <v>96</v>
      </c>
      <c r="K484" s="256" t="s">
        <v>200</v>
      </c>
      <c r="L484" s="252" t="s">
        <v>153</v>
      </c>
      <c r="M484" s="248"/>
      <c r="N484" s="248"/>
      <c r="O484" s="248"/>
    </row>
    <row r="485" spans="1:15" hidden="1">
      <c r="A485" s="258">
        <v>45735</v>
      </c>
      <c r="B485" s="248" t="s">
        <v>1005</v>
      </c>
      <c r="C485" s="248" t="s">
        <v>306</v>
      </c>
      <c r="D485" s="249" t="s">
        <v>440</v>
      </c>
      <c r="E485" s="259">
        <v>10000</v>
      </c>
      <c r="F485" s="250">
        <v>17.251908923722411</v>
      </c>
      <c r="G485" s="260">
        <v>579.64599999999996</v>
      </c>
      <c r="H485" s="252" t="s">
        <v>173</v>
      </c>
      <c r="I485" s="252" t="s">
        <v>1006</v>
      </c>
      <c r="J485" s="252" t="s">
        <v>96</v>
      </c>
      <c r="K485" s="256" t="s">
        <v>200</v>
      </c>
      <c r="L485" s="252" t="s">
        <v>153</v>
      </c>
      <c r="M485" s="248"/>
      <c r="N485" s="248"/>
      <c r="O485" s="248"/>
    </row>
    <row r="486" spans="1:15" hidden="1">
      <c r="A486" s="258">
        <v>45735</v>
      </c>
      <c r="B486" s="248" t="s">
        <v>1084</v>
      </c>
      <c r="C486" s="254" t="s">
        <v>175</v>
      </c>
      <c r="D486" s="249" t="s">
        <v>115</v>
      </c>
      <c r="E486" s="259">
        <v>30000</v>
      </c>
      <c r="F486" s="250">
        <v>51.755726771167232</v>
      </c>
      <c r="G486" s="260">
        <v>579.64599999999996</v>
      </c>
      <c r="H486" s="252" t="s">
        <v>191</v>
      </c>
      <c r="I486" s="252" t="s">
        <v>1085</v>
      </c>
      <c r="J486" s="252" t="s">
        <v>96</v>
      </c>
      <c r="K486" s="256" t="s">
        <v>200</v>
      </c>
      <c r="L486" s="252" t="s">
        <v>153</v>
      </c>
      <c r="M486" s="248"/>
      <c r="N486" s="248"/>
      <c r="O486" s="248"/>
    </row>
    <row r="487" spans="1:15" hidden="1">
      <c r="A487" s="258">
        <v>45736</v>
      </c>
      <c r="B487" s="248" t="s">
        <v>968</v>
      </c>
      <c r="C487" s="254" t="s">
        <v>363</v>
      </c>
      <c r="D487" s="249" t="s">
        <v>440</v>
      </c>
      <c r="E487" s="259">
        <v>31000</v>
      </c>
      <c r="F487" s="250">
        <v>53.480917663539472</v>
      </c>
      <c r="G487" s="260">
        <v>579.64599999999996</v>
      </c>
      <c r="H487" s="252" t="s">
        <v>151</v>
      </c>
      <c r="I487" s="252" t="s">
        <v>969</v>
      </c>
      <c r="J487" s="252" t="s">
        <v>96</v>
      </c>
      <c r="K487" s="256" t="s">
        <v>200</v>
      </c>
      <c r="L487" s="252" t="s">
        <v>153</v>
      </c>
      <c r="M487" s="248"/>
      <c r="N487" s="248"/>
      <c r="O487" s="248"/>
    </row>
    <row r="488" spans="1:15" hidden="1">
      <c r="A488" s="258">
        <v>45736</v>
      </c>
      <c r="B488" s="248" t="s">
        <v>633</v>
      </c>
      <c r="C488" s="255" t="s">
        <v>2090</v>
      </c>
      <c r="D488" s="248" t="s">
        <v>116</v>
      </c>
      <c r="E488" s="259">
        <v>2017</v>
      </c>
      <c r="F488" s="250">
        <v>3.4797100299148105</v>
      </c>
      <c r="G488" s="260">
        <v>579.64599999999996</v>
      </c>
      <c r="H488" s="252" t="s">
        <v>151</v>
      </c>
      <c r="I488" s="252" t="s">
        <v>970</v>
      </c>
      <c r="J488" s="252" t="s">
        <v>96</v>
      </c>
      <c r="K488" s="256" t="s">
        <v>200</v>
      </c>
      <c r="L488" s="252" t="s">
        <v>153</v>
      </c>
      <c r="M488" s="248"/>
      <c r="N488" s="248"/>
      <c r="O488" s="248"/>
    </row>
    <row r="489" spans="1:15" hidden="1">
      <c r="A489" s="258">
        <v>45736</v>
      </c>
      <c r="B489" s="248" t="s">
        <v>4797</v>
      </c>
      <c r="C489" s="254" t="s">
        <v>172</v>
      </c>
      <c r="D489" s="249" t="s">
        <v>440</v>
      </c>
      <c r="E489" s="259">
        <v>6000</v>
      </c>
      <c r="F489" s="250">
        <v>10.351145354233447</v>
      </c>
      <c r="G489" s="260">
        <v>579.64599999999996</v>
      </c>
      <c r="H489" s="252" t="s">
        <v>315</v>
      </c>
      <c r="I489" s="252" t="s">
        <v>1028</v>
      </c>
      <c r="J489" s="252" t="s">
        <v>96</v>
      </c>
      <c r="K489" s="256" t="s">
        <v>200</v>
      </c>
      <c r="L489" s="252" t="s">
        <v>153</v>
      </c>
      <c r="M489" s="248"/>
      <c r="N489" s="248"/>
      <c r="O489" s="248"/>
    </row>
    <row r="490" spans="1:15" hidden="1">
      <c r="A490" s="258">
        <v>45736</v>
      </c>
      <c r="B490" s="248" t="s">
        <v>806</v>
      </c>
      <c r="C490" s="255" t="s">
        <v>2090</v>
      </c>
      <c r="D490" s="248" t="s">
        <v>116</v>
      </c>
      <c r="E490" s="259">
        <v>6320</v>
      </c>
      <c r="F490" s="250">
        <v>10.903206439792564</v>
      </c>
      <c r="G490" s="260">
        <v>579.64599999999996</v>
      </c>
      <c r="H490" s="252" t="s">
        <v>321</v>
      </c>
      <c r="I490" s="252" t="s">
        <v>867</v>
      </c>
      <c r="J490" s="252" t="s">
        <v>96</v>
      </c>
      <c r="K490" s="256" t="s">
        <v>200</v>
      </c>
      <c r="L490" s="252" t="s">
        <v>153</v>
      </c>
      <c r="M490" s="248"/>
      <c r="N490" s="248"/>
      <c r="O490" s="248"/>
    </row>
    <row r="491" spans="1:15" hidden="1">
      <c r="A491" s="258">
        <v>45737</v>
      </c>
      <c r="B491" s="248" t="s">
        <v>814</v>
      </c>
      <c r="C491" s="255" t="s">
        <v>2090</v>
      </c>
      <c r="D491" s="248" t="s">
        <v>116</v>
      </c>
      <c r="E491" s="259">
        <v>14640</v>
      </c>
      <c r="F491" s="250">
        <v>25.256794664329611</v>
      </c>
      <c r="G491" s="260">
        <v>579.64599999999996</v>
      </c>
      <c r="H491" s="252" t="s">
        <v>581</v>
      </c>
      <c r="I491" s="252" t="s">
        <v>868</v>
      </c>
      <c r="J491" s="252" t="s">
        <v>96</v>
      </c>
      <c r="K491" s="256" t="s">
        <v>200</v>
      </c>
      <c r="L491" s="252" t="s">
        <v>153</v>
      </c>
      <c r="M491" s="248"/>
      <c r="N491" s="248"/>
      <c r="O491" s="248"/>
    </row>
    <row r="492" spans="1:15" hidden="1">
      <c r="A492" s="258">
        <v>45737</v>
      </c>
      <c r="B492" s="248" t="s">
        <v>4822</v>
      </c>
      <c r="C492" s="254" t="s">
        <v>175</v>
      </c>
      <c r="D492" s="249" t="s">
        <v>440</v>
      </c>
      <c r="E492" s="259">
        <v>70000</v>
      </c>
      <c r="F492" s="250">
        <v>120.76336246605688</v>
      </c>
      <c r="G492" s="260">
        <v>579.64599999999996</v>
      </c>
      <c r="H492" s="252" t="s">
        <v>173</v>
      </c>
      <c r="I492" s="252" t="s">
        <v>1007</v>
      </c>
      <c r="J492" s="252" t="s">
        <v>96</v>
      </c>
      <c r="K492" s="256" t="s">
        <v>200</v>
      </c>
      <c r="L492" s="252" t="s">
        <v>153</v>
      </c>
      <c r="M492" s="248"/>
      <c r="N492" s="248"/>
      <c r="O492" s="248"/>
    </row>
    <row r="493" spans="1:15" hidden="1">
      <c r="A493" s="258">
        <v>45737</v>
      </c>
      <c r="B493" s="248" t="s">
        <v>4823</v>
      </c>
      <c r="C493" s="254" t="s">
        <v>172</v>
      </c>
      <c r="D493" s="249" t="s">
        <v>440</v>
      </c>
      <c r="E493" s="259">
        <v>9000</v>
      </c>
      <c r="F493" s="250">
        <v>15.526718031350169</v>
      </c>
      <c r="G493" s="260">
        <v>579.64599999999996</v>
      </c>
      <c r="H493" s="252" t="s">
        <v>173</v>
      </c>
      <c r="I493" s="252" t="s">
        <v>1008</v>
      </c>
      <c r="J493" s="252" t="s">
        <v>96</v>
      </c>
      <c r="K493" s="256" t="s">
        <v>200</v>
      </c>
      <c r="L493" s="252" t="s">
        <v>153</v>
      </c>
      <c r="M493" s="248"/>
      <c r="N493" s="248"/>
      <c r="O493" s="248"/>
    </row>
    <row r="494" spans="1:15" hidden="1">
      <c r="A494" s="258">
        <v>45737</v>
      </c>
      <c r="B494" s="248" t="s">
        <v>4814</v>
      </c>
      <c r="C494" s="254" t="s">
        <v>175</v>
      </c>
      <c r="D494" s="249" t="s">
        <v>440</v>
      </c>
      <c r="E494" s="259">
        <v>70000</v>
      </c>
      <c r="F494" s="250">
        <v>120.76336246605688</v>
      </c>
      <c r="G494" s="260">
        <v>579.64599999999996</v>
      </c>
      <c r="H494" s="252" t="s">
        <v>315</v>
      </c>
      <c r="I494" s="252" t="s">
        <v>1029</v>
      </c>
      <c r="J494" s="252" t="s">
        <v>96</v>
      </c>
      <c r="K494" s="256" t="s">
        <v>200</v>
      </c>
      <c r="L494" s="252" t="s">
        <v>153</v>
      </c>
      <c r="M494" s="248"/>
      <c r="N494" s="248"/>
      <c r="O494" s="248"/>
    </row>
    <row r="495" spans="1:15" hidden="1">
      <c r="A495" s="258">
        <v>45737</v>
      </c>
      <c r="B495" s="248" t="s">
        <v>738</v>
      </c>
      <c r="C495" s="254" t="s">
        <v>172</v>
      </c>
      <c r="D495" s="249" t="s">
        <v>115</v>
      </c>
      <c r="E495" s="259">
        <v>7000</v>
      </c>
      <c r="F495" s="250">
        <v>12.076336246605688</v>
      </c>
      <c r="G495" s="260">
        <v>579.64599999999996</v>
      </c>
      <c r="H495" s="252" t="s">
        <v>191</v>
      </c>
      <c r="I495" s="252" t="s">
        <v>1086</v>
      </c>
      <c r="J495" s="252" t="s">
        <v>96</v>
      </c>
      <c r="K495" s="256" t="s">
        <v>200</v>
      </c>
      <c r="L495" s="252" t="s">
        <v>153</v>
      </c>
      <c r="M495" s="248"/>
      <c r="N495" s="248"/>
      <c r="O495" s="248"/>
    </row>
    <row r="496" spans="1:15" hidden="1">
      <c r="A496" s="258">
        <v>45738</v>
      </c>
      <c r="B496" s="248" t="s">
        <v>1121</v>
      </c>
      <c r="C496" s="254" t="s">
        <v>175</v>
      </c>
      <c r="D496" s="248" t="s">
        <v>2091</v>
      </c>
      <c r="E496" s="259">
        <v>11800</v>
      </c>
      <c r="F496" s="250">
        <v>20.357252529992444</v>
      </c>
      <c r="G496" s="260">
        <v>579.64599999999996</v>
      </c>
      <c r="H496" s="252" t="s">
        <v>198</v>
      </c>
      <c r="I496" s="252" t="s">
        <v>1143</v>
      </c>
      <c r="J496" s="252" t="s">
        <v>96</v>
      </c>
      <c r="K496" s="256" t="s">
        <v>200</v>
      </c>
      <c r="L496" s="252" t="s">
        <v>153</v>
      </c>
      <c r="M496" s="248"/>
      <c r="N496" s="248"/>
      <c r="O496" s="248"/>
    </row>
    <row r="497" spans="1:15" hidden="1">
      <c r="A497" s="258">
        <v>45738</v>
      </c>
      <c r="B497" s="248" t="s">
        <v>978</v>
      </c>
      <c r="C497" s="254" t="s">
        <v>363</v>
      </c>
      <c r="D497" s="249" t="s">
        <v>440</v>
      </c>
      <c r="E497" s="259">
        <v>90100</v>
      </c>
      <c r="F497" s="250">
        <v>155.43969940273894</v>
      </c>
      <c r="G497" s="260">
        <v>579.64599999999996</v>
      </c>
      <c r="H497" s="252" t="s">
        <v>182</v>
      </c>
      <c r="I497" s="252" t="s">
        <v>979</v>
      </c>
      <c r="J497" s="252" t="s">
        <v>96</v>
      </c>
      <c r="K497" s="256" t="s">
        <v>200</v>
      </c>
      <c r="L497" s="252" t="s">
        <v>153</v>
      </c>
      <c r="M497" s="248"/>
      <c r="N497" s="248"/>
      <c r="O497" s="248"/>
    </row>
    <row r="498" spans="1:15" hidden="1">
      <c r="A498" s="258">
        <v>45738</v>
      </c>
      <c r="B498" s="248" t="s">
        <v>4824</v>
      </c>
      <c r="C498" s="254" t="s">
        <v>172</v>
      </c>
      <c r="D498" s="249" t="s">
        <v>440</v>
      </c>
      <c r="E498" s="259">
        <v>15000</v>
      </c>
      <c r="F498" s="250">
        <v>25.877863385583616</v>
      </c>
      <c r="G498" s="260">
        <v>579.64599999999996</v>
      </c>
      <c r="H498" s="252" t="s">
        <v>182</v>
      </c>
      <c r="I498" s="252" t="s">
        <v>980</v>
      </c>
      <c r="J498" s="252" t="s">
        <v>96</v>
      </c>
      <c r="K498" s="256" t="s">
        <v>200</v>
      </c>
      <c r="L498" s="252" t="s">
        <v>153</v>
      </c>
      <c r="M498" s="248"/>
      <c r="N498" s="248"/>
      <c r="O498" s="248"/>
    </row>
    <row r="499" spans="1:15" hidden="1">
      <c r="A499" s="258">
        <v>45738</v>
      </c>
      <c r="B499" s="248" t="s">
        <v>4824</v>
      </c>
      <c r="C499" s="254" t="s">
        <v>172</v>
      </c>
      <c r="D499" s="249" t="s">
        <v>440</v>
      </c>
      <c r="E499" s="259">
        <v>15000</v>
      </c>
      <c r="F499" s="250">
        <v>25.877863385583616</v>
      </c>
      <c r="G499" s="260">
        <v>579.64599999999996</v>
      </c>
      <c r="H499" s="252" t="s">
        <v>182</v>
      </c>
      <c r="I499" s="252" t="s">
        <v>981</v>
      </c>
      <c r="J499" s="252" t="s">
        <v>96</v>
      </c>
      <c r="K499" s="256" t="s">
        <v>200</v>
      </c>
      <c r="L499" s="252" t="s">
        <v>153</v>
      </c>
      <c r="M499" s="248"/>
      <c r="N499" s="248"/>
      <c r="O499" s="248"/>
    </row>
    <row r="500" spans="1:15" hidden="1">
      <c r="A500" s="258">
        <v>45738</v>
      </c>
      <c r="B500" s="248" t="s">
        <v>4825</v>
      </c>
      <c r="C500" s="254" t="s">
        <v>172</v>
      </c>
      <c r="D500" s="249" t="s">
        <v>440</v>
      </c>
      <c r="E500" s="259">
        <v>50000</v>
      </c>
      <c r="F500" s="250">
        <v>86.259544618612054</v>
      </c>
      <c r="G500" s="260">
        <v>579.64599999999996</v>
      </c>
      <c r="H500" s="252" t="s">
        <v>182</v>
      </c>
      <c r="I500" s="252" t="s">
        <v>982</v>
      </c>
      <c r="J500" s="252" t="s">
        <v>96</v>
      </c>
      <c r="K500" s="256" t="s">
        <v>200</v>
      </c>
      <c r="L500" s="252" t="s">
        <v>153</v>
      </c>
      <c r="M500" s="248"/>
      <c r="N500" s="248"/>
      <c r="O500" s="248"/>
    </row>
    <row r="501" spans="1:15" hidden="1">
      <c r="A501" s="258">
        <v>45738</v>
      </c>
      <c r="B501" s="248" t="s">
        <v>4758</v>
      </c>
      <c r="C501" s="254" t="s">
        <v>172</v>
      </c>
      <c r="D501" s="249" t="s">
        <v>440</v>
      </c>
      <c r="E501" s="259">
        <v>7000</v>
      </c>
      <c r="F501" s="250">
        <v>12.076336246605688</v>
      </c>
      <c r="G501" s="260">
        <v>579.64599999999996</v>
      </c>
      <c r="H501" s="252" t="s">
        <v>182</v>
      </c>
      <c r="I501" s="252" t="s">
        <v>983</v>
      </c>
      <c r="J501" s="252" t="s">
        <v>96</v>
      </c>
      <c r="K501" s="256" t="s">
        <v>200</v>
      </c>
      <c r="L501" s="252" t="s">
        <v>153</v>
      </c>
      <c r="M501" s="248"/>
      <c r="N501" s="248"/>
      <c r="O501" s="248"/>
    </row>
    <row r="502" spans="1:15" hidden="1">
      <c r="A502" s="258">
        <v>45738</v>
      </c>
      <c r="B502" s="248" t="s">
        <v>4826</v>
      </c>
      <c r="C502" s="254" t="s">
        <v>175</v>
      </c>
      <c r="D502" s="249" t="s">
        <v>440</v>
      </c>
      <c r="E502" s="259">
        <v>225000</v>
      </c>
      <c r="F502" s="250">
        <v>388.16795078375424</v>
      </c>
      <c r="G502" s="260">
        <v>579.64599999999996</v>
      </c>
      <c r="H502" s="252" t="s">
        <v>321</v>
      </c>
      <c r="I502" s="252" t="s">
        <v>1041</v>
      </c>
      <c r="J502" s="252" t="s">
        <v>96</v>
      </c>
      <c r="K502" s="256" t="s">
        <v>200</v>
      </c>
      <c r="L502" s="252" t="s">
        <v>153</v>
      </c>
      <c r="M502" s="248"/>
      <c r="N502" s="248"/>
      <c r="O502" s="248"/>
    </row>
    <row r="503" spans="1:15" hidden="1">
      <c r="A503" s="258">
        <v>45738</v>
      </c>
      <c r="B503" s="248" t="s">
        <v>4752</v>
      </c>
      <c r="C503" s="254" t="s">
        <v>172</v>
      </c>
      <c r="D503" s="249" t="s">
        <v>440</v>
      </c>
      <c r="E503" s="259">
        <v>7000</v>
      </c>
      <c r="F503" s="250">
        <v>12.076336246605688</v>
      </c>
      <c r="G503" s="260">
        <v>579.64599999999996</v>
      </c>
      <c r="H503" s="252" t="s">
        <v>321</v>
      </c>
      <c r="I503" s="252" t="s">
        <v>1042</v>
      </c>
      <c r="J503" s="252" t="s">
        <v>96</v>
      </c>
      <c r="K503" s="256" t="s">
        <v>200</v>
      </c>
      <c r="L503" s="252" t="s">
        <v>153</v>
      </c>
      <c r="M503" s="248"/>
      <c r="N503" s="248"/>
      <c r="O503" s="248"/>
    </row>
    <row r="504" spans="1:15" hidden="1">
      <c r="A504" s="258">
        <v>45738</v>
      </c>
      <c r="B504" s="248" t="s">
        <v>245</v>
      </c>
      <c r="C504" s="254" t="s">
        <v>175</v>
      </c>
      <c r="D504" s="248" t="s">
        <v>2091</v>
      </c>
      <c r="E504" s="259">
        <v>9600</v>
      </c>
      <c r="F504" s="250">
        <v>16.561832566773514</v>
      </c>
      <c r="G504" s="260">
        <v>579.64599999999996</v>
      </c>
      <c r="H504" s="252" t="s">
        <v>185</v>
      </c>
      <c r="I504" s="252" t="s">
        <v>1053</v>
      </c>
      <c r="J504" s="252" t="s">
        <v>96</v>
      </c>
      <c r="K504" s="256" t="s">
        <v>200</v>
      </c>
      <c r="L504" s="252" t="s">
        <v>153</v>
      </c>
      <c r="M504" s="248"/>
      <c r="N504" s="248"/>
      <c r="O504" s="248"/>
    </row>
    <row r="505" spans="1:15" hidden="1">
      <c r="A505" s="258">
        <v>45738</v>
      </c>
      <c r="B505" s="248" t="s">
        <v>512</v>
      </c>
      <c r="C505" s="254" t="s">
        <v>175</v>
      </c>
      <c r="D505" s="248" t="s">
        <v>2091</v>
      </c>
      <c r="E505" s="259">
        <v>8900</v>
      </c>
      <c r="F505" s="250">
        <v>15.354198942112946</v>
      </c>
      <c r="G505" s="260">
        <v>579.64599999999996</v>
      </c>
      <c r="H505" s="252" t="s">
        <v>188</v>
      </c>
      <c r="I505" s="252" t="s">
        <v>1073</v>
      </c>
      <c r="J505" s="252" t="s">
        <v>96</v>
      </c>
      <c r="K505" s="256" t="s">
        <v>200</v>
      </c>
      <c r="L505" s="252" t="s">
        <v>153</v>
      </c>
      <c r="M505" s="248"/>
      <c r="N505" s="248"/>
      <c r="O505" s="248"/>
    </row>
    <row r="506" spans="1:15" hidden="1">
      <c r="A506" s="258">
        <v>45738</v>
      </c>
      <c r="B506" s="248" t="s">
        <v>1087</v>
      </c>
      <c r="C506" s="254" t="s">
        <v>175</v>
      </c>
      <c r="D506" s="249" t="s">
        <v>115</v>
      </c>
      <c r="E506" s="259">
        <v>45000</v>
      </c>
      <c r="F506" s="250">
        <v>77.633590156750856</v>
      </c>
      <c r="G506" s="251">
        <v>579.64599999999996</v>
      </c>
      <c r="H506" s="252" t="s">
        <v>191</v>
      </c>
      <c r="I506" s="252" t="s">
        <v>1088</v>
      </c>
      <c r="J506" s="252" t="s">
        <v>96</v>
      </c>
      <c r="K506" s="252" t="s">
        <v>1137</v>
      </c>
      <c r="L506" s="252" t="s">
        <v>153</v>
      </c>
      <c r="M506" s="248"/>
      <c r="N506" s="248"/>
      <c r="O506" s="248"/>
    </row>
    <row r="507" spans="1:15" hidden="1">
      <c r="A507" s="258">
        <v>45738</v>
      </c>
      <c r="B507" s="248" t="s">
        <v>1094</v>
      </c>
      <c r="C507" s="254" t="s">
        <v>172</v>
      </c>
      <c r="D507" s="248" t="s">
        <v>2091</v>
      </c>
      <c r="E507" s="259">
        <v>25000</v>
      </c>
      <c r="F507" s="250">
        <v>43.129772309306027</v>
      </c>
      <c r="G507" s="251">
        <v>579.64599999999996</v>
      </c>
      <c r="H507" s="252" t="s">
        <v>195</v>
      </c>
      <c r="I507" s="252" t="s">
        <v>1095</v>
      </c>
      <c r="J507" s="252" t="s">
        <v>96</v>
      </c>
      <c r="K507" s="252" t="s">
        <v>1137</v>
      </c>
      <c r="L507" s="252" t="s">
        <v>153</v>
      </c>
      <c r="M507" s="248"/>
      <c r="N507" s="248"/>
      <c r="O507" s="248"/>
    </row>
    <row r="508" spans="1:15" hidden="1">
      <c r="A508" s="258">
        <v>45738</v>
      </c>
      <c r="B508" s="248" t="s">
        <v>258</v>
      </c>
      <c r="C508" s="254" t="s">
        <v>175</v>
      </c>
      <c r="D508" s="249" t="s">
        <v>115</v>
      </c>
      <c r="E508" s="259">
        <v>19200</v>
      </c>
      <c r="F508" s="250">
        <v>33.123665133547028</v>
      </c>
      <c r="G508" s="251">
        <v>579.64599999999996</v>
      </c>
      <c r="H508" s="252" t="s">
        <v>195</v>
      </c>
      <c r="I508" s="252" t="s">
        <v>1096</v>
      </c>
      <c r="J508" s="252" t="s">
        <v>96</v>
      </c>
      <c r="K508" s="252" t="s">
        <v>1137</v>
      </c>
      <c r="L508" s="252" t="s">
        <v>153</v>
      </c>
      <c r="M508" s="248"/>
      <c r="N508" s="248"/>
      <c r="O508" s="248"/>
    </row>
    <row r="509" spans="1:15" hidden="1">
      <c r="A509" s="258">
        <v>45738</v>
      </c>
      <c r="B509" s="248" t="s">
        <v>260</v>
      </c>
      <c r="C509" s="254" t="s">
        <v>175</v>
      </c>
      <c r="D509" s="248" t="s">
        <v>2091</v>
      </c>
      <c r="E509" s="259">
        <v>9600</v>
      </c>
      <c r="F509" s="250">
        <v>16.561832566773514</v>
      </c>
      <c r="G509" s="251">
        <v>579.64599999999996</v>
      </c>
      <c r="H509" s="252" t="s">
        <v>211</v>
      </c>
      <c r="I509" s="252" t="s">
        <v>1106</v>
      </c>
      <c r="J509" s="252" t="s">
        <v>96</v>
      </c>
      <c r="K509" s="252" t="s">
        <v>1137</v>
      </c>
      <c r="L509" s="252" t="s">
        <v>153</v>
      </c>
      <c r="M509" s="248"/>
      <c r="N509" s="248"/>
      <c r="O509" s="248"/>
    </row>
    <row r="510" spans="1:15" hidden="1">
      <c r="A510" s="258">
        <v>45739</v>
      </c>
      <c r="B510" s="248" t="s">
        <v>984</v>
      </c>
      <c r="C510" s="254" t="s">
        <v>175</v>
      </c>
      <c r="D510" s="248" t="s">
        <v>2091</v>
      </c>
      <c r="E510" s="259">
        <v>140000</v>
      </c>
      <c r="F510" s="250">
        <v>241.52672493211375</v>
      </c>
      <c r="G510" s="251">
        <v>579.64599999999996</v>
      </c>
      <c r="H510" s="252" t="s">
        <v>182</v>
      </c>
      <c r="I510" s="252" t="s">
        <v>985</v>
      </c>
      <c r="J510" s="252" t="s">
        <v>96</v>
      </c>
      <c r="K510" s="252" t="s">
        <v>1137</v>
      </c>
      <c r="L510" s="252" t="s">
        <v>153</v>
      </c>
      <c r="M510" s="248"/>
      <c r="N510" s="248"/>
      <c r="O510" s="248"/>
    </row>
    <row r="511" spans="1:15" hidden="1">
      <c r="A511" s="258">
        <v>45739</v>
      </c>
      <c r="B511" s="248" t="s">
        <v>986</v>
      </c>
      <c r="C511" s="254" t="s">
        <v>175</v>
      </c>
      <c r="D511" s="248" t="s">
        <v>2091</v>
      </c>
      <c r="E511" s="259">
        <v>140000</v>
      </c>
      <c r="F511" s="250">
        <v>241.52672493211375</v>
      </c>
      <c r="G511" s="251">
        <v>579.64599999999996</v>
      </c>
      <c r="H511" s="252" t="s">
        <v>182</v>
      </c>
      <c r="I511" s="252" t="s">
        <v>987</v>
      </c>
      <c r="J511" s="252" t="s">
        <v>96</v>
      </c>
      <c r="K511" s="252" t="s">
        <v>1137</v>
      </c>
      <c r="L511" s="252" t="s">
        <v>153</v>
      </c>
      <c r="M511" s="248"/>
      <c r="N511" s="248"/>
      <c r="O511" s="248"/>
    </row>
    <row r="512" spans="1:15" hidden="1">
      <c r="A512" s="258">
        <v>45740</v>
      </c>
      <c r="B512" s="248" t="s">
        <v>1122</v>
      </c>
      <c r="C512" s="248" t="s">
        <v>263</v>
      </c>
      <c r="D512" s="248" t="s">
        <v>2091</v>
      </c>
      <c r="E512" s="259">
        <v>180000</v>
      </c>
      <c r="F512" s="250">
        <v>310.53436062700342</v>
      </c>
      <c r="G512" s="260">
        <v>579.64599999999996</v>
      </c>
      <c r="H512" s="252" t="s">
        <v>198</v>
      </c>
      <c r="I512" s="252" t="s">
        <v>1144</v>
      </c>
      <c r="J512" s="252" t="s">
        <v>96</v>
      </c>
      <c r="K512" s="256" t="s">
        <v>200</v>
      </c>
      <c r="L512" s="252" t="s">
        <v>153</v>
      </c>
      <c r="M512" s="248"/>
      <c r="N512" s="248"/>
      <c r="O512" s="248"/>
    </row>
    <row r="513" spans="1:15" hidden="1">
      <c r="A513" s="258">
        <v>45740</v>
      </c>
      <c r="B513" s="248" t="s">
        <v>1123</v>
      </c>
      <c r="C513" s="248" t="s">
        <v>263</v>
      </c>
      <c r="D513" s="248" t="s">
        <v>2091</v>
      </c>
      <c r="E513" s="259">
        <v>20000</v>
      </c>
      <c r="F513" s="250">
        <v>34.503817847444822</v>
      </c>
      <c r="G513" s="251">
        <v>579.64599999999996</v>
      </c>
      <c r="H513" s="252" t="s">
        <v>198</v>
      </c>
      <c r="I513" s="252" t="s">
        <v>1145</v>
      </c>
      <c r="J513" s="252" t="s">
        <v>96</v>
      </c>
      <c r="K513" s="252" t="s">
        <v>1137</v>
      </c>
      <c r="L513" s="252" t="s">
        <v>153</v>
      </c>
      <c r="M513" s="248"/>
      <c r="N513" s="248"/>
      <c r="O513" s="248"/>
    </row>
    <row r="514" spans="1:15" hidden="1">
      <c r="A514" s="258">
        <v>45740</v>
      </c>
      <c r="B514" s="248" t="s">
        <v>817</v>
      </c>
      <c r="C514" s="255" t="s">
        <v>2090</v>
      </c>
      <c r="D514" s="248" t="s">
        <v>116</v>
      </c>
      <c r="E514" s="259">
        <v>7780</v>
      </c>
      <c r="F514" s="250">
        <v>13.421985142656036</v>
      </c>
      <c r="G514" s="260">
        <v>579.64599999999996</v>
      </c>
      <c r="H514" s="252" t="s">
        <v>581</v>
      </c>
      <c r="I514" s="252" t="s">
        <v>870</v>
      </c>
      <c r="J514" s="252" t="s">
        <v>96</v>
      </c>
      <c r="K514" s="256" t="s">
        <v>200</v>
      </c>
      <c r="L514" s="252" t="s">
        <v>153</v>
      </c>
      <c r="M514" s="248"/>
      <c r="N514" s="248"/>
      <c r="O514" s="248"/>
    </row>
    <row r="515" spans="1:15" hidden="1">
      <c r="A515" s="258">
        <v>45740</v>
      </c>
      <c r="B515" s="248" t="s">
        <v>818</v>
      </c>
      <c r="C515" s="255" t="s">
        <v>2090</v>
      </c>
      <c r="D515" s="248" t="s">
        <v>116</v>
      </c>
      <c r="E515" s="259">
        <v>6300</v>
      </c>
      <c r="F515" s="250">
        <v>10.868702621945118</v>
      </c>
      <c r="G515" s="260">
        <v>579.64599999999996</v>
      </c>
      <c r="H515" s="252" t="s">
        <v>581</v>
      </c>
      <c r="I515" s="252" t="s">
        <v>871</v>
      </c>
      <c r="J515" s="252" t="s">
        <v>96</v>
      </c>
      <c r="K515" s="256" t="s">
        <v>200</v>
      </c>
      <c r="L515" s="252" t="s">
        <v>153</v>
      </c>
      <c r="M515" s="248"/>
      <c r="N515" s="248"/>
      <c r="O515" s="248"/>
    </row>
    <row r="516" spans="1:15" hidden="1">
      <c r="A516" s="258">
        <v>45740</v>
      </c>
      <c r="B516" s="248" t="s">
        <v>1161</v>
      </c>
      <c r="C516" s="254" t="s">
        <v>172</v>
      </c>
      <c r="D516" s="249" t="s">
        <v>115</v>
      </c>
      <c r="E516" s="259">
        <v>42000</v>
      </c>
      <c r="F516" s="250">
        <v>72.458017479634123</v>
      </c>
      <c r="G516" s="251">
        <v>579.64599999999996</v>
      </c>
      <c r="H516" s="252" t="s">
        <v>581</v>
      </c>
      <c r="I516" s="252" t="s">
        <v>872</v>
      </c>
      <c r="J516" s="252" t="s">
        <v>96</v>
      </c>
      <c r="K516" s="252" t="s">
        <v>1137</v>
      </c>
      <c r="L516" s="252" t="s">
        <v>153</v>
      </c>
      <c r="M516" s="248"/>
      <c r="N516" s="248"/>
      <c r="O516" s="248"/>
    </row>
    <row r="517" spans="1:15" hidden="1">
      <c r="A517" s="258">
        <v>45740</v>
      </c>
      <c r="B517" s="248" t="s">
        <v>4759</v>
      </c>
      <c r="C517" s="254" t="s">
        <v>175</v>
      </c>
      <c r="D517" s="249" t="s">
        <v>440</v>
      </c>
      <c r="E517" s="259">
        <v>30000</v>
      </c>
      <c r="F517" s="250">
        <v>51.755726771167232</v>
      </c>
      <c r="G517" s="251">
        <v>579.64599999999996</v>
      </c>
      <c r="H517" s="252" t="s">
        <v>182</v>
      </c>
      <c r="I517" s="252" t="s">
        <v>988</v>
      </c>
      <c r="J517" s="252" t="s">
        <v>96</v>
      </c>
      <c r="K517" s="252" t="s">
        <v>1137</v>
      </c>
      <c r="L517" s="252" t="s">
        <v>153</v>
      </c>
      <c r="M517" s="248"/>
      <c r="N517" s="248"/>
      <c r="O517" s="248"/>
    </row>
    <row r="518" spans="1:15" hidden="1">
      <c r="A518" s="258">
        <v>45740</v>
      </c>
      <c r="B518" s="248" t="s">
        <v>989</v>
      </c>
      <c r="C518" s="254" t="s">
        <v>172</v>
      </c>
      <c r="D518" s="249" t="s">
        <v>440</v>
      </c>
      <c r="E518" s="259">
        <v>68000</v>
      </c>
      <c r="F518" s="250">
        <v>117.3129806813124</v>
      </c>
      <c r="G518" s="251">
        <v>579.64599999999996</v>
      </c>
      <c r="H518" s="252" t="s">
        <v>182</v>
      </c>
      <c r="I518" s="252" t="s">
        <v>990</v>
      </c>
      <c r="J518" s="252" t="s">
        <v>96</v>
      </c>
      <c r="K518" s="252" t="s">
        <v>1137</v>
      </c>
      <c r="L518" s="252" t="s">
        <v>153</v>
      </c>
      <c r="M518" s="248"/>
      <c r="N518" s="248"/>
      <c r="O518" s="248"/>
    </row>
    <row r="519" spans="1:15" hidden="1">
      <c r="A519" s="258">
        <v>45740</v>
      </c>
      <c r="B519" s="248" t="s">
        <v>4827</v>
      </c>
      <c r="C519" s="254" t="s">
        <v>172</v>
      </c>
      <c r="D519" s="249" t="s">
        <v>440</v>
      </c>
      <c r="E519" s="259">
        <v>5000</v>
      </c>
      <c r="F519" s="250">
        <v>8.6259544618612054</v>
      </c>
      <c r="G519" s="251">
        <v>579.64599999999996</v>
      </c>
      <c r="H519" s="252" t="s">
        <v>173</v>
      </c>
      <c r="I519" s="252" t="s">
        <v>1009</v>
      </c>
      <c r="J519" s="252" t="s">
        <v>96</v>
      </c>
      <c r="K519" s="252" t="s">
        <v>1137</v>
      </c>
      <c r="L519" s="252" t="s">
        <v>153</v>
      </c>
      <c r="M519" s="248"/>
      <c r="N519" s="248"/>
      <c r="O519" s="248"/>
    </row>
    <row r="520" spans="1:15" hidden="1">
      <c r="A520" s="258">
        <v>45740</v>
      </c>
      <c r="B520" s="248" t="s">
        <v>4754</v>
      </c>
      <c r="C520" s="254" t="s">
        <v>175</v>
      </c>
      <c r="D520" s="249" t="s">
        <v>440</v>
      </c>
      <c r="E520" s="259">
        <v>45000</v>
      </c>
      <c r="F520" s="250">
        <v>77.633590156750856</v>
      </c>
      <c r="G520" s="251">
        <v>579.64599999999996</v>
      </c>
      <c r="H520" s="252" t="s">
        <v>173</v>
      </c>
      <c r="I520" s="252" t="s">
        <v>1010</v>
      </c>
      <c r="J520" s="252" t="s">
        <v>96</v>
      </c>
      <c r="K520" s="252" t="s">
        <v>1137</v>
      </c>
      <c r="L520" s="252" t="s">
        <v>153</v>
      </c>
      <c r="M520" s="248"/>
      <c r="N520" s="248"/>
      <c r="O520" s="248"/>
    </row>
    <row r="521" spans="1:15" hidden="1">
      <c r="A521" s="258">
        <v>45740</v>
      </c>
      <c r="B521" s="248" t="s">
        <v>4828</v>
      </c>
      <c r="C521" s="254" t="s">
        <v>175</v>
      </c>
      <c r="D521" s="249" t="s">
        <v>440</v>
      </c>
      <c r="E521" s="259">
        <v>30000</v>
      </c>
      <c r="F521" s="250">
        <v>51.755726771167232</v>
      </c>
      <c r="G521" s="251">
        <v>579.64599999999996</v>
      </c>
      <c r="H521" s="252" t="s">
        <v>321</v>
      </c>
      <c r="I521" s="252" t="s">
        <v>1043</v>
      </c>
      <c r="J521" s="252" t="s">
        <v>96</v>
      </c>
      <c r="K521" s="252" t="s">
        <v>1137</v>
      </c>
      <c r="L521" s="252" t="s">
        <v>153</v>
      </c>
      <c r="M521" s="248"/>
      <c r="N521" s="248"/>
      <c r="O521" s="248"/>
    </row>
    <row r="522" spans="1:15" hidden="1">
      <c r="A522" s="258">
        <v>45740</v>
      </c>
      <c r="B522" s="248" t="s">
        <v>816</v>
      </c>
      <c r="C522" s="254" t="s">
        <v>1168</v>
      </c>
      <c r="D522" s="248" t="s">
        <v>116</v>
      </c>
      <c r="E522" s="259">
        <v>101000</v>
      </c>
      <c r="F522" s="250">
        <v>174.24428012959635</v>
      </c>
      <c r="G522" s="251">
        <v>579.64599999999996</v>
      </c>
      <c r="H522" s="252" t="s">
        <v>191</v>
      </c>
      <c r="I522" s="252" t="s">
        <v>869</v>
      </c>
      <c r="J522" s="252" t="s">
        <v>96</v>
      </c>
      <c r="K522" s="252" t="s">
        <v>1137</v>
      </c>
      <c r="L522" s="252" t="s">
        <v>153</v>
      </c>
      <c r="M522" s="248"/>
      <c r="N522" s="248"/>
      <c r="O522" s="248"/>
    </row>
    <row r="523" spans="1:15" hidden="1">
      <c r="A523" s="258">
        <v>45740</v>
      </c>
      <c r="B523" s="248" t="s">
        <v>819</v>
      </c>
      <c r="C523" s="254" t="s">
        <v>175</v>
      </c>
      <c r="D523" s="249" t="s">
        <v>115</v>
      </c>
      <c r="E523" s="259">
        <v>275000</v>
      </c>
      <c r="F523" s="250">
        <v>474.42749540236633</v>
      </c>
      <c r="G523" s="260">
        <v>579.64599999999996</v>
      </c>
      <c r="H523" s="252" t="s">
        <v>191</v>
      </c>
      <c r="I523" s="252" t="s">
        <v>873</v>
      </c>
      <c r="J523" s="252" t="s">
        <v>96</v>
      </c>
      <c r="K523" s="256" t="s">
        <v>200</v>
      </c>
      <c r="L523" s="252" t="s">
        <v>153</v>
      </c>
      <c r="M523" s="248"/>
      <c r="N523" s="248"/>
      <c r="O523" s="248"/>
    </row>
    <row r="524" spans="1:15" hidden="1">
      <c r="A524" s="258">
        <v>45741</v>
      </c>
      <c r="B524" s="248" t="s">
        <v>4827</v>
      </c>
      <c r="C524" s="254" t="s">
        <v>172</v>
      </c>
      <c r="D524" s="249" t="s">
        <v>440</v>
      </c>
      <c r="E524" s="259">
        <v>15000</v>
      </c>
      <c r="F524" s="250">
        <v>25.877863385583616</v>
      </c>
      <c r="G524" s="251">
        <v>579.64599999999996</v>
      </c>
      <c r="H524" s="252" t="s">
        <v>173</v>
      </c>
      <c r="I524" s="252" t="s">
        <v>1012</v>
      </c>
      <c r="J524" s="252" t="s">
        <v>96</v>
      </c>
      <c r="K524" s="252" t="s">
        <v>1137</v>
      </c>
      <c r="L524" s="252" t="s">
        <v>153</v>
      </c>
      <c r="M524" s="248"/>
      <c r="N524" s="248"/>
      <c r="O524" s="248"/>
    </row>
    <row r="525" spans="1:15" hidden="1">
      <c r="A525" s="258">
        <v>45741</v>
      </c>
      <c r="B525" s="248" t="s">
        <v>4754</v>
      </c>
      <c r="C525" s="254" t="s">
        <v>175</v>
      </c>
      <c r="D525" s="249" t="s">
        <v>440</v>
      </c>
      <c r="E525" s="259">
        <v>15000</v>
      </c>
      <c r="F525" s="250">
        <v>25.877863385583616</v>
      </c>
      <c r="G525" s="251">
        <v>579.64599999999996</v>
      </c>
      <c r="H525" s="252" t="s">
        <v>173</v>
      </c>
      <c r="I525" s="252" t="s">
        <v>1013</v>
      </c>
      <c r="J525" s="252" t="s">
        <v>96</v>
      </c>
      <c r="K525" s="252" t="s">
        <v>1137</v>
      </c>
      <c r="L525" s="252" t="s">
        <v>153</v>
      </c>
      <c r="M525" s="248"/>
      <c r="N525" s="248"/>
      <c r="O525" s="248"/>
    </row>
    <row r="526" spans="1:15" hidden="1">
      <c r="A526" s="258">
        <v>45741</v>
      </c>
      <c r="B526" s="248" t="s">
        <v>2097</v>
      </c>
      <c r="C526" s="248" t="s">
        <v>306</v>
      </c>
      <c r="D526" s="249" t="s">
        <v>440</v>
      </c>
      <c r="E526" s="259">
        <v>10000</v>
      </c>
      <c r="F526" s="250">
        <v>17.251908923722411</v>
      </c>
      <c r="G526" s="251">
        <v>579.64599999999996</v>
      </c>
      <c r="H526" s="252" t="s">
        <v>321</v>
      </c>
      <c r="I526" s="252" t="s">
        <v>1044</v>
      </c>
      <c r="J526" s="252" t="s">
        <v>96</v>
      </c>
      <c r="K526" s="252" t="s">
        <v>1137</v>
      </c>
      <c r="L526" s="252" t="s">
        <v>153</v>
      </c>
      <c r="M526" s="248"/>
      <c r="N526" s="248"/>
      <c r="O526" s="248"/>
    </row>
    <row r="527" spans="1:15" hidden="1">
      <c r="A527" s="258">
        <v>45741</v>
      </c>
      <c r="B527" s="248" t="s">
        <v>814</v>
      </c>
      <c r="C527" s="255" t="s">
        <v>2090</v>
      </c>
      <c r="D527" s="248" t="s">
        <v>116</v>
      </c>
      <c r="E527" s="259">
        <v>11820</v>
      </c>
      <c r="F527" s="250">
        <v>20.391756347839891</v>
      </c>
      <c r="G527" s="251">
        <v>579.64599999999996</v>
      </c>
      <c r="H527" s="252" t="s">
        <v>321</v>
      </c>
      <c r="I527" s="252" t="s">
        <v>874</v>
      </c>
      <c r="J527" s="252" t="s">
        <v>96</v>
      </c>
      <c r="K527" s="252" t="s">
        <v>1137</v>
      </c>
      <c r="L527" s="252" t="s">
        <v>153</v>
      </c>
      <c r="M527" s="248"/>
      <c r="N527" s="248"/>
      <c r="O527" s="248"/>
    </row>
    <row r="528" spans="1:15" hidden="1">
      <c r="A528" s="258">
        <v>45742</v>
      </c>
      <c r="B528" s="248" t="s">
        <v>1074</v>
      </c>
      <c r="C528" s="254" t="s">
        <v>172</v>
      </c>
      <c r="D528" s="249" t="s">
        <v>115</v>
      </c>
      <c r="E528" s="259">
        <v>10000</v>
      </c>
      <c r="F528" s="250">
        <v>17.251908923722411</v>
      </c>
      <c r="G528" s="251">
        <v>579.64599999999996</v>
      </c>
      <c r="H528" s="252" t="s">
        <v>188</v>
      </c>
      <c r="I528" s="252" t="s">
        <v>1075</v>
      </c>
      <c r="J528" s="252" t="s">
        <v>96</v>
      </c>
      <c r="K528" s="252" t="s">
        <v>1137</v>
      </c>
      <c r="L528" s="252" t="s">
        <v>153</v>
      </c>
      <c r="M528" s="248"/>
      <c r="N528" s="248"/>
      <c r="O528" s="248"/>
    </row>
    <row r="529" spans="1:15" hidden="1">
      <c r="A529" s="258">
        <v>45741</v>
      </c>
      <c r="B529" s="248" t="s">
        <v>1076</v>
      </c>
      <c r="C529" s="248" t="s">
        <v>311</v>
      </c>
      <c r="D529" s="249" t="s">
        <v>115</v>
      </c>
      <c r="E529" s="259">
        <v>14000</v>
      </c>
      <c r="F529" s="250">
        <v>24.152672493211377</v>
      </c>
      <c r="G529" s="251">
        <v>579.64599999999996</v>
      </c>
      <c r="H529" s="252" t="s">
        <v>188</v>
      </c>
      <c r="I529" s="252" t="s">
        <v>1077</v>
      </c>
      <c r="J529" s="252" t="s">
        <v>96</v>
      </c>
      <c r="K529" s="252" t="s">
        <v>1137</v>
      </c>
      <c r="L529" s="252" t="s">
        <v>153</v>
      </c>
      <c r="M529" s="248"/>
      <c r="N529" s="248"/>
      <c r="O529" s="248"/>
    </row>
    <row r="530" spans="1:15" hidden="1">
      <c r="A530" s="258">
        <v>45740</v>
      </c>
      <c r="B530" s="248" t="s">
        <v>1078</v>
      </c>
      <c r="C530" s="254" t="s">
        <v>175</v>
      </c>
      <c r="D530" s="249" t="s">
        <v>115</v>
      </c>
      <c r="E530" s="259">
        <v>135000</v>
      </c>
      <c r="F530" s="250">
        <v>232.90077047025255</v>
      </c>
      <c r="G530" s="260">
        <v>579.64599999999996</v>
      </c>
      <c r="H530" s="252" t="s">
        <v>188</v>
      </c>
      <c r="I530" s="252" t="s">
        <v>1079</v>
      </c>
      <c r="J530" s="252" t="s">
        <v>96</v>
      </c>
      <c r="K530" s="256" t="s">
        <v>200</v>
      </c>
      <c r="L530" s="252" t="s">
        <v>153</v>
      </c>
      <c r="M530" s="248"/>
      <c r="N530" s="248"/>
      <c r="O530" s="248"/>
    </row>
    <row r="531" spans="1:15" hidden="1">
      <c r="A531" s="258">
        <v>45741</v>
      </c>
      <c r="B531" s="248" t="s">
        <v>820</v>
      </c>
      <c r="C531" s="254" t="s">
        <v>1168</v>
      </c>
      <c r="D531" s="248" t="s">
        <v>116</v>
      </c>
      <c r="E531" s="259">
        <v>25000</v>
      </c>
      <c r="F531" s="250">
        <v>43.129772309306027</v>
      </c>
      <c r="G531" s="260">
        <v>579.64599999999996</v>
      </c>
      <c r="H531" s="252" t="s">
        <v>191</v>
      </c>
      <c r="I531" s="252" t="s">
        <v>875</v>
      </c>
      <c r="J531" s="252" t="s">
        <v>96</v>
      </c>
      <c r="K531" s="256" t="s">
        <v>200</v>
      </c>
      <c r="L531" s="252" t="s">
        <v>153</v>
      </c>
      <c r="M531" s="248"/>
      <c r="N531" s="248"/>
      <c r="O531" s="248"/>
    </row>
    <row r="532" spans="1:15" hidden="1">
      <c r="A532" s="258">
        <v>45741</v>
      </c>
      <c r="B532" s="248" t="s">
        <v>921</v>
      </c>
      <c r="C532" s="248" t="s">
        <v>125</v>
      </c>
      <c r="D532" s="248" t="s">
        <v>117</v>
      </c>
      <c r="E532" s="259">
        <v>1311000</v>
      </c>
      <c r="F532" s="250">
        <v>2261.725259900008</v>
      </c>
      <c r="G532" s="260">
        <v>579.64599999999996</v>
      </c>
      <c r="H532" s="252" t="s">
        <v>146</v>
      </c>
      <c r="I532" s="252" t="s">
        <v>960</v>
      </c>
      <c r="J532" s="252" t="s">
        <v>96</v>
      </c>
      <c r="K532" s="256" t="s">
        <v>200</v>
      </c>
      <c r="L532" s="252" t="s">
        <v>153</v>
      </c>
      <c r="M532" s="248"/>
      <c r="N532" s="248"/>
      <c r="O532" s="248"/>
    </row>
    <row r="533" spans="1:15" hidden="1">
      <c r="A533" s="258">
        <v>45741</v>
      </c>
      <c r="B533" s="248" t="s">
        <v>922</v>
      </c>
      <c r="C533" s="248" t="s">
        <v>125</v>
      </c>
      <c r="D533" s="248" t="s">
        <v>116</v>
      </c>
      <c r="E533" s="259">
        <v>230000</v>
      </c>
      <c r="F533" s="250">
        <v>396.79390524561546</v>
      </c>
      <c r="G533" s="260">
        <v>579.64599999999996</v>
      </c>
      <c r="H533" s="252" t="s">
        <v>146</v>
      </c>
      <c r="I533" s="252" t="s">
        <v>961</v>
      </c>
      <c r="J533" s="252" t="s">
        <v>96</v>
      </c>
      <c r="K533" s="256" t="s">
        <v>200</v>
      </c>
      <c r="L533" s="252" t="s">
        <v>153</v>
      </c>
      <c r="M533" s="248"/>
      <c r="N533" s="248"/>
      <c r="O533" s="248"/>
    </row>
    <row r="534" spans="1:15" hidden="1">
      <c r="A534" s="258">
        <v>45741</v>
      </c>
      <c r="B534" s="248" t="s">
        <v>923</v>
      </c>
      <c r="C534" s="248" t="s">
        <v>125</v>
      </c>
      <c r="D534" s="249" t="s">
        <v>115</v>
      </c>
      <c r="E534" s="259">
        <v>200000</v>
      </c>
      <c r="F534" s="250">
        <v>345.03817847444822</v>
      </c>
      <c r="G534" s="260">
        <v>579.64599999999996</v>
      </c>
      <c r="H534" s="252" t="s">
        <v>146</v>
      </c>
      <c r="I534" s="252" t="s">
        <v>962</v>
      </c>
      <c r="J534" s="252" t="s">
        <v>96</v>
      </c>
      <c r="K534" s="256" t="s">
        <v>200</v>
      </c>
      <c r="L534" s="252" t="s">
        <v>153</v>
      </c>
      <c r="M534" s="248"/>
      <c r="N534" s="248"/>
      <c r="O534" s="248"/>
    </row>
    <row r="535" spans="1:15" hidden="1">
      <c r="A535" s="258">
        <v>45741</v>
      </c>
      <c r="B535" s="248" t="s">
        <v>924</v>
      </c>
      <c r="C535" s="248" t="s">
        <v>125</v>
      </c>
      <c r="D535" s="249" t="s">
        <v>115</v>
      </c>
      <c r="E535" s="259">
        <v>200000</v>
      </c>
      <c r="F535" s="250">
        <v>345.03817847444822</v>
      </c>
      <c r="G535" s="260">
        <v>579.64599999999996</v>
      </c>
      <c r="H535" s="252" t="s">
        <v>146</v>
      </c>
      <c r="I535" s="252" t="s">
        <v>963</v>
      </c>
      <c r="J535" s="252" t="s">
        <v>96</v>
      </c>
      <c r="K535" s="256" t="s">
        <v>200</v>
      </c>
      <c r="L535" s="252" t="s">
        <v>153</v>
      </c>
      <c r="M535" s="248"/>
      <c r="N535" s="248"/>
      <c r="O535" s="248"/>
    </row>
    <row r="536" spans="1:15" hidden="1">
      <c r="A536" s="258">
        <v>45741</v>
      </c>
      <c r="B536" s="248" t="s">
        <v>925</v>
      </c>
      <c r="C536" s="248" t="s">
        <v>125</v>
      </c>
      <c r="D536" s="249" t="s">
        <v>115</v>
      </c>
      <c r="E536" s="259">
        <v>200000</v>
      </c>
      <c r="F536" s="250">
        <v>345.03817847444822</v>
      </c>
      <c r="G536" s="260">
        <v>579.64599999999996</v>
      </c>
      <c r="H536" s="252" t="s">
        <v>146</v>
      </c>
      <c r="I536" s="252" t="s">
        <v>964</v>
      </c>
      <c r="J536" s="252" t="s">
        <v>96</v>
      </c>
      <c r="K536" s="256" t="s">
        <v>200</v>
      </c>
      <c r="L536" s="252" t="s">
        <v>153</v>
      </c>
      <c r="M536" s="248"/>
      <c r="N536" s="248"/>
      <c r="O536" s="248"/>
    </row>
    <row r="537" spans="1:15" hidden="1">
      <c r="A537" s="258">
        <v>45741</v>
      </c>
      <c r="B537" s="248" t="s">
        <v>926</v>
      </c>
      <c r="C537" s="248" t="s">
        <v>125</v>
      </c>
      <c r="D537" s="249" t="s">
        <v>115</v>
      </c>
      <c r="E537" s="259">
        <v>551482</v>
      </c>
      <c r="F537" s="250">
        <v>951.41172370722825</v>
      </c>
      <c r="G537" s="260">
        <v>579.64599999999996</v>
      </c>
      <c r="H537" s="252" t="s">
        <v>146</v>
      </c>
      <c r="I537" s="252" t="s">
        <v>965</v>
      </c>
      <c r="J537" s="252" t="s">
        <v>96</v>
      </c>
      <c r="K537" s="256" t="s">
        <v>200</v>
      </c>
      <c r="L537" s="252" t="s">
        <v>153</v>
      </c>
      <c r="M537" s="248"/>
      <c r="N537" s="248"/>
      <c r="O537" s="248"/>
    </row>
    <row r="538" spans="1:15" hidden="1">
      <c r="A538" s="258">
        <v>45741</v>
      </c>
      <c r="B538" s="248" t="s">
        <v>927</v>
      </c>
      <c r="C538" s="248" t="s">
        <v>125</v>
      </c>
      <c r="D538" s="248" t="s">
        <v>118</v>
      </c>
      <c r="E538" s="259">
        <v>238140</v>
      </c>
      <c r="F538" s="250">
        <v>410.83695910952548</v>
      </c>
      <c r="G538" s="260">
        <v>579.64599999999996</v>
      </c>
      <c r="H538" s="252" t="s">
        <v>146</v>
      </c>
      <c r="I538" s="252" t="s">
        <v>966</v>
      </c>
      <c r="J538" s="252" t="s">
        <v>96</v>
      </c>
      <c r="K538" s="256" t="s">
        <v>200</v>
      </c>
      <c r="L538" s="252" t="s">
        <v>153</v>
      </c>
      <c r="M538" s="248"/>
      <c r="N538" s="248"/>
      <c r="O538" s="248"/>
    </row>
    <row r="539" spans="1:15" hidden="1">
      <c r="A539" s="258">
        <v>45741</v>
      </c>
      <c r="B539" s="248" t="s">
        <v>928</v>
      </c>
      <c r="C539" s="248" t="s">
        <v>125</v>
      </c>
      <c r="D539" s="249" t="s">
        <v>115</v>
      </c>
      <c r="E539" s="259">
        <v>193548</v>
      </c>
      <c r="F539" s="250">
        <v>333.9072468368625</v>
      </c>
      <c r="G539" s="260">
        <v>579.64599999999996</v>
      </c>
      <c r="H539" s="252" t="s">
        <v>146</v>
      </c>
      <c r="I539" s="252" t="s">
        <v>1130</v>
      </c>
      <c r="J539" s="252" t="s">
        <v>96</v>
      </c>
      <c r="K539" s="256" t="s">
        <v>200</v>
      </c>
      <c r="L539" s="252" t="s">
        <v>153</v>
      </c>
      <c r="M539" s="248"/>
      <c r="N539" s="248"/>
      <c r="O539" s="248"/>
    </row>
    <row r="540" spans="1:15" hidden="1">
      <c r="A540" s="258">
        <v>45742</v>
      </c>
      <c r="B540" s="248" t="s">
        <v>615</v>
      </c>
      <c r="C540" s="248" t="s">
        <v>302</v>
      </c>
      <c r="D540" s="248" t="s">
        <v>116</v>
      </c>
      <c r="E540" s="259">
        <v>20000</v>
      </c>
      <c r="F540" s="250">
        <v>34.503817847444822</v>
      </c>
      <c r="G540" s="260">
        <v>579.64599999999996</v>
      </c>
      <c r="H540" s="252" t="s">
        <v>581</v>
      </c>
      <c r="I540" s="252" t="s">
        <v>876</v>
      </c>
      <c r="J540" s="252" t="s">
        <v>96</v>
      </c>
      <c r="K540" s="256" t="s">
        <v>200</v>
      </c>
      <c r="L540" s="252" t="s">
        <v>153</v>
      </c>
      <c r="M540" s="248"/>
      <c r="N540" s="248"/>
      <c r="O540" s="248"/>
    </row>
    <row r="541" spans="1:15" hidden="1">
      <c r="A541" s="258">
        <v>45742</v>
      </c>
      <c r="B541" s="248" t="s">
        <v>4829</v>
      </c>
      <c r="C541" s="254" t="s">
        <v>175</v>
      </c>
      <c r="D541" s="249" t="s">
        <v>440</v>
      </c>
      <c r="E541" s="259">
        <v>75000</v>
      </c>
      <c r="F541" s="250">
        <v>129.38931692791809</v>
      </c>
      <c r="G541" s="260">
        <v>579.64599999999996</v>
      </c>
      <c r="H541" s="252" t="s">
        <v>315</v>
      </c>
      <c r="I541" s="252" t="s">
        <v>1030</v>
      </c>
      <c r="J541" s="252" t="s">
        <v>96</v>
      </c>
      <c r="K541" s="256" t="s">
        <v>200</v>
      </c>
      <c r="L541" s="252" t="s">
        <v>153</v>
      </c>
      <c r="M541" s="248"/>
      <c r="N541" s="248"/>
      <c r="O541" s="248"/>
    </row>
    <row r="542" spans="1:15" hidden="1">
      <c r="A542" s="258">
        <v>45742</v>
      </c>
      <c r="B542" s="248" t="s">
        <v>4797</v>
      </c>
      <c r="C542" s="254" t="s">
        <v>172</v>
      </c>
      <c r="D542" s="249" t="s">
        <v>440</v>
      </c>
      <c r="E542" s="259">
        <v>3000</v>
      </c>
      <c r="F542" s="250">
        <v>5.1755726771167234</v>
      </c>
      <c r="G542" s="251">
        <v>579.64599999999996</v>
      </c>
      <c r="H542" s="252" t="s">
        <v>315</v>
      </c>
      <c r="I542" s="252" t="s">
        <v>1031</v>
      </c>
      <c r="J542" s="252" t="s">
        <v>96</v>
      </c>
      <c r="K542" s="252" t="s">
        <v>1137</v>
      </c>
      <c r="L542" s="252" t="s">
        <v>153</v>
      </c>
      <c r="M542" s="248"/>
      <c r="N542" s="248"/>
      <c r="O542" s="248"/>
    </row>
    <row r="543" spans="1:15" hidden="1">
      <c r="A543" s="258">
        <v>45742</v>
      </c>
      <c r="B543" s="248" t="s">
        <v>1107</v>
      </c>
      <c r="C543" s="254" t="s">
        <v>175</v>
      </c>
      <c r="D543" s="248" t="s">
        <v>2091</v>
      </c>
      <c r="E543" s="259">
        <v>135000</v>
      </c>
      <c r="F543" s="250">
        <v>232.90077047025255</v>
      </c>
      <c r="G543" s="251">
        <v>579.64599999999996</v>
      </c>
      <c r="H543" s="252" t="s">
        <v>211</v>
      </c>
      <c r="I543" s="252" t="s">
        <v>1108</v>
      </c>
      <c r="J543" s="252" t="s">
        <v>96</v>
      </c>
      <c r="K543" s="252" t="s">
        <v>1137</v>
      </c>
      <c r="L543" s="252" t="s">
        <v>153</v>
      </c>
      <c r="M543" s="248"/>
      <c r="N543" s="248"/>
      <c r="O543" s="248"/>
    </row>
    <row r="544" spans="1:15" hidden="1">
      <c r="A544" s="258">
        <v>45742</v>
      </c>
      <c r="B544" s="248" t="s">
        <v>1109</v>
      </c>
      <c r="C544" s="254" t="s">
        <v>172</v>
      </c>
      <c r="D544" s="248" t="s">
        <v>2091</v>
      </c>
      <c r="E544" s="259">
        <v>10000</v>
      </c>
      <c r="F544" s="250">
        <v>17.251908923722411</v>
      </c>
      <c r="G544" s="251">
        <v>579.64599999999996</v>
      </c>
      <c r="H544" s="252" t="s">
        <v>211</v>
      </c>
      <c r="I544" s="252" t="s">
        <v>1110</v>
      </c>
      <c r="J544" s="252" t="s">
        <v>96</v>
      </c>
      <c r="K544" s="252" t="s">
        <v>1137</v>
      </c>
      <c r="L544" s="252" t="s">
        <v>153</v>
      </c>
      <c r="M544" s="248"/>
      <c r="N544" s="248"/>
      <c r="O544" s="248"/>
    </row>
    <row r="545" spans="1:15" hidden="1">
      <c r="A545" s="258">
        <v>45742</v>
      </c>
      <c r="B545" s="248" t="s">
        <v>821</v>
      </c>
      <c r="C545" s="254" t="s">
        <v>2092</v>
      </c>
      <c r="D545" s="248" t="s">
        <v>118</v>
      </c>
      <c r="E545" s="259">
        <v>200000</v>
      </c>
      <c r="F545" s="250">
        <v>345.03817847444822</v>
      </c>
      <c r="G545" s="260">
        <v>579.64599999999996</v>
      </c>
      <c r="H545" s="252" t="s">
        <v>211</v>
      </c>
      <c r="I545" s="252" t="s">
        <v>895</v>
      </c>
      <c r="J545" s="252" t="s">
        <v>96</v>
      </c>
      <c r="K545" s="256" t="s">
        <v>200</v>
      </c>
      <c r="L545" s="252" t="s">
        <v>153</v>
      </c>
      <c r="M545" s="248"/>
      <c r="N545" s="248"/>
      <c r="O545" s="248"/>
    </row>
    <row r="546" spans="1:15" hidden="1">
      <c r="A546" s="258">
        <v>45742</v>
      </c>
      <c r="B546" s="248" t="s">
        <v>929</v>
      </c>
      <c r="C546" s="248" t="s">
        <v>126</v>
      </c>
      <c r="D546" s="248" t="s">
        <v>116</v>
      </c>
      <c r="E546" s="259">
        <v>52635</v>
      </c>
      <c r="F546" s="250">
        <v>90.805422620012905</v>
      </c>
      <c r="G546" s="251">
        <v>579.64599999999996</v>
      </c>
      <c r="H546" s="252" t="s">
        <v>146</v>
      </c>
      <c r="I546" s="252" t="s">
        <v>1131</v>
      </c>
      <c r="J546" s="252" t="s">
        <v>96</v>
      </c>
      <c r="K546" s="252" t="s">
        <v>1137</v>
      </c>
      <c r="L546" s="252" t="s">
        <v>153</v>
      </c>
      <c r="M546" s="248"/>
      <c r="N546" s="248"/>
      <c r="O546" s="248"/>
    </row>
    <row r="547" spans="1:15" hidden="1">
      <c r="A547" s="258">
        <v>45743</v>
      </c>
      <c r="B547" s="248" t="s">
        <v>4754</v>
      </c>
      <c r="C547" s="254" t="s">
        <v>175</v>
      </c>
      <c r="D547" s="249" t="s">
        <v>440</v>
      </c>
      <c r="E547" s="259">
        <v>30000</v>
      </c>
      <c r="F547" s="250">
        <v>51.755726771167232</v>
      </c>
      <c r="G547" s="251">
        <v>579.64599999999996</v>
      </c>
      <c r="H547" s="252" t="s">
        <v>173</v>
      </c>
      <c r="I547" s="252" t="s">
        <v>1014</v>
      </c>
      <c r="J547" s="252" t="s">
        <v>96</v>
      </c>
      <c r="K547" s="252" t="s">
        <v>1137</v>
      </c>
      <c r="L547" s="252" t="s">
        <v>153</v>
      </c>
      <c r="M547" s="248"/>
      <c r="N547" s="248"/>
      <c r="O547" s="248"/>
    </row>
    <row r="548" spans="1:15" hidden="1">
      <c r="A548" s="258">
        <v>45743</v>
      </c>
      <c r="B548" s="248" t="s">
        <v>4830</v>
      </c>
      <c r="C548" s="254" t="s">
        <v>172</v>
      </c>
      <c r="D548" s="249" t="s">
        <v>440</v>
      </c>
      <c r="E548" s="259">
        <v>15000</v>
      </c>
      <c r="F548" s="250">
        <v>25.877863385583616</v>
      </c>
      <c r="G548" s="251">
        <v>579.64599999999996</v>
      </c>
      <c r="H548" s="252" t="s">
        <v>173</v>
      </c>
      <c r="I548" s="252" t="s">
        <v>1015</v>
      </c>
      <c r="J548" s="252" t="s">
        <v>96</v>
      </c>
      <c r="K548" s="252" t="s">
        <v>1137</v>
      </c>
      <c r="L548" s="252" t="s">
        <v>153</v>
      </c>
      <c r="M548" s="248"/>
      <c r="N548" s="248"/>
      <c r="O548" s="248"/>
    </row>
    <row r="549" spans="1:15" hidden="1">
      <c r="A549" s="258">
        <v>45743</v>
      </c>
      <c r="B549" s="248" t="s">
        <v>1016</v>
      </c>
      <c r="C549" s="254" t="s">
        <v>363</v>
      </c>
      <c r="D549" s="249" t="s">
        <v>440</v>
      </c>
      <c r="E549" s="259">
        <v>18000</v>
      </c>
      <c r="F549" s="250">
        <v>31.053436062700339</v>
      </c>
      <c r="G549" s="251">
        <v>579.64599999999996</v>
      </c>
      <c r="H549" s="252" t="s">
        <v>173</v>
      </c>
      <c r="I549" s="252" t="s">
        <v>1017</v>
      </c>
      <c r="J549" s="252" t="s">
        <v>96</v>
      </c>
      <c r="K549" s="252" t="s">
        <v>1137</v>
      </c>
      <c r="L549" s="252" t="s">
        <v>153</v>
      </c>
      <c r="M549" s="248"/>
      <c r="N549" s="248"/>
      <c r="O549" s="248"/>
    </row>
    <row r="550" spans="1:15" hidden="1">
      <c r="A550" s="258">
        <v>45743</v>
      </c>
      <c r="B550" s="248" t="s">
        <v>1054</v>
      </c>
      <c r="C550" s="254" t="s">
        <v>172</v>
      </c>
      <c r="D550" s="249" t="s">
        <v>115</v>
      </c>
      <c r="E550" s="259">
        <v>8000</v>
      </c>
      <c r="F550" s="250">
        <v>13.80152713897793</v>
      </c>
      <c r="G550" s="251">
        <v>579.64599999999996</v>
      </c>
      <c r="H550" s="252" t="s">
        <v>185</v>
      </c>
      <c r="I550" s="252" t="s">
        <v>1055</v>
      </c>
      <c r="J550" s="252" t="s">
        <v>96</v>
      </c>
      <c r="K550" s="252" t="s">
        <v>1137</v>
      </c>
      <c r="L550" s="252" t="s">
        <v>153</v>
      </c>
      <c r="M550" s="248"/>
      <c r="N550" s="248"/>
      <c r="O550" s="248"/>
    </row>
    <row r="551" spans="1:15" hidden="1">
      <c r="A551" s="258">
        <v>45743</v>
      </c>
      <c r="B551" s="248" t="s">
        <v>1097</v>
      </c>
      <c r="C551" s="254" t="s">
        <v>1168</v>
      </c>
      <c r="D551" s="248" t="s">
        <v>2091</v>
      </c>
      <c r="E551" s="259">
        <v>28400</v>
      </c>
      <c r="F551" s="250">
        <v>48.995421343371646</v>
      </c>
      <c r="G551" s="251">
        <v>579.64599999999996</v>
      </c>
      <c r="H551" s="252" t="s">
        <v>195</v>
      </c>
      <c r="I551" s="252" t="s">
        <v>1098</v>
      </c>
      <c r="J551" s="252" t="s">
        <v>96</v>
      </c>
      <c r="K551" s="252" t="s">
        <v>1137</v>
      </c>
      <c r="L551" s="252" t="s">
        <v>153</v>
      </c>
      <c r="M551" s="248"/>
      <c r="N551" s="248"/>
      <c r="O551" s="248"/>
    </row>
    <row r="552" spans="1:15" hidden="1">
      <c r="A552" s="258">
        <v>45744</v>
      </c>
      <c r="B552" s="248" t="s">
        <v>822</v>
      </c>
      <c r="C552" s="248" t="s">
        <v>302</v>
      </c>
      <c r="D552" s="248" t="s">
        <v>116</v>
      </c>
      <c r="E552" s="259">
        <v>8000</v>
      </c>
      <c r="F552" s="250">
        <v>13.80152713897793</v>
      </c>
      <c r="G552" s="251">
        <v>579.64599999999996</v>
      </c>
      <c r="H552" s="252" t="s">
        <v>581</v>
      </c>
      <c r="I552" s="252" t="s">
        <v>877</v>
      </c>
      <c r="J552" s="252" t="s">
        <v>96</v>
      </c>
      <c r="K552" s="252" t="s">
        <v>1137</v>
      </c>
      <c r="L552" s="252" t="s">
        <v>153</v>
      </c>
      <c r="M552" s="248"/>
      <c r="N552" s="248"/>
      <c r="O552" s="248"/>
    </row>
    <row r="553" spans="1:15" hidden="1">
      <c r="A553" s="258">
        <v>45744</v>
      </c>
      <c r="B553" s="248" t="s">
        <v>824</v>
      </c>
      <c r="C553" s="248" t="s">
        <v>302</v>
      </c>
      <c r="D553" s="248" t="s">
        <v>116</v>
      </c>
      <c r="E553" s="259">
        <v>75625</v>
      </c>
      <c r="F553" s="250">
        <v>130.46756123565072</v>
      </c>
      <c r="G553" s="251">
        <v>579.64599999999996</v>
      </c>
      <c r="H553" s="252" t="s">
        <v>581</v>
      </c>
      <c r="I553" s="252" t="s">
        <v>879</v>
      </c>
      <c r="J553" s="252" t="s">
        <v>96</v>
      </c>
      <c r="K553" s="252" t="s">
        <v>1137</v>
      </c>
      <c r="L553" s="252" t="s">
        <v>153</v>
      </c>
      <c r="M553" s="248"/>
      <c r="N553" s="248"/>
      <c r="O553" s="248"/>
    </row>
    <row r="554" spans="1:15" hidden="1">
      <c r="A554" s="258">
        <v>45744</v>
      </c>
      <c r="B554" s="248" t="s">
        <v>4754</v>
      </c>
      <c r="C554" s="254" t="s">
        <v>175</v>
      </c>
      <c r="D554" s="249" t="s">
        <v>440</v>
      </c>
      <c r="E554" s="259">
        <v>15000</v>
      </c>
      <c r="F554" s="250">
        <v>25.877863385583616</v>
      </c>
      <c r="G554" s="251">
        <v>579.64599999999996</v>
      </c>
      <c r="H554" s="252" t="s">
        <v>173</v>
      </c>
      <c r="I554" s="252" t="s">
        <v>1018</v>
      </c>
      <c r="J554" s="252" t="s">
        <v>96</v>
      </c>
      <c r="K554" s="252" t="s">
        <v>1137</v>
      </c>
      <c r="L554" s="252" t="s">
        <v>153</v>
      </c>
      <c r="M554" s="248"/>
      <c r="N554" s="248"/>
      <c r="O554" s="248"/>
    </row>
    <row r="555" spans="1:15" hidden="1">
      <c r="A555" s="258">
        <v>45744</v>
      </c>
      <c r="B555" s="248" t="s">
        <v>4827</v>
      </c>
      <c r="C555" s="254" t="s">
        <v>172</v>
      </c>
      <c r="D555" s="249" t="s">
        <v>440</v>
      </c>
      <c r="E555" s="259">
        <v>7000</v>
      </c>
      <c r="F555" s="250">
        <v>12.076336246605688</v>
      </c>
      <c r="G555" s="260">
        <v>579.64599999999996</v>
      </c>
      <c r="H555" s="252" t="s">
        <v>173</v>
      </c>
      <c r="I555" s="252" t="s">
        <v>1019</v>
      </c>
      <c r="J555" s="252" t="s">
        <v>96</v>
      </c>
      <c r="K555" s="256" t="s">
        <v>200</v>
      </c>
      <c r="L555" s="252" t="s">
        <v>153</v>
      </c>
      <c r="M555" s="248"/>
      <c r="N555" s="248"/>
      <c r="O555" s="248"/>
    </row>
    <row r="556" spans="1:15" hidden="1">
      <c r="A556" s="258">
        <v>45744</v>
      </c>
      <c r="B556" s="248" t="s">
        <v>4793</v>
      </c>
      <c r="C556" s="254" t="s">
        <v>175</v>
      </c>
      <c r="D556" s="249" t="s">
        <v>440</v>
      </c>
      <c r="E556" s="259">
        <v>30000</v>
      </c>
      <c r="F556" s="250">
        <v>51.755726771167232</v>
      </c>
      <c r="G556" s="260">
        <v>579.64599999999996</v>
      </c>
      <c r="H556" s="252" t="s">
        <v>315</v>
      </c>
      <c r="I556" s="252" t="s">
        <v>1032</v>
      </c>
      <c r="J556" s="252" t="s">
        <v>96</v>
      </c>
      <c r="K556" s="256" t="s">
        <v>200</v>
      </c>
      <c r="L556" s="252" t="s">
        <v>153</v>
      </c>
      <c r="M556" s="248"/>
      <c r="N556" s="248"/>
      <c r="O556" s="248"/>
    </row>
    <row r="557" spans="1:15" hidden="1">
      <c r="A557" s="258">
        <v>45744</v>
      </c>
      <c r="B557" s="248" t="s">
        <v>4797</v>
      </c>
      <c r="C557" s="254" t="s">
        <v>172</v>
      </c>
      <c r="D557" s="249" t="s">
        <v>440</v>
      </c>
      <c r="E557" s="259">
        <v>7000</v>
      </c>
      <c r="F557" s="250">
        <v>12.076336246605688</v>
      </c>
      <c r="G557" s="260">
        <v>579.64599999999996</v>
      </c>
      <c r="H557" s="252" t="s">
        <v>315</v>
      </c>
      <c r="I557" s="252" t="s">
        <v>1033</v>
      </c>
      <c r="J557" s="252" t="s">
        <v>96</v>
      </c>
      <c r="K557" s="256" t="s">
        <v>200</v>
      </c>
      <c r="L557" s="252" t="s">
        <v>153</v>
      </c>
      <c r="M557" s="248"/>
      <c r="N557" s="248"/>
      <c r="O557" s="248"/>
    </row>
    <row r="558" spans="1:15" hidden="1">
      <c r="A558" s="258">
        <v>45744</v>
      </c>
      <c r="B558" s="248" t="s">
        <v>1056</v>
      </c>
      <c r="C558" s="248" t="s">
        <v>311</v>
      </c>
      <c r="D558" s="249" t="s">
        <v>115</v>
      </c>
      <c r="E558" s="259">
        <v>41500</v>
      </c>
      <c r="F558" s="250">
        <v>71.595422033448003</v>
      </c>
      <c r="G558" s="260">
        <v>579.64599999999996</v>
      </c>
      <c r="H558" s="252" t="s">
        <v>185</v>
      </c>
      <c r="I558" s="252" t="s">
        <v>1057</v>
      </c>
      <c r="J558" s="252" t="s">
        <v>96</v>
      </c>
      <c r="K558" s="256" t="s">
        <v>200</v>
      </c>
      <c r="L558" s="252" t="s">
        <v>153</v>
      </c>
      <c r="M558" s="248"/>
      <c r="N558" s="248"/>
      <c r="O558" s="248"/>
    </row>
    <row r="559" spans="1:15" hidden="1">
      <c r="A559" s="258">
        <v>45744</v>
      </c>
      <c r="B559" s="248" t="s">
        <v>1080</v>
      </c>
      <c r="C559" s="254" t="s">
        <v>172</v>
      </c>
      <c r="D559" s="249" t="s">
        <v>115</v>
      </c>
      <c r="E559" s="259">
        <v>35500</v>
      </c>
      <c r="F559" s="250">
        <v>61.244276679214558</v>
      </c>
      <c r="G559" s="260">
        <v>579.64599999999996</v>
      </c>
      <c r="H559" s="252" t="s">
        <v>188</v>
      </c>
      <c r="I559" s="252" t="s">
        <v>1081</v>
      </c>
      <c r="J559" s="252" t="s">
        <v>96</v>
      </c>
      <c r="K559" s="256" t="s">
        <v>200</v>
      </c>
      <c r="L559" s="252" t="s">
        <v>153</v>
      </c>
      <c r="M559" s="248"/>
      <c r="N559" s="248"/>
      <c r="O559" s="248"/>
    </row>
    <row r="560" spans="1:15" hidden="1">
      <c r="A560" s="258">
        <v>45744</v>
      </c>
      <c r="B560" s="248" t="s">
        <v>823</v>
      </c>
      <c r="C560" s="255" t="s">
        <v>2090</v>
      </c>
      <c r="D560" s="248" t="s">
        <v>116</v>
      </c>
      <c r="E560" s="259">
        <v>8825</v>
      </c>
      <c r="F560" s="250">
        <v>15.224809625185028</v>
      </c>
      <c r="G560" s="260">
        <v>579.64599999999996</v>
      </c>
      <c r="H560" s="252" t="s">
        <v>188</v>
      </c>
      <c r="I560" s="252" t="s">
        <v>878</v>
      </c>
      <c r="J560" s="252" t="s">
        <v>96</v>
      </c>
      <c r="K560" s="256" t="s">
        <v>200</v>
      </c>
      <c r="L560" s="252" t="s">
        <v>153</v>
      </c>
      <c r="M560" s="248"/>
      <c r="N560" s="248"/>
      <c r="O560" s="248"/>
    </row>
    <row r="561" spans="1:15" hidden="1">
      <c r="A561" s="258">
        <v>45744</v>
      </c>
      <c r="B561" s="248" t="s">
        <v>1099</v>
      </c>
      <c r="C561" s="248" t="s">
        <v>311</v>
      </c>
      <c r="D561" s="249" t="s">
        <v>115</v>
      </c>
      <c r="E561" s="259">
        <v>4000</v>
      </c>
      <c r="F561" s="250">
        <v>6.9007635694889649</v>
      </c>
      <c r="G561" s="260">
        <v>579.64599999999996</v>
      </c>
      <c r="H561" s="252" t="s">
        <v>195</v>
      </c>
      <c r="I561" s="252" t="s">
        <v>1100</v>
      </c>
      <c r="J561" s="252" t="s">
        <v>96</v>
      </c>
      <c r="K561" s="256" t="s">
        <v>200</v>
      </c>
      <c r="L561" s="252" t="s">
        <v>153</v>
      </c>
      <c r="M561" s="248"/>
      <c r="N561" s="248"/>
      <c r="O561" s="248"/>
    </row>
    <row r="562" spans="1:15" hidden="1">
      <c r="A562" s="258">
        <v>45744</v>
      </c>
      <c r="B562" s="248" t="s">
        <v>1162</v>
      </c>
      <c r="C562" s="254" t="s">
        <v>172</v>
      </c>
      <c r="D562" s="248" t="s">
        <v>118</v>
      </c>
      <c r="E562" s="259">
        <v>43650</v>
      </c>
      <c r="F562" s="250">
        <v>75.304582452048322</v>
      </c>
      <c r="G562" s="260">
        <v>579.64599999999996</v>
      </c>
      <c r="H562" s="252" t="s">
        <v>211</v>
      </c>
      <c r="I562" s="252" t="s">
        <v>1111</v>
      </c>
      <c r="J562" s="252" t="s">
        <v>96</v>
      </c>
      <c r="K562" s="256" t="s">
        <v>200</v>
      </c>
      <c r="L562" s="252" t="s">
        <v>153</v>
      </c>
      <c r="M562" s="248"/>
      <c r="N562" s="248"/>
      <c r="O562" s="248"/>
    </row>
    <row r="563" spans="1:15" hidden="1">
      <c r="A563" s="258">
        <v>45744</v>
      </c>
      <c r="B563" s="248" t="s">
        <v>821</v>
      </c>
      <c r="C563" s="254" t="s">
        <v>2092</v>
      </c>
      <c r="D563" s="248" t="s">
        <v>118</v>
      </c>
      <c r="E563" s="259">
        <v>154000</v>
      </c>
      <c r="F563" s="250">
        <v>265.67939742532513</v>
      </c>
      <c r="G563" s="260">
        <v>579.64599999999996</v>
      </c>
      <c r="H563" s="252" t="s">
        <v>211</v>
      </c>
      <c r="I563" s="252" t="s">
        <v>896</v>
      </c>
      <c r="J563" s="252" t="s">
        <v>96</v>
      </c>
      <c r="K563" s="256" t="s">
        <v>200</v>
      </c>
      <c r="L563" s="252" t="s">
        <v>153</v>
      </c>
      <c r="M563" s="248"/>
      <c r="N563" s="248"/>
      <c r="O563" s="248"/>
    </row>
    <row r="564" spans="1:15" hidden="1">
      <c r="A564" s="258">
        <v>45744</v>
      </c>
      <c r="B564" s="248" t="s">
        <v>930</v>
      </c>
      <c r="C564" s="248" t="s">
        <v>125</v>
      </c>
      <c r="D564" s="249" t="s">
        <v>440</v>
      </c>
      <c r="E564" s="259">
        <v>500000</v>
      </c>
      <c r="F564" s="250">
        <v>862.59544618612051</v>
      </c>
      <c r="G564" s="260">
        <v>579.64599999999996</v>
      </c>
      <c r="H564" s="252" t="s">
        <v>146</v>
      </c>
      <c r="I564" s="252" t="s">
        <v>1132</v>
      </c>
      <c r="J564" s="252" t="s">
        <v>96</v>
      </c>
      <c r="K564" s="256" t="s">
        <v>200</v>
      </c>
      <c r="L564" s="252" t="s">
        <v>153</v>
      </c>
      <c r="M564" s="248"/>
      <c r="N564" s="248"/>
      <c r="O564" s="248"/>
    </row>
    <row r="565" spans="1:15" hidden="1">
      <c r="A565" s="258">
        <v>45744</v>
      </c>
      <c r="B565" s="248" t="s">
        <v>931</v>
      </c>
      <c r="C565" s="248" t="s">
        <v>125</v>
      </c>
      <c r="D565" s="249" t="s">
        <v>440</v>
      </c>
      <c r="E565" s="259">
        <v>375000</v>
      </c>
      <c r="F565" s="250">
        <v>646.94658463959047</v>
      </c>
      <c r="G565" s="260">
        <v>579.64599999999996</v>
      </c>
      <c r="H565" s="252" t="s">
        <v>146</v>
      </c>
      <c r="I565" s="252" t="s">
        <v>1133</v>
      </c>
      <c r="J565" s="252" t="s">
        <v>96</v>
      </c>
      <c r="K565" s="256" t="s">
        <v>200</v>
      </c>
      <c r="L565" s="252" t="s">
        <v>153</v>
      </c>
      <c r="M565" s="248"/>
      <c r="N565" s="248"/>
      <c r="O565" s="248"/>
    </row>
    <row r="566" spans="1:15" hidden="1">
      <c r="A566" s="258">
        <v>45745</v>
      </c>
      <c r="B566" s="248" t="s">
        <v>1124</v>
      </c>
      <c r="C566" s="248" t="s">
        <v>263</v>
      </c>
      <c r="D566" s="248" t="s">
        <v>2091</v>
      </c>
      <c r="E566" s="259">
        <v>120000</v>
      </c>
      <c r="F566" s="250">
        <v>207.02290708466893</v>
      </c>
      <c r="G566" s="260">
        <v>579.64599999999996</v>
      </c>
      <c r="H566" s="252" t="s">
        <v>198</v>
      </c>
      <c r="I566" s="252" t="s">
        <v>1146</v>
      </c>
      <c r="J566" s="252" t="s">
        <v>96</v>
      </c>
      <c r="K566" s="256" t="s">
        <v>200</v>
      </c>
      <c r="L566" s="252" t="s">
        <v>153</v>
      </c>
      <c r="M566" s="248"/>
      <c r="N566" s="248"/>
      <c r="O566" s="248"/>
    </row>
    <row r="567" spans="1:15" hidden="1">
      <c r="A567" s="258">
        <v>45745</v>
      </c>
      <c r="B567" s="248" t="s">
        <v>1125</v>
      </c>
      <c r="C567" s="254" t="s">
        <v>175</v>
      </c>
      <c r="D567" s="248" t="s">
        <v>2091</v>
      </c>
      <c r="E567" s="259">
        <v>60000</v>
      </c>
      <c r="F567" s="250">
        <v>103.51145354233446</v>
      </c>
      <c r="G567" s="260">
        <v>579.64599999999996</v>
      </c>
      <c r="H567" s="252" t="s">
        <v>198</v>
      </c>
      <c r="I567" s="252" t="s">
        <v>1147</v>
      </c>
      <c r="J567" s="252" t="s">
        <v>96</v>
      </c>
      <c r="K567" s="256" t="s">
        <v>200</v>
      </c>
      <c r="L567" s="252" t="s">
        <v>153</v>
      </c>
      <c r="M567" s="248"/>
      <c r="N567" s="248"/>
      <c r="O567" s="248"/>
    </row>
    <row r="568" spans="1:15" hidden="1">
      <c r="A568" s="258">
        <v>45745</v>
      </c>
      <c r="B568" s="248" t="s">
        <v>1126</v>
      </c>
      <c r="C568" s="254" t="s">
        <v>172</v>
      </c>
      <c r="D568" s="248" t="s">
        <v>2091</v>
      </c>
      <c r="E568" s="259">
        <v>46875</v>
      </c>
      <c r="F568" s="250">
        <v>80.868323079948809</v>
      </c>
      <c r="G568" s="260">
        <v>579.64599999999996</v>
      </c>
      <c r="H568" s="252" t="s">
        <v>198</v>
      </c>
      <c r="I568" s="252" t="s">
        <v>1148</v>
      </c>
      <c r="J568" s="252" t="s">
        <v>96</v>
      </c>
      <c r="K568" s="256" t="s">
        <v>200</v>
      </c>
      <c r="L568" s="252" t="s">
        <v>153</v>
      </c>
      <c r="M568" s="248"/>
      <c r="N568" s="248"/>
      <c r="O568" s="248"/>
    </row>
    <row r="569" spans="1:15" hidden="1">
      <c r="A569" s="258">
        <v>45745</v>
      </c>
      <c r="B569" s="248" t="s">
        <v>1127</v>
      </c>
      <c r="C569" s="254" t="s">
        <v>172</v>
      </c>
      <c r="D569" s="248" t="s">
        <v>2091</v>
      </c>
      <c r="E569" s="259">
        <v>46875</v>
      </c>
      <c r="F569" s="250">
        <v>80.868323079948809</v>
      </c>
      <c r="G569" s="260">
        <v>579.64599999999996</v>
      </c>
      <c r="H569" s="252" t="s">
        <v>198</v>
      </c>
      <c r="I569" s="252" t="s">
        <v>1149</v>
      </c>
      <c r="J569" s="252" t="s">
        <v>96</v>
      </c>
      <c r="K569" s="256" t="s">
        <v>200</v>
      </c>
      <c r="L569" s="252" t="s">
        <v>153</v>
      </c>
      <c r="M569" s="248"/>
      <c r="N569" s="248"/>
      <c r="O569" s="248"/>
    </row>
    <row r="570" spans="1:15" hidden="1">
      <c r="A570" s="258">
        <v>45745</v>
      </c>
      <c r="B570" s="248" t="s">
        <v>1128</v>
      </c>
      <c r="C570" s="254" t="s">
        <v>172</v>
      </c>
      <c r="D570" s="249" t="s">
        <v>115</v>
      </c>
      <c r="E570" s="259">
        <v>40000</v>
      </c>
      <c r="F570" s="250">
        <v>69.007635694889643</v>
      </c>
      <c r="G570" s="260">
        <v>579.64599999999996</v>
      </c>
      <c r="H570" s="252" t="s">
        <v>198</v>
      </c>
      <c r="I570" s="252" t="s">
        <v>1150</v>
      </c>
      <c r="J570" s="252" t="s">
        <v>96</v>
      </c>
      <c r="K570" s="256" t="s">
        <v>200</v>
      </c>
      <c r="L570" s="252" t="s">
        <v>153</v>
      </c>
      <c r="M570" s="248"/>
      <c r="N570" s="248"/>
      <c r="O570" s="248"/>
    </row>
    <row r="571" spans="1:15" hidden="1">
      <c r="A571" s="258">
        <v>45745</v>
      </c>
      <c r="B571" s="248" t="s">
        <v>1020</v>
      </c>
      <c r="C571" s="254" t="s">
        <v>172</v>
      </c>
      <c r="D571" s="249" t="s">
        <v>440</v>
      </c>
      <c r="E571" s="259">
        <v>83200</v>
      </c>
      <c r="F571" s="250">
        <v>143.53588224537046</v>
      </c>
      <c r="G571" s="260">
        <v>579.64599999999996</v>
      </c>
      <c r="H571" s="252" t="s">
        <v>173</v>
      </c>
      <c r="I571" s="252" t="s">
        <v>1021</v>
      </c>
      <c r="J571" s="252" t="s">
        <v>96</v>
      </c>
      <c r="K571" s="256" t="s">
        <v>200</v>
      </c>
      <c r="L571" s="252" t="s">
        <v>153</v>
      </c>
      <c r="M571" s="248"/>
      <c r="N571" s="248"/>
      <c r="O571" s="248"/>
    </row>
    <row r="572" spans="1:15" hidden="1">
      <c r="A572" s="258">
        <v>45743</v>
      </c>
      <c r="B572" s="248" t="s">
        <v>1058</v>
      </c>
      <c r="C572" s="254" t="s">
        <v>175</v>
      </c>
      <c r="D572" s="249" t="s">
        <v>115</v>
      </c>
      <c r="E572" s="259">
        <v>150000</v>
      </c>
      <c r="F572" s="250">
        <v>258.77863385583618</v>
      </c>
      <c r="G572" s="260">
        <v>579.64599999999996</v>
      </c>
      <c r="H572" s="252" t="s">
        <v>185</v>
      </c>
      <c r="I572" s="252" t="s">
        <v>1059</v>
      </c>
      <c r="J572" s="252" t="s">
        <v>96</v>
      </c>
      <c r="K572" s="256" t="s">
        <v>200</v>
      </c>
      <c r="L572" s="252" t="s">
        <v>153</v>
      </c>
      <c r="M572" s="248"/>
      <c r="N572" s="248"/>
      <c r="O572" s="248"/>
    </row>
    <row r="573" spans="1:15" hidden="1">
      <c r="A573" s="258">
        <v>45745</v>
      </c>
      <c r="B573" s="248" t="s">
        <v>1060</v>
      </c>
      <c r="C573" s="254" t="s">
        <v>175</v>
      </c>
      <c r="D573" s="249" t="s">
        <v>115</v>
      </c>
      <c r="E573" s="259">
        <v>30000</v>
      </c>
      <c r="F573" s="250">
        <v>51.755726771167232</v>
      </c>
      <c r="G573" s="260">
        <v>579.64599999999996</v>
      </c>
      <c r="H573" s="252" t="s">
        <v>185</v>
      </c>
      <c r="I573" s="252" t="s">
        <v>1061</v>
      </c>
      <c r="J573" s="252" t="s">
        <v>96</v>
      </c>
      <c r="K573" s="256" t="s">
        <v>200</v>
      </c>
      <c r="L573" s="252" t="s">
        <v>153</v>
      </c>
      <c r="M573" s="248"/>
      <c r="N573" s="248"/>
      <c r="O573" s="248"/>
    </row>
    <row r="574" spans="1:15" hidden="1">
      <c r="A574" s="258">
        <v>45745</v>
      </c>
      <c r="B574" s="248" t="s">
        <v>1163</v>
      </c>
      <c r="C574" s="254" t="s">
        <v>172</v>
      </c>
      <c r="D574" s="249" t="s">
        <v>115</v>
      </c>
      <c r="E574" s="259">
        <v>6000</v>
      </c>
      <c r="F574" s="250">
        <v>10.351145354233447</v>
      </c>
      <c r="G574" s="260">
        <v>579.64599999999996</v>
      </c>
      <c r="H574" s="252" t="s">
        <v>185</v>
      </c>
      <c r="I574" s="252" t="s">
        <v>1062</v>
      </c>
      <c r="J574" s="252" t="s">
        <v>96</v>
      </c>
      <c r="K574" s="256" t="s">
        <v>200</v>
      </c>
      <c r="L574" s="252" t="s">
        <v>153</v>
      </c>
      <c r="M574" s="248"/>
      <c r="N574" s="248"/>
      <c r="O574" s="248"/>
    </row>
    <row r="575" spans="1:15" hidden="1">
      <c r="A575" s="258">
        <v>45745</v>
      </c>
      <c r="B575" s="248" t="s">
        <v>1063</v>
      </c>
      <c r="C575" s="254" t="s">
        <v>172</v>
      </c>
      <c r="D575" s="249" t="s">
        <v>115</v>
      </c>
      <c r="E575" s="259">
        <v>7000</v>
      </c>
      <c r="F575" s="250">
        <v>12.076336246605688</v>
      </c>
      <c r="G575" s="260">
        <v>579.64599999999996</v>
      </c>
      <c r="H575" s="252" t="s">
        <v>185</v>
      </c>
      <c r="I575" s="252" t="s">
        <v>1064</v>
      </c>
      <c r="J575" s="252" t="s">
        <v>96</v>
      </c>
      <c r="K575" s="256" t="s">
        <v>200</v>
      </c>
      <c r="L575" s="252" t="s">
        <v>153</v>
      </c>
      <c r="M575" s="248"/>
      <c r="N575" s="248"/>
      <c r="O575" s="248"/>
    </row>
    <row r="576" spans="1:15" hidden="1">
      <c r="A576" s="258">
        <v>45745</v>
      </c>
      <c r="B576" s="248" t="s">
        <v>2098</v>
      </c>
      <c r="C576" s="254" t="s">
        <v>172</v>
      </c>
      <c r="D576" s="249" t="s">
        <v>115</v>
      </c>
      <c r="E576" s="259">
        <v>49400</v>
      </c>
      <c r="F576" s="250">
        <v>85.224430083188707</v>
      </c>
      <c r="G576" s="260">
        <v>579.64599999999996</v>
      </c>
      <c r="H576" s="252" t="s">
        <v>185</v>
      </c>
      <c r="I576" s="252" t="s">
        <v>1065</v>
      </c>
      <c r="J576" s="252" t="s">
        <v>96</v>
      </c>
      <c r="K576" s="256" t="s">
        <v>200</v>
      </c>
      <c r="L576" s="252" t="s">
        <v>153</v>
      </c>
      <c r="M576" s="248"/>
      <c r="N576" s="248"/>
      <c r="O576" s="248"/>
    </row>
    <row r="577" spans="1:15" hidden="1">
      <c r="A577" s="258">
        <v>45747</v>
      </c>
      <c r="B577" s="248" t="s">
        <v>971</v>
      </c>
      <c r="C577" s="254" t="s">
        <v>172</v>
      </c>
      <c r="D577" s="248" t="s">
        <v>117</v>
      </c>
      <c r="E577" s="259">
        <v>61000</v>
      </c>
      <c r="F577" s="250">
        <v>105.2366444347067</v>
      </c>
      <c r="G577" s="260">
        <v>579.64599999999996</v>
      </c>
      <c r="H577" s="252" t="s">
        <v>151</v>
      </c>
      <c r="I577" s="252" t="s">
        <v>972</v>
      </c>
      <c r="J577" s="252" t="s">
        <v>96</v>
      </c>
      <c r="K577" s="256" t="s">
        <v>200</v>
      </c>
      <c r="L577" s="252" t="s">
        <v>153</v>
      </c>
      <c r="M577" s="248"/>
      <c r="N577" s="248"/>
      <c r="O577" s="248"/>
    </row>
    <row r="578" spans="1:15" hidden="1">
      <c r="A578" s="258">
        <v>45747</v>
      </c>
      <c r="B578" s="248" t="s">
        <v>1164</v>
      </c>
      <c r="C578" s="254" t="s">
        <v>172</v>
      </c>
      <c r="D578" s="248" t="s">
        <v>116</v>
      </c>
      <c r="E578" s="259">
        <v>35500</v>
      </c>
      <c r="F578" s="250">
        <v>61.244276679214558</v>
      </c>
      <c r="G578" s="260">
        <v>579.64599999999996</v>
      </c>
      <c r="H578" s="252" t="s">
        <v>581</v>
      </c>
      <c r="I578" s="252" t="s">
        <v>974</v>
      </c>
      <c r="J578" s="252" t="s">
        <v>96</v>
      </c>
      <c r="K578" s="256" t="s">
        <v>200</v>
      </c>
      <c r="L578" s="252" t="s">
        <v>153</v>
      </c>
      <c r="M578" s="248"/>
      <c r="N578" s="248"/>
      <c r="O578" s="248"/>
    </row>
    <row r="579" spans="1:15" hidden="1">
      <c r="A579" s="258">
        <v>45747</v>
      </c>
      <c r="B579" s="248" t="s">
        <v>825</v>
      </c>
      <c r="C579" s="248" t="s">
        <v>624</v>
      </c>
      <c r="D579" s="248" t="s">
        <v>116</v>
      </c>
      <c r="E579" s="259">
        <v>45050</v>
      </c>
      <c r="F579" s="250">
        <v>77.719849701369469</v>
      </c>
      <c r="G579" s="260">
        <v>579.64599999999996</v>
      </c>
      <c r="H579" s="252" t="s">
        <v>581</v>
      </c>
      <c r="I579" s="252" t="s">
        <v>880</v>
      </c>
      <c r="J579" s="252" t="s">
        <v>96</v>
      </c>
      <c r="K579" s="256" t="s">
        <v>200</v>
      </c>
      <c r="L579" s="252" t="s">
        <v>153</v>
      </c>
      <c r="M579" s="248"/>
      <c r="N579" s="248"/>
      <c r="O579" s="248"/>
    </row>
    <row r="580" spans="1:15" hidden="1">
      <c r="A580" s="258">
        <v>45747</v>
      </c>
      <c r="B580" s="248" t="s">
        <v>1034</v>
      </c>
      <c r="C580" s="254" t="s">
        <v>363</v>
      </c>
      <c r="D580" s="249" t="s">
        <v>440</v>
      </c>
      <c r="E580" s="259">
        <v>30100</v>
      </c>
      <c r="F580" s="250">
        <v>51.928245860404459</v>
      </c>
      <c r="G580" s="260">
        <v>579.64599999999996</v>
      </c>
      <c r="H580" s="252" t="s">
        <v>315</v>
      </c>
      <c r="I580" s="252" t="s">
        <v>1035</v>
      </c>
      <c r="J580" s="252" t="s">
        <v>96</v>
      </c>
      <c r="K580" s="256" t="s">
        <v>200</v>
      </c>
      <c r="L580" s="252" t="s">
        <v>153</v>
      </c>
      <c r="M580" s="248"/>
      <c r="N580" s="248"/>
      <c r="O580" s="248"/>
    </row>
    <row r="581" spans="1:15" hidden="1">
      <c r="A581" s="258">
        <v>45747</v>
      </c>
      <c r="B581" s="248" t="s">
        <v>1036</v>
      </c>
      <c r="C581" s="254" t="s">
        <v>172</v>
      </c>
      <c r="D581" s="249" t="s">
        <v>440</v>
      </c>
      <c r="E581" s="259">
        <v>89800</v>
      </c>
      <c r="F581" s="250">
        <v>154.92214213502726</v>
      </c>
      <c r="G581" s="260">
        <v>579.64599999999996</v>
      </c>
      <c r="H581" s="252" t="s">
        <v>315</v>
      </c>
      <c r="I581" s="252" t="s">
        <v>1037</v>
      </c>
      <c r="J581" s="252" t="s">
        <v>96</v>
      </c>
      <c r="K581" s="256" t="s">
        <v>200</v>
      </c>
      <c r="L581" s="252" t="s">
        <v>153</v>
      </c>
      <c r="M581" s="248"/>
      <c r="N581" s="248"/>
      <c r="O581" s="248"/>
    </row>
    <row r="582" spans="1:15" hidden="1">
      <c r="A582" s="258">
        <v>45747</v>
      </c>
      <c r="B582" s="248" t="s">
        <v>1045</v>
      </c>
      <c r="C582" s="254" t="s">
        <v>172</v>
      </c>
      <c r="D582" s="249" t="s">
        <v>440</v>
      </c>
      <c r="E582" s="259">
        <v>50500</v>
      </c>
      <c r="F582" s="250">
        <v>87.122140064798174</v>
      </c>
      <c r="G582" s="260">
        <v>579.64599999999996</v>
      </c>
      <c r="H582" s="252" t="s">
        <v>321</v>
      </c>
      <c r="I582" s="252" t="s">
        <v>1046</v>
      </c>
      <c r="J582" s="252" t="s">
        <v>96</v>
      </c>
      <c r="K582" s="256" t="s">
        <v>200</v>
      </c>
      <c r="L582" s="252" t="s">
        <v>153</v>
      </c>
      <c r="M582" s="248"/>
      <c r="N582" s="248"/>
      <c r="O582" s="248"/>
    </row>
    <row r="583" spans="1:15" hidden="1">
      <c r="A583" s="258">
        <v>45747</v>
      </c>
      <c r="B583" s="248" t="s">
        <v>1165</v>
      </c>
      <c r="C583" s="254" t="s">
        <v>172</v>
      </c>
      <c r="D583" s="249" t="s">
        <v>115</v>
      </c>
      <c r="E583" s="259">
        <v>53000</v>
      </c>
      <c r="F583" s="250">
        <v>91.435117295728773</v>
      </c>
      <c r="G583" s="260">
        <v>579.64599999999996</v>
      </c>
      <c r="H583" s="252" t="s">
        <v>191</v>
      </c>
      <c r="I583" s="252" t="s">
        <v>1089</v>
      </c>
      <c r="J583" s="252" t="s">
        <v>96</v>
      </c>
      <c r="K583" s="256" t="s">
        <v>200</v>
      </c>
      <c r="L583" s="252" t="s">
        <v>153</v>
      </c>
      <c r="M583" s="248"/>
      <c r="N583" s="248"/>
      <c r="O583" s="248"/>
    </row>
    <row r="584" spans="1:15" hidden="1">
      <c r="A584" s="258">
        <v>45747</v>
      </c>
      <c r="B584" s="248" t="s">
        <v>826</v>
      </c>
      <c r="C584" s="255" t="s">
        <v>2090</v>
      </c>
      <c r="D584" s="248" t="s">
        <v>116</v>
      </c>
      <c r="E584" s="259">
        <v>16890</v>
      </c>
      <c r="F584" s="250">
        <v>29.138474172167154</v>
      </c>
      <c r="G584" s="260">
        <v>579.64599999999996</v>
      </c>
      <c r="H584" s="252" t="s">
        <v>191</v>
      </c>
      <c r="I584" s="252" t="s">
        <v>881</v>
      </c>
      <c r="J584" s="252" t="s">
        <v>96</v>
      </c>
      <c r="K584" s="256" t="s">
        <v>200</v>
      </c>
      <c r="L584" s="252" t="s">
        <v>153</v>
      </c>
      <c r="M584" s="248"/>
      <c r="N584" s="248"/>
      <c r="O584" s="248"/>
    </row>
    <row r="585" spans="1:15" hidden="1">
      <c r="A585" s="258">
        <v>45747</v>
      </c>
      <c r="B585" s="248" t="s">
        <v>1101</v>
      </c>
      <c r="C585" s="254" t="s">
        <v>172</v>
      </c>
      <c r="D585" s="249" t="s">
        <v>115</v>
      </c>
      <c r="E585" s="259">
        <v>33000</v>
      </c>
      <c r="F585" s="250">
        <v>56.931299448283958</v>
      </c>
      <c r="G585" s="260">
        <v>579.64599999999996</v>
      </c>
      <c r="H585" s="252" t="s">
        <v>195</v>
      </c>
      <c r="I585" s="252" t="s">
        <v>1102</v>
      </c>
      <c r="J585" s="252" t="s">
        <v>96</v>
      </c>
      <c r="K585" s="256" t="s">
        <v>200</v>
      </c>
      <c r="L585" s="252" t="s">
        <v>153</v>
      </c>
      <c r="M585" s="248"/>
      <c r="N585" s="248"/>
      <c r="O585" s="248"/>
    </row>
    <row r="586" spans="1:15" hidden="1">
      <c r="A586" s="258">
        <v>45747</v>
      </c>
      <c r="B586" s="248" t="s">
        <v>932</v>
      </c>
      <c r="C586" s="248" t="s">
        <v>125</v>
      </c>
      <c r="D586" s="249" t="s">
        <v>440</v>
      </c>
      <c r="E586" s="259">
        <v>255000</v>
      </c>
      <c r="F586" s="250">
        <v>439.92367755492148</v>
      </c>
      <c r="G586" s="260">
        <v>579.64599999999996</v>
      </c>
      <c r="H586" s="252" t="s">
        <v>146</v>
      </c>
      <c r="I586" s="252" t="s">
        <v>1134</v>
      </c>
      <c r="J586" s="252" t="s">
        <v>96</v>
      </c>
      <c r="K586" s="256" t="s">
        <v>200</v>
      </c>
      <c r="L586" s="252" t="s">
        <v>153</v>
      </c>
      <c r="M586" s="248"/>
      <c r="N586" s="248"/>
      <c r="O586" s="248"/>
    </row>
    <row r="587" spans="1:15" hidden="1">
      <c r="A587" s="258">
        <v>45747</v>
      </c>
      <c r="B587" s="248" t="s">
        <v>933</v>
      </c>
      <c r="C587" s="248" t="s">
        <v>125</v>
      </c>
      <c r="D587" s="249" t="s">
        <v>440</v>
      </c>
      <c r="E587" s="259">
        <v>255000</v>
      </c>
      <c r="F587" s="250">
        <v>439.92367755492148</v>
      </c>
      <c r="G587" s="260">
        <v>579.64599999999996</v>
      </c>
      <c r="H587" s="252" t="s">
        <v>146</v>
      </c>
      <c r="I587" s="252" t="s">
        <v>1135</v>
      </c>
      <c r="J587" s="252" t="s">
        <v>96</v>
      </c>
      <c r="K587" s="256" t="s">
        <v>200</v>
      </c>
      <c r="L587" s="252" t="s">
        <v>153</v>
      </c>
      <c r="M587" s="248"/>
      <c r="N587" s="248"/>
      <c r="O587" s="248"/>
    </row>
    <row r="588" spans="1:15" hidden="1">
      <c r="A588" s="247">
        <v>45748</v>
      </c>
      <c r="B588" s="248" t="s">
        <v>1282</v>
      </c>
      <c r="C588" s="248" t="s">
        <v>1510</v>
      </c>
      <c r="D588" s="249" t="s">
        <v>993</v>
      </c>
      <c r="E588" s="250">
        <v>28000</v>
      </c>
      <c r="F588" s="250">
        <v>48.305344986422753</v>
      </c>
      <c r="G588" s="260">
        <v>579.64599999999996</v>
      </c>
      <c r="H588" s="252" t="s">
        <v>321</v>
      </c>
      <c r="I588" s="252" t="s">
        <v>1283</v>
      </c>
      <c r="J588" s="252" t="s">
        <v>96</v>
      </c>
      <c r="K588" s="252" t="s">
        <v>200</v>
      </c>
      <c r="L588" s="252" t="s">
        <v>153</v>
      </c>
      <c r="M588" s="248"/>
      <c r="N588" s="248"/>
      <c r="O588" s="248"/>
    </row>
    <row r="589" spans="1:15" hidden="1">
      <c r="A589" s="247">
        <v>45748</v>
      </c>
      <c r="B589" s="248" t="s">
        <v>1340</v>
      </c>
      <c r="C589" s="248" t="s">
        <v>172</v>
      </c>
      <c r="D589" s="249" t="s">
        <v>115</v>
      </c>
      <c r="E589" s="250">
        <v>7000</v>
      </c>
      <c r="F589" s="250">
        <v>12.076336246605688</v>
      </c>
      <c r="G589" s="260">
        <v>579.64599999999996</v>
      </c>
      <c r="H589" s="252" t="s">
        <v>191</v>
      </c>
      <c r="I589" s="252" t="s">
        <v>1341</v>
      </c>
      <c r="J589" s="252" t="s">
        <v>96</v>
      </c>
      <c r="K589" s="252" t="s">
        <v>200</v>
      </c>
      <c r="L589" s="252" t="s">
        <v>153</v>
      </c>
      <c r="M589" s="248"/>
      <c r="N589" s="248"/>
      <c r="O589" s="248"/>
    </row>
    <row r="590" spans="1:15" hidden="1">
      <c r="A590" s="247">
        <v>45748</v>
      </c>
      <c r="B590" s="248" t="s">
        <v>1342</v>
      </c>
      <c r="C590" s="248" t="s">
        <v>172</v>
      </c>
      <c r="D590" s="249" t="s">
        <v>115</v>
      </c>
      <c r="E590" s="250">
        <v>21000</v>
      </c>
      <c r="F590" s="250">
        <v>36.229008739817061</v>
      </c>
      <c r="G590" s="260">
        <v>579.64599999999996</v>
      </c>
      <c r="H590" s="252" t="s">
        <v>191</v>
      </c>
      <c r="I590" s="252" t="s">
        <v>1343</v>
      </c>
      <c r="J590" s="252" t="s">
        <v>96</v>
      </c>
      <c r="K590" s="252" t="s">
        <v>200</v>
      </c>
      <c r="L590" s="252" t="s">
        <v>153</v>
      </c>
      <c r="M590" s="248"/>
      <c r="N590" s="248"/>
      <c r="O590" s="248"/>
    </row>
    <row r="591" spans="1:15" hidden="1">
      <c r="A591" s="247">
        <v>45748</v>
      </c>
      <c r="B591" s="248" t="s">
        <v>1344</v>
      </c>
      <c r="C591" s="254" t="s">
        <v>175</v>
      </c>
      <c r="D591" s="249" t="s">
        <v>115</v>
      </c>
      <c r="E591" s="250">
        <v>50000</v>
      </c>
      <c r="F591" s="250">
        <v>86.259544618612054</v>
      </c>
      <c r="G591" s="260">
        <v>579.64599999999996</v>
      </c>
      <c r="H591" s="252" t="s">
        <v>191</v>
      </c>
      <c r="I591" s="252" t="s">
        <v>1345</v>
      </c>
      <c r="J591" s="252" t="s">
        <v>96</v>
      </c>
      <c r="K591" s="252" t="s">
        <v>200</v>
      </c>
      <c r="L591" s="252" t="s">
        <v>153</v>
      </c>
      <c r="M591" s="248"/>
      <c r="N591" s="248"/>
      <c r="O591" s="248"/>
    </row>
    <row r="592" spans="1:15" hidden="1">
      <c r="A592" s="247">
        <v>45748</v>
      </c>
      <c r="B592" s="248" t="s">
        <v>934</v>
      </c>
      <c r="C592" s="248" t="s">
        <v>302</v>
      </c>
      <c r="D592" s="248" t="s">
        <v>116</v>
      </c>
      <c r="E592" s="250">
        <v>260000</v>
      </c>
      <c r="F592" s="250">
        <v>448.54963201678271</v>
      </c>
      <c r="G592" s="260">
        <v>579.64599999999996</v>
      </c>
      <c r="H592" s="252" t="s">
        <v>146</v>
      </c>
      <c r="I592" s="252" t="s">
        <v>1462</v>
      </c>
      <c r="J592" s="252" t="s">
        <v>96</v>
      </c>
      <c r="K592" s="252" t="s">
        <v>200</v>
      </c>
      <c r="L592" s="252" t="s">
        <v>153</v>
      </c>
      <c r="M592" s="248"/>
      <c r="N592" s="248"/>
      <c r="O592" s="248"/>
    </row>
    <row r="593" spans="1:15" hidden="1">
      <c r="A593" s="247">
        <v>45749</v>
      </c>
      <c r="B593" s="248" t="s">
        <v>1196</v>
      </c>
      <c r="C593" s="248" t="s">
        <v>150</v>
      </c>
      <c r="D593" s="249" t="s">
        <v>440</v>
      </c>
      <c r="E593" s="250">
        <v>88000</v>
      </c>
      <c r="F593" s="250">
        <v>151.81679852875723</v>
      </c>
      <c r="G593" s="260">
        <v>579.64599999999996</v>
      </c>
      <c r="H593" s="252" t="s">
        <v>581</v>
      </c>
      <c r="I593" s="252" t="s">
        <v>1197</v>
      </c>
      <c r="J593" s="252" t="s">
        <v>96</v>
      </c>
      <c r="K593" s="252" t="s">
        <v>200</v>
      </c>
      <c r="L593" s="252" t="s">
        <v>153</v>
      </c>
      <c r="M593" s="248"/>
      <c r="N593" s="248"/>
      <c r="O593" s="248"/>
    </row>
    <row r="594" spans="1:15" hidden="1">
      <c r="A594" s="247">
        <v>45749</v>
      </c>
      <c r="B594" s="248" t="s">
        <v>1198</v>
      </c>
      <c r="C594" s="248" t="s">
        <v>150</v>
      </c>
      <c r="D594" s="248" t="s">
        <v>118</v>
      </c>
      <c r="E594" s="250">
        <v>10000</v>
      </c>
      <c r="F594" s="250">
        <v>17.251908923722411</v>
      </c>
      <c r="G594" s="260">
        <v>579.64599999999996</v>
      </c>
      <c r="H594" s="252" t="s">
        <v>581</v>
      </c>
      <c r="I594" s="252" t="s">
        <v>1199</v>
      </c>
      <c r="J594" s="252" t="s">
        <v>96</v>
      </c>
      <c r="K594" s="252" t="s">
        <v>200</v>
      </c>
      <c r="L594" s="252" t="s">
        <v>153</v>
      </c>
      <c r="M594" s="248"/>
      <c r="N594" s="248"/>
      <c r="O594" s="248"/>
    </row>
    <row r="595" spans="1:15" hidden="1">
      <c r="A595" s="247">
        <v>45749</v>
      </c>
      <c r="B595" s="248" t="s">
        <v>1200</v>
      </c>
      <c r="C595" s="248" t="s">
        <v>150</v>
      </c>
      <c r="D595" s="249" t="s">
        <v>115</v>
      </c>
      <c r="E595" s="250">
        <v>10000</v>
      </c>
      <c r="F595" s="250">
        <v>17.251908923722411</v>
      </c>
      <c r="G595" s="260">
        <v>579.64599999999996</v>
      </c>
      <c r="H595" s="252" t="s">
        <v>581</v>
      </c>
      <c r="I595" s="252" t="s">
        <v>1201</v>
      </c>
      <c r="J595" s="252" t="s">
        <v>96</v>
      </c>
      <c r="K595" s="252" t="s">
        <v>200</v>
      </c>
      <c r="L595" s="252" t="s">
        <v>153</v>
      </c>
      <c r="M595" s="248"/>
      <c r="N595" s="248"/>
      <c r="O595" s="248"/>
    </row>
    <row r="596" spans="1:15" hidden="1">
      <c r="A596" s="247">
        <v>45749</v>
      </c>
      <c r="B596" s="248" t="s">
        <v>1202</v>
      </c>
      <c r="C596" s="248" t="s">
        <v>150</v>
      </c>
      <c r="D596" s="249" t="s">
        <v>440</v>
      </c>
      <c r="E596" s="250">
        <v>16000</v>
      </c>
      <c r="F596" s="250">
        <v>27.603054277955859</v>
      </c>
      <c r="G596" s="260">
        <v>579.64599999999996</v>
      </c>
      <c r="H596" s="252" t="s">
        <v>581</v>
      </c>
      <c r="I596" s="252" t="s">
        <v>1203</v>
      </c>
      <c r="J596" s="252" t="s">
        <v>96</v>
      </c>
      <c r="K596" s="252" t="s">
        <v>200</v>
      </c>
      <c r="L596" s="252" t="s">
        <v>153</v>
      </c>
      <c r="M596" s="248"/>
      <c r="N596" s="248"/>
      <c r="O596" s="248"/>
    </row>
    <row r="597" spans="1:15" hidden="1">
      <c r="A597" s="247">
        <v>45749</v>
      </c>
      <c r="B597" s="248" t="s">
        <v>1204</v>
      </c>
      <c r="C597" s="248" t="s">
        <v>150</v>
      </c>
      <c r="D597" s="248" t="s">
        <v>118</v>
      </c>
      <c r="E597" s="250">
        <v>11000</v>
      </c>
      <c r="F597" s="250">
        <v>18.977099816094654</v>
      </c>
      <c r="G597" s="260">
        <v>579.64599999999996</v>
      </c>
      <c r="H597" s="252" t="s">
        <v>581</v>
      </c>
      <c r="I597" s="252" t="s">
        <v>1205</v>
      </c>
      <c r="J597" s="252" t="s">
        <v>96</v>
      </c>
      <c r="K597" s="252" t="s">
        <v>200</v>
      </c>
      <c r="L597" s="252" t="s">
        <v>153</v>
      </c>
      <c r="M597" s="248"/>
      <c r="N597" s="248"/>
      <c r="O597" s="248"/>
    </row>
    <row r="598" spans="1:15" hidden="1">
      <c r="A598" s="247">
        <v>45749</v>
      </c>
      <c r="B598" s="248" t="s">
        <v>1496</v>
      </c>
      <c r="C598" s="254" t="s">
        <v>175</v>
      </c>
      <c r="D598" s="249" t="s">
        <v>115</v>
      </c>
      <c r="E598" s="250">
        <v>20000</v>
      </c>
      <c r="F598" s="250">
        <v>34.503817847444822</v>
      </c>
      <c r="G598" s="260">
        <v>579.64599999999996</v>
      </c>
      <c r="H598" s="252" t="s">
        <v>191</v>
      </c>
      <c r="I598" s="252" t="s">
        <v>1346</v>
      </c>
      <c r="J598" s="252" t="s">
        <v>96</v>
      </c>
      <c r="K598" s="252" t="s">
        <v>200</v>
      </c>
      <c r="L598" s="252" t="s">
        <v>153</v>
      </c>
      <c r="M598" s="248"/>
      <c r="N598" s="248"/>
      <c r="O598" s="248"/>
    </row>
    <row r="599" spans="1:15" hidden="1">
      <c r="A599" s="247">
        <v>45749</v>
      </c>
      <c r="B599" s="248" t="s">
        <v>1192</v>
      </c>
      <c r="C599" s="248" t="s">
        <v>150</v>
      </c>
      <c r="D599" s="248" t="s">
        <v>117</v>
      </c>
      <c r="E599" s="264">
        <v>42000</v>
      </c>
      <c r="F599" s="250">
        <v>72.052412983844818</v>
      </c>
      <c r="G599" s="251">
        <v>582.90899999999999</v>
      </c>
      <c r="H599" s="252" t="s">
        <v>581</v>
      </c>
      <c r="I599" s="252" t="s">
        <v>1193</v>
      </c>
      <c r="J599" s="252" t="s">
        <v>96</v>
      </c>
      <c r="K599" s="265" t="s">
        <v>1906</v>
      </c>
      <c r="L599" s="252" t="s">
        <v>153</v>
      </c>
      <c r="M599" s="248"/>
      <c r="N599" s="248"/>
      <c r="O599" s="248"/>
    </row>
    <row r="600" spans="1:15" hidden="1">
      <c r="A600" s="277">
        <v>45749</v>
      </c>
      <c r="B600" s="248" t="s">
        <v>1446</v>
      </c>
      <c r="C600" s="248" t="s">
        <v>123</v>
      </c>
      <c r="D600" s="248"/>
      <c r="E600" s="278"/>
      <c r="F600" s="291">
        <f t="shared" ref="F600" si="2">+E600/G600</f>
        <v>0</v>
      </c>
      <c r="G600" s="292">
        <f>+M600/N600</f>
        <v>582.90859999999998</v>
      </c>
      <c r="H600" s="248" t="s">
        <v>146</v>
      </c>
      <c r="I600" s="248" t="s">
        <v>1472</v>
      </c>
      <c r="J600" s="248" t="s">
        <v>96</v>
      </c>
      <c r="K600" s="248" t="s">
        <v>1906</v>
      </c>
      <c r="L600" s="248" t="s">
        <v>153</v>
      </c>
      <c r="M600" s="248">
        <v>17487258</v>
      </c>
      <c r="N600" s="248">
        <v>30000</v>
      </c>
      <c r="O600" s="248"/>
    </row>
    <row r="601" spans="1:15" hidden="1">
      <c r="A601" s="247">
        <v>45749</v>
      </c>
      <c r="B601" s="248" t="s">
        <v>1194</v>
      </c>
      <c r="C601" s="248" t="s">
        <v>150</v>
      </c>
      <c r="D601" s="249" t="s">
        <v>115</v>
      </c>
      <c r="E601" s="264">
        <v>95000</v>
      </c>
      <c r="F601" s="250">
        <v>162.97569603488711</v>
      </c>
      <c r="G601" s="251">
        <v>582.90899999999999</v>
      </c>
      <c r="H601" s="252" t="s">
        <v>581</v>
      </c>
      <c r="I601" s="252" t="s">
        <v>1195</v>
      </c>
      <c r="J601" s="252" t="s">
        <v>96</v>
      </c>
      <c r="K601" s="265" t="s">
        <v>1906</v>
      </c>
      <c r="L601" s="252" t="s">
        <v>153</v>
      </c>
      <c r="M601" s="248"/>
      <c r="N601" s="248"/>
      <c r="O601" s="248"/>
    </row>
    <row r="602" spans="1:15" hidden="1">
      <c r="A602" s="266">
        <v>45750</v>
      </c>
      <c r="B602" s="248" t="s">
        <v>1494</v>
      </c>
      <c r="C602" s="248" t="s">
        <v>1510</v>
      </c>
      <c r="D602" s="249" t="s">
        <v>993</v>
      </c>
      <c r="E602" s="250">
        <v>50000</v>
      </c>
      <c r="F602" s="250">
        <v>86.259544618612054</v>
      </c>
      <c r="G602" s="263">
        <v>579.64599999999996</v>
      </c>
      <c r="H602" s="252" t="s">
        <v>173</v>
      </c>
      <c r="I602" s="252" t="s">
        <v>1261</v>
      </c>
      <c r="J602" s="252" t="s">
        <v>96</v>
      </c>
      <c r="K602" s="252" t="s">
        <v>1137</v>
      </c>
      <c r="L602" s="252" t="s">
        <v>153</v>
      </c>
      <c r="M602" s="248"/>
      <c r="N602" s="248"/>
      <c r="O602" s="248"/>
    </row>
    <row r="603" spans="1:15" hidden="1">
      <c r="A603" s="247">
        <v>45750</v>
      </c>
      <c r="B603" s="248" t="s">
        <v>4758</v>
      </c>
      <c r="C603" s="248" t="s">
        <v>172</v>
      </c>
      <c r="D603" s="249" t="s">
        <v>440</v>
      </c>
      <c r="E603" s="250">
        <v>7000</v>
      </c>
      <c r="F603" s="250">
        <v>12.00873549730747</v>
      </c>
      <c r="G603" s="251">
        <v>582.90899999999999</v>
      </c>
      <c r="H603" s="252" t="s">
        <v>182</v>
      </c>
      <c r="I603" s="252" t="s">
        <v>1475</v>
      </c>
      <c r="J603" s="252" t="s">
        <v>96</v>
      </c>
      <c r="K603" s="265" t="s">
        <v>1906</v>
      </c>
      <c r="L603" s="252" t="s">
        <v>153</v>
      </c>
      <c r="M603" s="248"/>
      <c r="N603" s="248"/>
      <c r="O603" s="248"/>
    </row>
    <row r="604" spans="1:15" hidden="1">
      <c r="A604" s="247">
        <v>45750</v>
      </c>
      <c r="B604" s="248" t="s">
        <v>4749</v>
      </c>
      <c r="C604" s="248" t="s">
        <v>172</v>
      </c>
      <c r="D604" s="249" t="s">
        <v>440</v>
      </c>
      <c r="E604" s="250">
        <v>7000</v>
      </c>
      <c r="F604" s="250">
        <v>12.076336246605688</v>
      </c>
      <c r="G604" s="263">
        <v>579.64599999999996</v>
      </c>
      <c r="H604" s="252" t="s">
        <v>315</v>
      </c>
      <c r="I604" s="252" t="s">
        <v>1274</v>
      </c>
      <c r="J604" s="252" t="s">
        <v>96</v>
      </c>
      <c r="K604" s="252" t="s">
        <v>1137</v>
      </c>
      <c r="L604" s="252" t="s">
        <v>153</v>
      </c>
      <c r="M604" s="248"/>
      <c r="N604" s="248"/>
      <c r="O604" s="248"/>
    </row>
    <row r="605" spans="1:15" hidden="1">
      <c r="A605" s="267">
        <v>45751</v>
      </c>
      <c r="B605" s="248" t="s">
        <v>1347</v>
      </c>
      <c r="C605" s="248" t="s">
        <v>172</v>
      </c>
      <c r="D605" s="249" t="s">
        <v>115</v>
      </c>
      <c r="E605" s="250">
        <v>7000</v>
      </c>
      <c r="F605" s="250">
        <v>12.076336246605688</v>
      </c>
      <c r="G605" s="263">
        <v>579.64599999999996</v>
      </c>
      <c r="H605" s="252" t="s">
        <v>191</v>
      </c>
      <c r="I605" s="252" t="s">
        <v>1348</v>
      </c>
      <c r="J605" s="252" t="s">
        <v>96</v>
      </c>
      <c r="K605" s="252" t="s">
        <v>1137</v>
      </c>
      <c r="L605" s="252" t="s">
        <v>153</v>
      </c>
      <c r="M605" s="248"/>
      <c r="N605" s="248"/>
      <c r="O605" s="248"/>
    </row>
    <row r="606" spans="1:15" hidden="1">
      <c r="A606" s="247">
        <v>45751</v>
      </c>
      <c r="B606" s="248" t="s">
        <v>4761</v>
      </c>
      <c r="C606" s="254" t="s">
        <v>175</v>
      </c>
      <c r="D606" s="249" t="s">
        <v>440</v>
      </c>
      <c r="E606" s="250">
        <v>140000</v>
      </c>
      <c r="F606" s="250">
        <v>241.52672493211375</v>
      </c>
      <c r="G606" s="263">
        <v>579.64599999999996</v>
      </c>
      <c r="H606" s="252" t="s">
        <v>182</v>
      </c>
      <c r="I606" s="252" t="s">
        <v>1476</v>
      </c>
      <c r="J606" s="252" t="s">
        <v>96</v>
      </c>
      <c r="K606" s="252" t="s">
        <v>1137</v>
      </c>
      <c r="L606" s="252" t="s">
        <v>153</v>
      </c>
      <c r="M606" s="248"/>
      <c r="N606" s="248"/>
      <c r="O606" s="248"/>
    </row>
    <row r="607" spans="1:15" hidden="1">
      <c r="A607" s="247">
        <v>45751</v>
      </c>
      <c r="B607" s="248" t="s">
        <v>4748</v>
      </c>
      <c r="C607" s="254" t="s">
        <v>175</v>
      </c>
      <c r="D607" s="249" t="s">
        <v>440</v>
      </c>
      <c r="E607" s="250">
        <v>140000</v>
      </c>
      <c r="F607" s="250">
        <v>241.52672493211375</v>
      </c>
      <c r="G607" s="263">
        <v>579.64599999999996</v>
      </c>
      <c r="H607" s="252" t="s">
        <v>315</v>
      </c>
      <c r="I607" s="252" t="s">
        <v>1275</v>
      </c>
      <c r="J607" s="252" t="s">
        <v>96</v>
      </c>
      <c r="K607" s="252" t="s">
        <v>1137</v>
      </c>
      <c r="L607" s="252" t="s">
        <v>153</v>
      </c>
      <c r="M607" s="248"/>
      <c r="N607" s="248"/>
      <c r="O607" s="248"/>
    </row>
    <row r="608" spans="1:15" hidden="1">
      <c r="A608" s="247">
        <v>45751</v>
      </c>
      <c r="B608" s="248" t="s">
        <v>1497</v>
      </c>
      <c r="C608" s="254" t="s">
        <v>175</v>
      </c>
      <c r="D608" s="249" t="s">
        <v>115</v>
      </c>
      <c r="E608" s="250">
        <v>30000</v>
      </c>
      <c r="F608" s="250">
        <v>51.755726771167232</v>
      </c>
      <c r="G608" s="263">
        <v>579.64599999999996</v>
      </c>
      <c r="H608" s="252" t="s">
        <v>191</v>
      </c>
      <c r="I608" s="252" t="s">
        <v>1349</v>
      </c>
      <c r="J608" s="252" t="s">
        <v>96</v>
      </c>
      <c r="K608" s="252" t="s">
        <v>1137</v>
      </c>
      <c r="L608" s="252" t="s">
        <v>153</v>
      </c>
      <c r="M608" s="248"/>
      <c r="N608" s="248"/>
      <c r="O608" s="248"/>
    </row>
    <row r="609" spans="1:15" hidden="1">
      <c r="A609" s="247">
        <v>45751</v>
      </c>
      <c r="B609" s="248" t="s">
        <v>1419</v>
      </c>
      <c r="C609" s="254" t="s">
        <v>2092</v>
      </c>
      <c r="D609" s="248" t="s">
        <v>118</v>
      </c>
      <c r="E609" s="250">
        <v>122000</v>
      </c>
      <c r="F609" s="250">
        <v>210.47328886941341</v>
      </c>
      <c r="G609" s="263">
        <v>579.64599999999996</v>
      </c>
      <c r="H609" s="252" t="s">
        <v>211</v>
      </c>
      <c r="I609" s="252" t="s">
        <v>1420</v>
      </c>
      <c r="J609" s="252" t="s">
        <v>96</v>
      </c>
      <c r="K609" s="252" t="s">
        <v>1137</v>
      </c>
      <c r="L609" s="252" t="s">
        <v>153</v>
      </c>
      <c r="M609" s="248"/>
      <c r="N609" s="248"/>
      <c r="O609" s="248"/>
    </row>
    <row r="610" spans="1:15" hidden="1">
      <c r="A610" s="267">
        <v>45752</v>
      </c>
      <c r="B610" s="248" t="s">
        <v>1385</v>
      </c>
      <c r="C610" s="248" t="s">
        <v>194</v>
      </c>
      <c r="D610" s="249" t="s">
        <v>115</v>
      </c>
      <c r="E610" s="250">
        <v>10000</v>
      </c>
      <c r="F610" s="250">
        <v>17.251908923722411</v>
      </c>
      <c r="G610" s="263">
        <v>579.64599999999996</v>
      </c>
      <c r="H610" s="252" t="s">
        <v>195</v>
      </c>
      <c r="I610" s="252" t="s">
        <v>1386</v>
      </c>
      <c r="J610" s="252" t="s">
        <v>96</v>
      </c>
      <c r="K610" s="252" t="s">
        <v>1137</v>
      </c>
      <c r="L610" s="252" t="s">
        <v>153</v>
      </c>
      <c r="M610" s="248"/>
      <c r="N610" s="248"/>
      <c r="O610" s="248"/>
    </row>
    <row r="611" spans="1:15" hidden="1">
      <c r="A611" s="247">
        <v>45752</v>
      </c>
      <c r="B611" s="248" t="s">
        <v>1173</v>
      </c>
      <c r="C611" s="254" t="s">
        <v>175</v>
      </c>
      <c r="D611" s="249" t="s">
        <v>115</v>
      </c>
      <c r="E611" s="250">
        <v>210000</v>
      </c>
      <c r="F611" s="250">
        <v>360.26206491922409</v>
      </c>
      <c r="G611" s="251">
        <v>582.90899999999999</v>
      </c>
      <c r="H611" s="252" t="s">
        <v>198</v>
      </c>
      <c r="I611" s="252" t="s">
        <v>1174</v>
      </c>
      <c r="J611" s="252" t="s">
        <v>96</v>
      </c>
      <c r="K611" s="265" t="s">
        <v>1906</v>
      </c>
      <c r="L611" s="252" t="s">
        <v>153</v>
      </c>
      <c r="M611" s="248"/>
      <c r="N611" s="248"/>
      <c r="O611" s="248"/>
    </row>
    <row r="612" spans="1:15" hidden="1">
      <c r="A612" s="247">
        <v>45752</v>
      </c>
      <c r="B612" s="248" t="s">
        <v>1175</v>
      </c>
      <c r="C612" s="248" t="s">
        <v>172</v>
      </c>
      <c r="D612" s="249" t="s">
        <v>115</v>
      </c>
      <c r="E612" s="250">
        <v>10000</v>
      </c>
      <c r="F612" s="250">
        <v>17.155336424724958</v>
      </c>
      <c r="G612" s="251">
        <v>582.90899999999999</v>
      </c>
      <c r="H612" s="252" t="s">
        <v>198</v>
      </c>
      <c r="I612" s="252" t="s">
        <v>1176</v>
      </c>
      <c r="J612" s="252" t="s">
        <v>96</v>
      </c>
      <c r="K612" s="265" t="s">
        <v>1906</v>
      </c>
      <c r="L612" s="252" t="s">
        <v>153</v>
      </c>
      <c r="M612" s="248"/>
      <c r="N612" s="248"/>
      <c r="O612" s="248"/>
    </row>
    <row r="613" spans="1:15" hidden="1">
      <c r="A613" s="247">
        <v>45752</v>
      </c>
      <c r="B613" s="248" t="s">
        <v>1276</v>
      </c>
      <c r="C613" s="248" t="s">
        <v>363</v>
      </c>
      <c r="D613" s="249" t="s">
        <v>440</v>
      </c>
      <c r="E613" s="250">
        <v>10500</v>
      </c>
      <c r="F613" s="250">
        <v>18.013103245961204</v>
      </c>
      <c r="G613" s="251">
        <v>582.90899999999999</v>
      </c>
      <c r="H613" s="252" t="s">
        <v>315</v>
      </c>
      <c r="I613" s="252" t="s">
        <v>1277</v>
      </c>
      <c r="J613" s="252" t="s">
        <v>96</v>
      </c>
      <c r="K613" s="265" t="s">
        <v>1906</v>
      </c>
      <c r="L613" s="252" t="s">
        <v>153</v>
      </c>
      <c r="M613" s="248"/>
      <c r="N613" s="248"/>
      <c r="O613" s="248"/>
    </row>
    <row r="614" spans="1:15" hidden="1">
      <c r="A614" s="247">
        <v>45752</v>
      </c>
      <c r="B614" s="248" t="s">
        <v>1387</v>
      </c>
      <c r="C614" s="254" t="s">
        <v>175</v>
      </c>
      <c r="D614" s="249" t="s">
        <v>115</v>
      </c>
      <c r="E614" s="250">
        <v>285000</v>
      </c>
      <c r="F614" s="250">
        <v>488.92708810466127</v>
      </c>
      <c r="G614" s="251">
        <v>582.90899999999999</v>
      </c>
      <c r="H614" s="252" t="s">
        <v>195</v>
      </c>
      <c r="I614" s="252" t="s">
        <v>1388</v>
      </c>
      <c r="J614" s="252" t="s">
        <v>96</v>
      </c>
      <c r="K614" s="265" t="s">
        <v>1906</v>
      </c>
      <c r="L614" s="252" t="s">
        <v>153</v>
      </c>
      <c r="M614" s="248"/>
      <c r="N614" s="248"/>
      <c r="O614" s="248"/>
    </row>
    <row r="615" spans="1:15" hidden="1">
      <c r="A615" s="247">
        <v>45754</v>
      </c>
      <c r="B615" s="248" t="s">
        <v>1206</v>
      </c>
      <c r="C615" s="248" t="s">
        <v>125</v>
      </c>
      <c r="D615" s="249" t="s">
        <v>115</v>
      </c>
      <c r="E615" s="250">
        <v>30000</v>
      </c>
      <c r="F615" s="250">
        <v>51.466009274174873</v>
      </c>
      <c r="G615" s="251">
        <v>582.90899999999999</v>
      </c>
      <c r="H615" s="252" t="s">
        <v>581</v>
      </c>
      <c r="I615" s="252" t="s">
        <v>1207</v>
      </c>
      <c r="J615" s="252" t="s">
        <v>96</v>
      </c>
      <c r="K615" s="265" t="s">
        <v>1906</v>
      </c>
      <c r="L615" s="252" t="s">
        <v>153</v>
      </c>
      <c r="M615" s="248"/>
      <c r="N615" s="248"/>
      <c r="O615" s="248"/>
    </row>
    <row r="616" spans="1:15" hidden="1">
      <c r="A616" s="247">
        <v>45754</v>
      </c>
      <c r="B616" s="248" t="s">
        <v>1208</v>
      </c>
      <c r="C616" s="248" t="s">
        <v>263</v>
      </c>
      <c r="D616" s="248" t="s">
        <v>2091</v>
      </c>
      <c r="E616" s="250">
        <v>40000</v>
      </c>
      <c r="F616" s="250">
        <v>68.62134569889983</v>
      </c>
      <c r="G616" s="251">
        <v>582.90899999999999</v>
      </c>
      <c r="H616" s="252" t="s">
        <v>581</v>
      </c>
      <c r="I616" s="252" t="s">
        <v>1209</v>
      </c>
      <c r="J616" s="252" t="s">
        <v>96</v>
      </c>
      <c r="K616" s="265" t="s">
        <v>1906</v>
      </c>
      <c r="L616" s="252" t="s">
        <v>153</v>
      </c>
      <c r="M616" s="248"/>
      <c r="N616" s="248"/>
      <c r="O616" s="248"/>
    </row>
    <row r="617" spans="1:15" hidden="1">
      <c r="A617" s="247">
        <v>45755</v>
      </c>
      <c r="B617" s="248" t="s">
        <v>1169</v>
      </c>
      <c r="C617" s="248" t="s">
        <v>125</v>
      </c>
      <c r="D617" s="248" t="s">
        <v>117</v>
      </c>
      <c r="E617" s="250">
        <v>174625</v>
      </c>
      <c r="F617" s="250">
        <v>299.57506231675956</v>
      </c>
      <c r="G617" s="251">
        <v>582.90899999999999</v>
      </c>
      <c r="H617" s="252" t="s">
        <v>151</v>
      </c>
      <c r="I617" s="252" t="s">
        <v>1170</v>
      </c>
      <c r="J617" s="252" t="s">
        <v>96</v>
      </c>
      <c r="K617" s="265" t="s">
        <v>1906</v>
      </c>
      <c r="L617" s="252" t="s">
        <v>153</v>
      </c>
      <c r="M617" s="248"/>
      <c r="N617" s="248"/>
      <c r="O617" s="248"/>
    </row>
    <row r="618" spans="1:15" hidden="1">
      <c r="A618" s="247">
        <v>45755</v>
      </c>
      <c r="B618" s="248" t="s">
        <v>582</v>
      </c>
      <c r="C618" s="248" t="s">
        <v>366</v>
      </c>
      <c r="D618" s="249" t="s">
        <v>440</v>
      </c>
      <c r="E618" s="250">
        <v>67051</v>
      </c>
      <c r="F618" s="250">
        <v>115.02824626142331</v>
      </c>
      <c r="G618" s="251">
        <v>582.90899999999999</v>
      </c>
      <c r="H618" s="252" t="s">
        <v>151</v>
      </c>
      <c r="I618" s="252" t="s">
        <v>1187</v>
      </c>
      <c r="J618" s="252" t="s">
        <v>96</v>
      </c>
      <c r="K618" s="265" t="s">
        <v>1906</v>
      </c>
      <c r="L618" s="252" t="s">
        <v>153</v>
      </c>
      <c r="M618" s="248"/>
      <c r="N618" s="248"/>
      <c r="O618" s="248"/>
    </row>
    <row r="619" spans="1:15" hidden="1">
      <c r="A619" s="247">
        <v>45755</v>
      </c>
      <c r="B619" s="248" t="s">
        <v>1210</v>
      </c>
      <c r="C619" s="248" t="s">
        <v>125</v>
      </c>
      <c r="D619" s="248" t="s">
        <v>117</v>
      </c>
      <c r="E619" s="250">
        <v>30000</v>
      </c>
      <c r="F619" s="250">
        <v>51.466009274174873</v>
      </c>
      <c r="G619" s="251">
        <v>582.90899999999999</v>
      </c>
      <c r="H619" s="252" t="s">
        <v>581</v>
      </c>
      <c r="I619" s="252" t="s">
        <v>1211</v>
      </c>
      <c r="J619" s="252" t="s">
        <v>96</v>
      </c>
      <c r="K619" s="265" t="s">
        <v>1906</v>
      </c>
      <c r="L619" s="252" t="s">
        <v>153</v>
      </c>
      <c r="M619" s="248"/>
      <c r="N619" s="248"/>
      <c r="O619" s="248"/>
    </row>
    <row r="620" spans="1:15" hidden="1">
      <c r="A620" s="247">
        <v>45755</v>
      </c>
      <c r="B620" s="248" t="s">
        <v>1212</v>
      </c>
      <c r="C620" s="248" t="s">
        <v>125</v>
      </c>
      <c r="D620" s="249" t="s">
        <v>115</v>
      </c>
      <c r="E620" s="250">
        <v>30000</v>
      </c>
      <c r="F620" s="250">
        <v>51.466009274174873</v>
      </c>
      <c r="G620" s="251">
        <v>582.90899999999999</v>
      </c>
      <c r="H620" s="252" t="s">
        <v>581</v>
      </c>
      <c r="I620" s="252" t="s">
        <v>1213</v>
      </c>
      <c r="J620" s="252" t="s">
        <v>96</v>
      </c>
      <c r="K620" s="265" t="s">
        <v>1906</v>
      </c>
      <c r="L620" s="252" t="s">
        <v>153</v>
      </c>
      <c r="M620" s="248"/>
      <c r="N620" s="248"/>
      <c r="O620" s="248"/>
    </row>
    <row r="621" spans="1:15" hidden="1">
      <c r="A621" s="247">
        <v>45755</v>
      </c>
      <c r="B621" s="248" t="s">
        <v>1214</v>
      </c>
      <c r="C621" s="248" t="s">
        <v>125</v>
      </c>
      <c r="D621" s="249" t="s">
        <v>115</v>
      </c>
      <c r="E621" s="250">
        <v>20500</v>
      </c>
      <c r="F621" s="250">
        <v>35.168439670686162</v>
      </c>
      <c r="G621" s="251">
        <v>582.90899999999999</v>
      </c>
      <c r="H621" s="252" t="s">
        <v>581</v>
      </c>
      <c r="I621" s="252" t="s">
        <v>1215</v>
      </c>
      <c r="J621" s="252" t="s">
        <v>96</v>
      </c>
      <c r="K621" s="265" t="s">
        <v>1906</v>
      </c>
      <c r="L621" s="252" t="s">
        <v>153</v>
      </c>
      <c r="M621" s="248"/>
      <c r="N621" s="248"/>
      <c r="O621" s="248"/>
    </row>
    <row r="622" spans="1:15" hidden="1">
      <c r="A622" s="247">
        <v>45755</v>
      </c>
      <c r="B622" s="248" t="s">
        <v>1216</v>
      </c>
      <c r="C622" s="248" t="s">
        <v>125</v>
      </c>
      <c r="D622" s="249" t="s">
        <v>115</v>
      </c>
      <c r="E622" s="250">
        <v>30000</v>
      </c>
      <c r="F622" s="250">
        <v>51.466009274174873</v>
      </c>
      <c r="G622" s="251">
        <v>582.90899999999999</v>
      </c>
      <c r="H622" s="252" t="s">
        <v>581</v>
      </c>
      <c r="I622" s="252" t="s">
        <v>1217</v>
      </c>
      <c r="J622" s="252" t="s">
        <v>96</v>
      </c>
      <c r="K622" s="265" t="s">
        <v>1906</v>
      </c>
      <c r="L622" s="252" t="s">
        <v>153</v>
      </c>
      <c r="M622" s="248"/>
      <c r="N622" s="248"/>
      <c r="O622" s="248"/>
    </row>
    <row r="623" spans="1:15" hidden="1">
      <c r="A623" s="247">
        <v>45755</v>
      </c>
      <c r="B623" s="248" t="s">
        <v>1218</v>
      </c>
      <c r="C623" s="248" t="s">
        <v>125</v>
      </c>
      <c r="D623" s="249" t="s">
        <v>115</v>
      </c>
      <c r="E623" s="250">
        <v>30000</v>
      </c>
      <c r="F623" s="250">
        <v>51.466009274174873</v>
      </c>
      <c r="G623" s="251">
        <v>582.90899999999999</v>
      </c>
      <c r="H623" s="252" t="s">
        <v>581</v>
      </c>
      <c r="I623" s="252" t="s">
        <v>1219</v>
      </c>
      <c r="J623" s="252" t="s">
        <v>96</v>
      </c>
      <c r="K623" s="265" t="s">
        <v>1906</v>
      </c>
      <c r="L623" s="252" t="s">
        <v>153</v>
      </c>
      <c r="M623" s="248"/>
      <c r="N623" s="248"/>
      <c r="O623" s="248"/>
    </row>
    <row r="624" spans="1:15" hidden="1">
      <c r="A624" s="247">
        <v>45755</v>
      </c>
      <c r="B624" s="248" t="s">
        <v>1220</v>
      </c>
      <c r="C624" s="248" t="s">
        <v>125</v>
      </c>
      <c r="D624" s="248" t="s">
        <v>118</v>
      </c>
      <c r="E624" s="250">
        <v>30000</v>
      </c>
      <c r="F624" s="250">
        <v>51.466009274174873</v>
      </c>
      <c r="G624" s="251">
        <v>582.90899999999999</v>
      </c>
      <c r="H624" s="252" t="s">
        <v>581</v>
      </c>
      <c r="I624" s="252" t="s">
        <v>1221</v>
      </c>
      <c r="J624" s="252" t="s">
        <v>96</v>
      </c>
      <c r="K624" s="265" t="s">
        <v>1906</v>
      </c>
      <c r="L624" s="252" t="s">
        <v>153</v>
      </c>
      <c r="M624" s="248"/>
      <c r="N624" s="248"/>
      <c r="O624" s="248"/>
    </row>
    <row r="625" spans="1:15" hidden="1">
      <c r="A625" s="247">
        <v>45755</v>
      </c>
      <c r="B625" s="248" t="s">
        <v>1222</v>
      </c>
      <c r="C625" s="248" t="s">
        <v>263</v>
      </c>
      <c r="D625" s="248" t="s">
        <v>2091</v>
      </c>
      <c r="E625" s="250">
        <v>30000</v>
      </c>
      <c r="F625" s="250">
        <v>51.466009274174873</v>
      </c>
      <c r="G625" s="251">
        <v>582.90899999999999</v>
      </c>
      <c r="H625" s="252" t="s">
        <v>581</v>
      </c>
      <c r="I625" s="252" t="s">
        <v>1223</v>
      </c>
      <c r="J625" s="252" t="s">
        <v>96</v>
      </c>
      <c r="K625" s="265" t="s">
        <v>1906</v>
      </c>
      <c r="L625" s="252" t="s">
        <v>153</v>
      </c>
      <c r="M625" s="248"/>
      <c r="N625" s="248"/>
      <c r="O625" s="248"/>
    </row>
    <row r="626" spans="1:15" hidden="1">
      <c r="A626" s="247">
        <v>45755</v>
      </c>
      <c r="B626" s="248" t="s">
        <v>1224</v>
      </c>
      <c r="C626" s="248" t="s">
        <v>263</v>
      </c>
      <c r="D626" s="248" t="s">
        <v>2091</v>
      </c>
      <c r="E626" s="250">
        <v>25000</v>
      </c>
      <c r="F626" s="250">
        <v>42.88834106181239</v>
      </c>
      <c r="G626" s="251">
        <v>582.90899999999999</v>
      </c>
      <c r="H626" s="252" t="s">
        <v>581</v>
      </c>
      <c r="I626" s="252" t="s">
        <v>1225</v>
      </c>
      <c r="J626" s="252" t="s">
        <v>96</v>
      </c>
      <c r="K626" s="265" t="s">
        <v>1906</v>
      </c>
      <c r="L626" s="252" t="s">
        <v>153</v>
      </c>
      <c r="M626" s="248"/>
      <c r="N626" s="248"/>
      <c r="O626" s="248"/>
    </row>
    <row r="627" spans="1:15" hidden="1">
      <c r="A627" s="247">
        <v>45755</v>
      </c>
      <c r="B627" s="248" t="s">
        <v>1226</v>
      </c>
      <c r="C627" s="248" t="s">
        <v>263</v>
      </c>
      <c r="D627" s="248" t="s">
        <v>2091</v>
      </c>
      <c r="E627" s="250">
        <v>25000</v>
      </c>
      <c r="F627" s="250">
        <v>42.88834106181239</v>
      </c>
      <c r="G627" s="251">
        <v>582.90899999999999</v>
      </c>
      <c r="H627" s="252" t="s">
        <v>581</v>
      </c>
      <c r="I627" s="252" t="s">
        <v>1227</v>
      </c>
      <c r="J627" s="252" t="s">
        <v>96</v>
      </c>
      <c r="K627" s="265" t="s">
        <v>1906</v>
      </c>
      <c r="L627" s="252" t="s">
        <v>153</v>
      </c>
      <c r="M627" s="248"/>
      <c r="N627" s="248"/>
      <c r="O627" s="248"/>
    </row>
    <row r="628" spans="1:15" hidden="1">
      <c r="A628" s="247">
        <v>45755</v>
      </c>
      <c r="B628" s="248" t="s">
        <v>1228</v>
      </c>
      <c r="C628" s="248" t="s">
        <v>263</v>
      </c>
      <c r="D628" s="248" t="s">
        <v>2091</v>
      </c>
      <c r="E628" s="250">
        <v>25000</v>
      </c>
      <c r="F628" s="250">
        <v>42.88834106181239</v>
      </c>
      <c r="G628" s="251">
        <v>582.90899999999999</v>
      </c>
      <c r="H628" s="252" t="s">
        <v>581</v>
      </c>
      <c r="I628" s="252" t="s">
        <v>1229</v>
      </c>
      <c r="J628" s="252" t="s">
        <v>96</v>
      </c>
      <c r="K628" s="265" t="s">
        <v>1906</v>
      </c>
      <c r="L628" s="252" t="s">
        <v>153</v>
      </c>
      <c r="M628" s="248"/>
      <c r="N628" s="248"/>
      <c r="O628" s="248"/>
    </row>
    <row r="629" spans="1:15" hidden="1">
      <c r="A629" s="247">
        <v>45755</v>
      </c>
      <c r="B629" s="248" t="s">
        <v>4831</v>
      </c>
      <c r="C629" s="248" t="s">
        <v>172</v>
      </c>
      <c r="D629" s="249" t="s">
        <v>440</v>
      </c>
      <c r="E629" s="250">
        <v>9000</v>
      </c>
      <c r="F629" s="250">
        <v>15.439802782252462</v>
      </c>
      <c r="G629" s="251">
        <v>582.90899999999999</v>
      </c>
      <c r="H629" s="252" t="s">
        <v>173</v>
      </c>
      <c r="I629" s="252" t="s">
        <v>1262</v>
      </c>
      <c r="J629" s="252" t="s">
        <v>96</v>
      </c>
      <c r="K629" s="265" t="s">
        <v>1906</v>
      </c>
      <c r="L629" s="252" t="s">
        <v>153</v>
      </c>
      <c r="M629" s="248"/>
      <c r="N629" s="248"/>
      <c r="O629" s="248"/>
    </row>
    <row r="630" spans="1:15" hidden="1">
      <c r="A630" s="247">
        <v>45755</v>
      </c>
      <c r="B630" s="248" t="s">
        <v>4832</v>
      </c>
      <c r="C630" s="254" t="s">
        <v>175</v>
      </c>
      <c r="D630" s="249" t="s">
        <v>440</v>
      </c>
      <c r="E630" s="250">
        <v>70000</v>
      </c>
      <c r="F630" s="250">
        <v>120.0873549730747</v>
      </c>
      <c r="G630" s="251">
        <v>582.90899999999999</v>
      </c>
      <c r="H630" s="252" t="s">
        <v>173</v>
      </c>
      <c r="I630" s="252" t="s">
        <v>1263</v>
      </c>
      <c r="J630" s="252" t="s">
        <v>96</v>
      </c>
      <c r="K630" s="265" t="s">
        <v>1906</v>
      </c>
      <c r="L630" s="252" t="s">
        <v>153</v>
      </c>
      <c r="M630" s="248"/>
      <c r="N630" s="248"/>
      <c r="O630" s="248"/>
    </row>
    <row r="631" spans="1:15" hidden="1">
      <c r="A631" s="247">
        <v>45755</v>
      </c>
      <c r="B631" s="248" t="s">
        <v>4752</v>
      </c>
      <c r="C631" s="248" t="s">
        <v>172</v>
      </c>
      <c r="D631" s="249" t="s">
        <v>440</v>
      </c>
      <c r="E631" s="250">
        <v>10000</v>
      </c>
      <c r="F631" s="250">
        <v>17.155336424724958</v>
      </c>
      <c r="G631" s="251">
        <v>582.90899999999999</v>
      </c>
      <c r="H631" s="252" t="s">
        <v>321</v>
      </c>
      <c r="I631" s="252" t="s">
        <v>1284</v>
      </c>
      <c r="J631" s="252" t="s">
        <v>96</v>
      </c>
      <c r="K631" s="265" t="s">
        <v>1906</v>
      </c>
      <c r="L631" s="252" t="s">
        <v>153</v>
      </c>
      <c r="M631" s="248"/>
      <c r="N631" s="248"/>
      <c r="O631" s="248"/>
    </row>
    <row r="632" spans="1:15" hidden="1">
      <c r="A632" s="247">
        <v>45755</v>
      </c>
      <c r="B632" s="248" t="s">
        <v>4750</v>
      </c>
      <c r="C632" s="254" t="s">
        <v>175</v>
      </c>
      <c r="D632" s="249" t="s">
        <v>440</v>
      </c>
      <c r="E632" s="250">
        <v>70000</v>
      </c>
      <c r="F632" s="250">
        <v>120.0873549730747</v>
      </c>
      <c r="G632" s="251">
        <v>582.90899999999999</v>
      </c>
      <c r="H632" s="252" t="s">
        <v>321</v>
      </c>
      <c r="I632" s="252" t="s">
        <v>1285</v>
      </c>
      <c r="J632" s="252" t="s">
        <v>96</v>
      </c>
      <c r="K632" s="265" t="s">
        <v>1906</v>
      </c>
      <c r="L632" s="252" t="s">
        <v>153</v>
      </c>
      <c r="M632" s="248"/>
      <c r="N632" s="248"/>
      <c r="O632" s="248"/>
    </row>
    <row r="633" spans="1:15" hidden="1">
      <c r="A633" s="247">
        <v>45755</v>
      </c>
      <c r="B633" s="248" t="s">
        <v>1300</v>
      </c>
      <c r="C633" s="248" t="s">
        <v>172</v>
      </c>
      <c r="D633" s="249" t="s">
        <v>115</v>
      </c>
      <c r="E633" s="250">
        <v>12000</v>
      </c>
      <c r="F633" s="250">
        <v>20.586403709669948</v>
      </c>
      <c r="G633" s="251">
        <v>582.90899999999999</v>
      </c>
      <c r="H633" s="252" t="s">
        <v>185</v>
      </c>
      <c r="I633" s="252" t="s">
        <v>1301</v>
      </c>
      <c r="J633" s="252" t="s">
        <v>96</v>
      </c>
      <c r="K633" s="265" t="s">
        <v>1906</v>
      </c>
      <c r="L633" s="252" t="s">
        <v>153</v>
      </c>
      <c r="M633" s="248"/>
      <c r="N633" s="248"/>
      <c r="O633" s="248"/>
    </row>
    <row r="634" spans="1:15" hidden="1">
      <c r="A634" s="247">
        <v>45755</v>
      </c>
      <c r="B634" s="248" t="s">
        <v>800</v>
      </c>
      <c r="C634" s="255" t="s">
        <v>2090</v>
      </c>
      <c r="D634" s="248" t="s">
        <v>116</v>
      </c>
      <c r="E634" s="250">
        <v>4363</v>
      </c>
      <c r="F634" s="250">
        <v>7.4848732821074986</v>
      </c>
      <c r="G634" s="251">
        <v>582.90899999999999</v>
      </c>
      <c r="H634" s="252" t="s">
        <v>191</v>
      </c>
      <c r="I634" s="252" t="s">
        <v>1350</v>
      </c>
      <c r="J634" s="252" t="s">
        <v>96</v>
      </c>
      <c r="K634" s="265" t="s">
        <v>1906</v>
      </c>
      <c r="L634" s="252" t="s">
        <v>153</v>
      </c>
      <c r="M634" s="248"/>
      <c r="N634" s="248"/>
      <c r="O634" s="248"/>
    </row>
    <row r="635" spans="1:15" hidden="1">
      <c r="A635" s="247">
        <v>45755</v>
      </c>
      <c r="B635" s="248" t="s">
        <v>771</v>
      </c>
      <c r="C635" s="255" t="s">
        <v>2090</v>
      </c>
      <c r="D635" s="248" t="s">
        <v>116</v>
      </c>
      <c r="E635" s="250">
        <v>12600</v>
      </c>
      <c r="F635" s="250">
        <v>21.615723895153447</v>
      </c>
      <c r="G635" s="251">
        <v>582.90899999999999</v>
      </c>
      <c r="H635" s="252" t="s">
        <v>191</v>
      </c>
      <c r="I635" s="252" t="s">
        <v>1351</v>
      </c>
      <c r="J635" s="252" t="s">
        <v>96</v>
      </c>
      <c r="K635" s="265" t="s">
        <v>1906</v>
      </c>
      <c r="L635" s="252" t="s">
        <v>153</v>
      </c>
      <c r="M635" s="248"/>
      <c r="N635" s="248"/>
      <c r="O635" s="248"/>
    </row>
    <row r="636" spans="1:15" hidden="1">
      <c r="A636" s="247">
        <v>45755</v>
      </c>
      <c r="B636" s="248" t="s">
        <v>1389</v>
      </c>
      <c r="C636" s="248" t="s">
        <v>194</v>
      </c>
      <c r="D636" s="249" t="s">
        <v>115</v>
      </c>
      <c r="E636" s="250">
        <v>12000</v>
      </c>
      <c r="F636" s="250">
        <v>20.586403709669948</v>
      </c>
      <c r="G636" s="251">
        <v>582.90899999999999</v>
      </c>
      <c r="H636" s="252" t="s">
        <v>195</v>
      </c>
      <c r="I636" s="252" t="s">
        <v>1390</v>
      </c>
      <c r="J636" s="252" t="s">
        <v>96</v>
      </c>
      <c r="K636" s="265" t="s">
        <v>1906</v>
      </c>
      <c r="L636" s="252" t="s">
        <v>153</v>
      </c>
      <c r="M636" s="248"/>
      <c r="N636" s="248"/>
      <c r="O636" s="248"/>
    </row>
    <row r="637" spans="1:15" hidden="1">
      <c r="A637" s="247">
        <v>45755</v>
      </c>
      <c r="B637" s="248" t="s">
        <v>1428</v>
      </c>
      <c r="C637" s="248" t="s">
        <v>121</v>
      </c>
      <c r="D637" s="249" t="s">
        <v>115</v>
      </c>
      <c r="E637" s="250">
        <v>150000</v>
      </c>
      <c r="F637" s="250">
        <v>257.33004637087436</v>
      </c>
      <c r="G637" s="260">
        <v>579.64599999999996</v>
      </c>
      <c r="H637" s="252" t="s">
        <v>146</v>
      </c>
      <c r="I637" s="252" t="s">
        <v>1447</v>
      </c>
      <c r="J637" s="252" t="s">
        <v>96</v>
      </c>
      <c r="K637" s="268" t="s">
        <v>200</v>
      </c>
      <c r="L637" s="252" t="s">
        <v>153</v>
      </c>
      <c r="M637" s="248"/>
      <c r="N637" s="248"/>
      <c r="O637" s="248"/>
    </row>
    <row r="638" spans="1:15" hidden="1">
      <c r="A638" s="247">
        <v>45755</v>
      </c>
      <c r="B638" s="248" t="s">
        <v>1429</v>
      </c>
      <c r="C638" s="248" t="s">
        <v>121</v>
      </c>
      <c r="D638" s="249" t="s">
        <v>115</v>
      </c>
      <c r="E638" s="250">
        <v>200000</v>
      </c>
      <c r="F638" s="250">
        <v>343.10672849449912</v>
      </c>
      <c r="G638" s="260">
        <v>579.64599999999996</v>
      </c>
      <c r="H638" s="252" t="s">
        <v>146</v>
      </c>
      <c r="I638" s="252" t="s">
        <v>1448</v>
      </c>
      <c r="J638" s="252" t="s">
        <v>96</v>
      </c>
      <c r="K638" s="268" t="s">
        <v>200</v>
      </c>
      <c r="L638" s="252" t="s">
        <v>153</v>
      </c>
      <c r="M638" s="248"/>
      <c r="N638" s="248"/>
      <c r="O638" s="248"/>
    </row>
    <row r="639" spans="1:15" hidden="1">
      <c r="A639" s="247">
        <v>45756</v>
      </c>
      <c r="B639" s="248" t="s">
        <v>1230</v>
      </c>
      <c r="C639" s="248" t="s">
        <v>125</v>
      </c>
      <c r="D639" s="248" t="s">
        <v>116</v>
      </c>
      <c r="E639" s="250">
        <v>31500</v>
      </c>
      <c r="F639" s="250">
        <v>54.039309737883613</v>
      </c>
      <c r="G639" s="251">
        <v>582.90899999999999</v>
      </c>
      <c r="H639" s="252" t="s">
        <v>581</v>
      </c>
      <c r="I639" s="252" t="s">
        <v>1231</v>
      </c>
      <c r="J639" s="252" t="s">
        <v>96</v>
      </c>
      <c r="K639" s="265" t="s">
        <v>1906</v>
      </c>
      <c r="L639" s="252" t="s">
        <v>153</v>
      </c>
      <c r="M639" s="248"/>
      <c r="N639" s="248"/>
      <c r="O639" s="248"/>
    </row>
    <row r="640" spans="1:15" hidden="1">
      <c r="A640" s="247">
        <v>45756</v>
      </c>
      <c r="B640" s="248" t="s">
        <v>1487</v>
      </c>
      <c r="C640" s="254" t="s">
        <v>175</v>
      </c>
      <c r="D640" s="249" t="s">
        <v>115</v>
      </c>
      <c r="E640" s="250">
        <v>90000</v>
      </c>
      <c r="F640" s="250">
        <v>154.39802782252463</v>
      </c>
      <c r="G640" s="251">
        <v>582.90899999999999</v>
      </c>
      <c r="H640" s="252" t="s">
        <v>185</v>
      </c>
      <c r="I640" s="252" t="s">
        <v>1302</v>
      </c>
      <c r="J640" s="252" t="s">
        <v>96</v>
      </c>
      <c r="K640" s="265" t="s">
        <v>1906</v>
      </c>
      <c r="L640" s="252" t="s">
        <v>153</v>
      </c>
      <c r="M640" s="248"/>
      <c r="N640" s="248"/>
      <c r="O640" s="248"/>
    </row>
    <row r="641" spans="1:15" hidden="1">
      <c r="A641" s="247">
        <v>45756</v>
      </c>
      <c r="B641" s="248" t="s">
        <v>548</v>
      </c>
      <c r="C641" s="254" t="s">
        <v>1168</v>
      </c>
      <c r="D641" s="248" t="s">
        <v>116</v>
      </c>
      <c r="E641" s="250">
        <v>25000</v>
      </c>
      <c r="F641" s="250">
        <v>42.88834106181239</v>
      </c>
      <c r="G641" s="251">
        <v>582.90899999999999</v>
      </c>
      <c r="H641" s="252" t="s">
        <v>188</v>
      </c>
      <c r="I641" s="252" t="s">
        <v>1323</v>
      </c>
      <c r="J641" s="252" t="s">
        <v>96</v>
      </c>
      <c r="K641" s="265" t="s">
        <v>1906</v>
      </c>
      <c r="L641" s="252" t="s">
        <v>153</v>
      </c>
      <c r="M641" s="248"/>
      <c r="N641" s="248"/>
      <c r="O641" s="248"/>
    </row>
    <row r="642" spans="1:15" hidden="1">
      <c r="A642" s="247">
        <v>45756</v>
      </c>
      <c r="B642" s="248" t="s">
        <v>1324</v>
      </c>
      <c r="C642" s="248" t="s">
        <v>172</v>
      </c>
      <c r="D642" s="249" t="s">
        <v>115</v>
      </c>
      <c r="E642" s="250">
        <v>36000</v>
      </c>
      <c r="F642" s="250">
        <v>61.759211129009849</v>
      </c>
      <c r="G642" s="251">
        <v>582.90899999999999</v>
      </c>
      <c r="H642" s="252" t="s">
        <v>188</v>
      </c>
      <c r="I642" s="252" t="s">
        <v>1325</v>
      </c>
      <c r="J642" s="252" t="s">
        <v>96</v>
      </c>
      <c r="K642" s="265" t="s">
        <v>1906</v>
      </c>
      <c r="L642" s="252" t="s">
        <v>153</v>
      </c>
      <c r="M642" s="248"/>
      <c r="N642" s="248"/>
      <c r="O642" s="248"/>
    </row>
    <row r="643" spans="1:15" hidden="1">
      <c r="A643" s="247">
        <v>45756</v>
      </c>
      <c r="B643" s="248" t="s">
        <v>1486</v>
      </c>
      <c r="C643" s="254" t="s">
        <v>175</v>
      </c>
      <c r="D643" s="249" t="s">
        <v>115</v>
      </c>
      <c r="E643" s="250">
        <v>50000</v>
      </c>
      <c r="F643" s="250">
        <v>85.776682123624781</v>
      </c>
      <c r="G643" s="251">
        <v>582.90899999999999</v>
      </c>
      <c r="H643" s="252" t="s">
        <v>188</v>
      </c>
      <c r="I643" s="252" t="s">
        <v>1326</v>
      </c>
      <c r="J643" s="252" t="s">
        <v>96</v>
      </c>
      <c r="K643" s="265" t="s">
        <v>1906</v>
      </c>
      <c r="L643" s="252" t="s">
        <v>153</v>
      </c>
      <c r="M643" s="248"/>
      <c r="N643" s="248"/>
      <c r="O643" s="248"/>
    </row>
    <row r="644" spans="1:15" hidden="1">
      <c r="A644" s="247">
        <v>45756</v>
      </c>
      <c r="B644" s="248" t="s">
        <v>1352</v>
      </c>
      <c r="C644" s="248" t="s">
        <v>172</v>
      </c>
      <c r="D644" s="249" t="s">
        <v>115</v>
      </c>
      <c r="E644" s="250">
        <v>8000</v>
      </c>
      <c r="F644" s="250">
        <v>13.724269139779965</v>
      </c>
      <c r="G644" s="251">
        <v>582.90899999999999</v>
      </c>
      <c r="H644" s="252" t="s">
        <v>191</v>
      </c>
      <c r="I644" s="252" t="s">
        <v>1353</v>
      </c>
      <c r="J644" s="252" t="s">
        <v>96</v>
      </c>
      <c r="K644" s="265" t="s">
        <v>1906</v>
      </c>
      <c r="L644" s="252" t="s">
        <v>153</v>
      </c>
      <c r="M644" s="248"/>
      <c r="N644" s="248"/>
      <c r="O644" s="248"/>
    </row>
    <row r="645" spans="1:15" hidden="1">
      <c r="A645" s="247">
        <v>45756</v>
      </c>
      <c r="B645" s="248" t="s">
        <v>1391</v>
      </c>
      <c r="C645" s="254" t="s">
        <v>175</v>
      </c>
      <c r="D645" s="249" t="s">
        <v>115</v>
      </c>
      <c r="E645" s="250">
        <v>90000</v>
      </c>
      <c r="F645" s="250">
        <v>154.39802782252463</v>
      </c>
      <c r="G645" s="251">
        <v>582.90899999999999</v>
      </c>
      <c r="H645" s="252" t="s">
        <v>195</v>
      </c>
      <c r="I645" s="252" t="s">
        <v>1392</v>
      </c>
      <c r="J645" s="252" t="s">
        <v>96</v>
      </c>
      <c r="K645" s="265" t="s">
        <v>1906</v>
      </c>
      <c r="L645" s="252" t="s">
        <v>153</v>
      </c>
      <c r="M645" s="248"/>
      <c r="N645" s="248"/>
      <c r="O645" s="248"/>
    </row>
    <row r="646" spans="1:15" hidden="1">
      <c r="A646" s="247">
        <v>45757</v>
      </c>
      <c r="B646" s="248" t="s">
        <v>1177</v>
      </c>
      <c r="C646" s="248" t="s">
        <v>172</v>
      </c>
      <c r="D646" s="249" t="s">
        <v>115</v>
      </c>
      <c r="E646" s="250">
        <v>7000</v>
      </c>
      <c r="F646" s="250">
        <v>12.00873549730747</v>
      </c>
      <c r="G646" s="251">
        <v>582.90899999999999</v>
      </c>
      <c r="H646" s="252" t="s">
        <v>198</v>
      </c>
      <c r="I646" s="252" t="s">
        <v>1178</v>
      </c>
      <c r="J646" s="252" t="s">
        <v>96</v>
      </c>
      <c r="K646" s="265" t="s">
        <v>1906</v>
      </c>
      <c r="L646" s="252" t="s">
        <v>153</v>
      </c>
      <c r="M646" s="248"/>
      <c r="N646" s="248"/>
      <c r="O646" s="248"/>
    </row>
    <row r="647" spans="1:15" hidden="1">
      <c r="A647" s="247">
        <v>45757</v>
      </c>
      <c r="B647" s="248" t="s">
        <v>1303</v>
      </c>
      <c r="C647" s="248" t="s">
        <v>311</v>
      </c>
      <c r="D647" s="249" t="s">
        <v>115</v>
      </c>
      <c r="E647" s="250">
        <v>2000</v>
      </c>
      <c r="F647" s="250">
        <v>3.4310672849449912</v>
      </c>
      <c r="G647" s="251">
        <v>582.90899999999999</v>
      </c>
      <c r="H647" s="252" t="s">
        <v>185</v>
      </c>
      <c r="I647" s="252" t="s">
        <v>1304</v>
      </c>
      <c r="J647" s="252" t="s">
        <v>96</v>
      </c>
      <c r="K647" s="265" t="s">
        <v>1906</v>
      </c>
      <c r="L647" s="252" t="s">
        <v>153</v>
      </c>
      <c r="M647" s="248"/>
      <c r="N647" s="248"/>
      <c r="O647" s="248"/>
    </row>
    <row r="648" spans="1:15" hidden="1">
      <c r="A648" s="247">
        <v>45757</v>
      </c>
      <c r="B648" s="248" t="s">
        <v>1305</v>
      </c>
      <c r="C648" s="248" t="s">
        <v>172</v>
      </c>
      <c r="D648" s="249" t="s">
        <v>115</v>
      </c>
      <c r="E648" s="250">
        <v>7000</v>
      </c>
      <c r="F648" s="250">
        <v>12.00873549730747</v>
      </c>
      <c r="G648" s="251">
        <v>582.90899999999999</v>
      </c>
      <c r="H648" s="252" t="s">
        <v>185</v>
      </c>
      <c r="I648" s="252" t="s">
        <v>1306</v>
      </c>
      <c r="J648" s="252" t="s">
        <v>96</v>
      </c>
      <c r="K648" s="265" t="s">
        <v>1906</v>
      </c>
      <c r="L648" s="252" t="s">
        <v>153</v>
      </c>
      <c r="M648" s="248"/>
      <c r="N648" s="248"/>
      <c r="O648" s="248"/>
    </row>
    <row r="649" spans="1:15" hidden="1">
      <c r="A649" s="247">
        <v>45757</v>
      </c>
      <c r="B649" s="248" t="s">
        <v>1354</v>
      </c>
      <c r="C649" s="248" t="s">
        <v>172</v>
      </c>
      <c r="D649" s="249" t="s">
        <v>115</v>
      </c>
      <c r="E649" s="250">
        <v>4000</v>
      </c>
      <c r="F649" s="250">
        <v>6.8621345698899825</v>
      </c>
      <c r="G649" s="251">
        <v>582.90899999999999</v>
      </c>
      <c r="H649" s="252" t="s">
        <v>191</v>
      </c>
      <c r="I649" s="252" t="s">
        <v>1355</v>
      </c>
      <c r="J649" s="252" t="s">
        <v>96</v>
      </c>
      <c r="K649" s="265" t="s">
        <v>1906</v>
      </c>
      <c r="L649" s="252" t="s">
        <v>153</v>
      </c>
      <c r="M649" s="248"/>
      <c r="N649" s="248"/>
      <c r="O649" s="248"/>
    </row>
    <row r="650" spans="1:15" hidden="1">
      <c r="A650" s="247">
        <v>45757</v>
      </c>
      <c r="B650" s="248" t="s">
        <v>1495</v>
      </c>
      <c r="C650" s="254" t="s">
        <v>175</v>
      </c>
      <c r="D650" s="249" t="s">
        <v>115</v>
      </c>
      <c r="E650" s="250">
        <v>80000</v>
      </c>
      <c r="F650" s="250">
        <v>137.24269139779966</v>
      </c>
      <c r="G650" s="251">
        <v>582.90899999999999</v>
      </c>
      <c r="H650" s="252" t="s">
        <v>191</v>
      </c>
      <c r="I650" s="252" t="s">
        <v>1356</v>
      </c>
      <c r="J650" s="252" t="s">
        <v>96</v>
      </c>
      <c r="K650" s="265" t="s">
        <v>1906</v>
      </c>
      <c r="L650" s="252" t="s">
        <v>153</v>
      </c>
      <c r="M650" s="248"/>
      <c r="N650" s="248"/>
      <c r="O650" s="248"/>
    </row>
    <row r="651" spans="1:15" hidden="1">
      <c r="A651" s="247">
        <v>45757</v>
      </c>
      <c r="B651" s="248" t="s">
        <v>1393</v>
      </c>
      <c r="C651" s="248" t="s">
        <v>194</v>
      </c>
      <c r="D651" s="249" t="s">
        <v>115</v>
      </c>
      <c r="E651" s="250">
        <v>7000</v>
      </c>
      <c r="F651" s="250">
        <v>12.00873549730747</v>
      </c>
      <c r="G651" s="251">
        <v>582.90899999999999</v>
      </c>
      <c r="H651" s="252" t="s">
        <v>195</v>
      </c>
      <c r="I651" s="252" t="s">
        <v>1394</v>
      </c>
      <c r="J651" s="252" t="s">
        <v>96</v>
      </c>
      <c r="K651" s="265" t="s">
        <v>1906</v>
      </c>
      <c r="L651" s="252" t="s">
        <v>153</v>
      </c>
      <c r="M651" s="248"/>
      <c r="N651" s="248"/>
      <c r="O651" s="248"/>
    </row>
    <row r="652" spans="1:15" hidden="1">
      <c r="A652" s="247">
        <v>45757</v>
      </c>
      <c r="B652" s="248" t="s">
        <v>1411</v>
      </c>
      <c r="C652" s="248" t="s">
        <v>172</v>
      </c>
      <c r="D652" s="248" t="s">
        <v>118</v>
      </c>
      <c r="E652" s="250">
        <v>7000</v>
      </c>
      <c r="F652" s="250">
        <v>12.00873549730747</v>
      </c>
      <c r="G652" s="251">
        <v>582.90899999999999</v>
      </c>
      <c r="H652" s="252" t="s">
        <v>211</v>
      </c>
      <c r="I652" s="252" t="s">
        <v>1412</v>
      </c>
      <c r="J652" s="252" t="s">
        <v>96</v>
      </c>
      <c r="K652" s="265" t="s">
        <v>1906</v>
      </c>
      <c r="L652" s="252" t="s">
        <v>153</v>
      </c>
      <c r="M652" s="248"/>
      <c r="N652" s="248"/>
      <c r="O652" s="248"/>
    </row>
    <row r="653" spans="1:15" hidden="1">
      <c r="A653" s="247">
        <v>45757</v>
      </c>
      <c r="B653" s="248" t="s">
        <v>771</v>
      </c>
      <c r="C653" s="255" t="s">
        <v>2090</v>
      </c>
      <c r="D653" s="248" t="s">
        <v>116</v>
      </c>
      <c r="E653" s="250">
        <v>5130</v>
      </c>
      <c r="F653" s="250">
        <v>8.8006875858839031</v>
      </c>
      <c r="G653" s="251">
        <v>582.90899999999999</v>
      </c>
      <c r="H653" s="252" t="s">
        <v>211</v>
      </c>
      <c r="I653" s="252" t="s">
        <v>1421</v>
      </c>
      <c r="J653" s="252" t="s">
        <v>96</v>
      </c>
      <c r="K653" s="265" t="s">
        <v>1906</v>
      </c>
      <c r="L653" s="252" t="s">
        <v>153</v>
      </c>
      <c r="M653" s="248"/>
      <c r="N653" s="248"/>
      <c r="O653" s="248"/>
    </row>
    <row r="654" spans="1:15" hidden="1">
      <c r="A654" s="247">
        <v>45758</v>
      </c>
      <c r="B654" s="248" t="s">
        <v>1179</v>
      </c>
      <c r="C654" s="254" t="s">
        <v>175</v>
      </c>
      <c r="D654" s="249" t="s">
        <v>115</v>
      </c>
      <c r="E654" s="250">
        <v>70000</v>
      </c>
      <c r="F654" s="250">
        <v>120.0873549730747</v>
      </c>
      <c r="G654" s="251">
        <v>582.90899999999999</v>
      </c>
      <c r="H654" s="252" t="s">
        <v>198</v>
      </c>
      <c r="I654" s="252" t="s">
        <v>1180</v>
      </c>
      <c r="J654" s="252" t="s">
        <v>96</v>
      </c>
      <c r="K654" s="265" t="s">
        <v>1906</v>
      </c>
      <c r="L654" s="252" t="s">
        <v>153</v>
      </c>
      <c r="M654" s="248"/>
      <c r="N654" s="248"/>
      <c r="O654" s="248"/>
    </row>
    <row r="655" spans="1:15" hidden="1">
      <c r="A655" s="247">
        <v>45758</v>
      </c>
      <c r="B655" s="248" t="s">
        <v>596</v>
      </c>
      <c r="C655" s="248" t="s">
        <v>150</v>
      </c>
      <c r="D655" s="249" t="s">
        <v>440</v>
      </c>
      <c r="E655" s="250">
        <v>15000</v>
      </c>
      <c r="F655" s="250">
        <v>25.733004637087436</v>
      </c>
      <c r="G655" s="251">
        <v>582.90899999999999</v>
      </c>
      <c r="H655" s="252" t="s">
        <v>581</v>
      </c>
      <c r="I655" s="252" t="s">
        <v>1232</v>
      </c>
      <c r="J655" s="252" t="s">
        <v>96</v>
      </c>
      <c r="K655" s="265" t="s">
        <v>1906</v>
      </c>
      <c r="L655" s="252" t="s">
        <v>153</v>
      </c>
      <c r="M655" s="248"/>
      <c r="N655" s="248"/>
      <c r="O655" s="248"/>
    </row>
    <row r="656" spans="1:15" hidden="1">
      <c r="A656" s="247">
        <v>45758</v>
      </c>
      <c r="B656" s="248" t="s">
        <v>4754</v>
      </c>
      <c r="C656" s="254" t="s">
        <v>175</v>
      </c>
      <c r="D656" s="249" t="s">
        <v>440</v>
      </c>
      <c r="E656" s="250">
        <v>45000</v>
      </c>
      <c r="F656" s="250">
        <v>77.199013911262313</v>
      </c>
      <c r="G656" s="251">
        <v>582.90899999999999</v>
      </c>
      <c r="H656" s="252" t="s">
        <v>173</v>
      </c>
      <c r="I656" s="252" t="s">
        <v>1264</v>
      </c>
      <c r="J656" s="252" t="s">
        <v>96</v>
      </c>
      <c r="K656" s="265" t="s">
        <v>1906</v>
      </c>
      <c r="L656" s="252" t="s">
        <v>153</v>
      </c>
      <c r="M656" s="248"/>
      <c r="N656" s="248"/>
      <c r="O656" s="248"/>
    </row>
    <row r="657" spans="1:15" hidden="1">
      <c r="A657" s="247">
        <v>45758</v>
      </c>
      <c r="B657" s="248" t="s">
        <v>4833</v>
      </c>
      <c r="C657" s="248" t="s">
        <v>172</v>
      </c>
      <c r="D657" s="249" t="s">
        <v>440</v>
      </c>
      <c r="E657" s="250">
        <v>8000</v>
      </c>
      <c r="F657" s="250">
        <v>13.724269139779965</v>
      </c>
      <c r="G657" s="251">
        <v>582.90899999999999</v>
      </c>
      <c r="H657" s="252" t="s">
        <v>173</v>
      </c>
      <c r="I657" s="252" t="s">
        <v>1265</v>
      </c>
      <c r="J657" s="252" t="s">
        <v>96</v>
      </c>
      <c r="K657" s="265" t="s">
        <v>1906</v>
      </c>
      <c r="L657" s="252" t="s">
        <v>153</v>
      </c>
      <c r="M657" s="248"/>
      <c r="N657" s="248"/>
      <c r="O657" s="248"/>
    </row>
    <row r="658" spans="1:15" hidden="1">
      <c r="A658" s="247">
        <v>45758</v>
      </c>
      <c r="B658" s="248" t="s">
        <v>4751</v>
      </c>
      <c r="C658" s="254" t="s">
        <v>175</v>
      </c>
      <c r="D658" s="249" t="s">
        <v>440</v>
      </c>
      <c r="E658" s="250">
        <v>45000</v>
      </c>
      <c r="F658" s="250">
        <v>77.199013911262313</v>
      </c>
      <c r="G658" s="251">
        <v>582.90899999999999</v>
      </c>
      <c r="H658" s="252" t="s">
        <v>321</v>
      </c>
      <c r="I658" s="252" t="s">
        <v>1286</v>
      </c>
      <c r="J658" s="252" t="s">
        <v>96</v>
      </c>
      <c r="K658" s="265" t="s">
        <v>1906</v>
      </c>
      <c r="L658" s="252" t="s">
        <v>153</v>
      </c>
      <c r="M658" s="248"/>
      <c r="N658" s="248"/>
      <c r="O658" s="248"/>
    </row>
    <row r="659" spans="1:15" hidden="1">
      <c r="A659" s="247">
        <v>45758</v>
      </c>
      <c r="B659" s="248" t="s">
        <v>4745</v>
      </c>
      <c r="C659" s="248" t="s">
        <v>172</v>
      </c>
      <c r="D659" s="249" t="s">
        <v>440</v>
      </c>
      <c r="E659" s="250">
        <v>5000</v>
      </c>
      <c r="F659" s="250">
        <v>8.5776682123624788</v>
      </c>
      <c r="G659" s="251">
        <v>582.90899999999999</v>
      </c>
      <c r="H659" s="252" t="s">
        <v>321</v>
      </c>
      <c r="I659" s="252" t="s">
        <v>1287</v>
      </c>
      <c r="J659" s="252" t="s">
        <v>96</v>
      </c>
      <c r="K659" s="265" t="s">
        <v>1906</v>
      </c>
      <c r="L659" s="252" t="s">
        <v>153</v>
      </c>
      <c r="M659" s="248"/>
      <c r="N659" s="248"/>
      <c r="O659" s="248"/>
    </row>
    <row r="660" spans="1:15" hidden="1">
      <c r="A660" s="247">
        <v>45758</v>
      </c>
      <c r="B660" s="248" t="s">
        <v>1488</v>
      </c>
      <c r="C660" s="254" t="s">
        <v>175</v>
      </c>
      <c r="D660" s="249" t="s">
        <v>115</v>
      </c>
      <c r="E660" s="250">
        <v>30000</v>
      </c>
      <c r="F660" s="250">
        <v>51.466009274174873</v>
      </c>
      <c r="G660" s="251">
        <v>582.90899999999999</v>
      </c>
      <c r="H660" s="252" t="s">
        <v>185</v>
      </c>
      <c r="I660" s="252" t="s">
        <v>1307</v>
      </c>
      <c r="J660" s="252" t="s">
        <v>96</v>
      </c>
      <c r="K660" s="265" t="s">
        <v>1906</v>
      </c>
      <c r="L660" s="252" t="s">
        <v>153</v>
      </c>
      <c r="M660" s="248"/>
      <c r="N660" s="248"/>
      <c r="O660" s="248"/>
    </row>
    <row r="661" spans="1:15" hidden="1">
      <c r="A661" s="247">
        <v>45758</v>
      </c>
      <c r="B661" s="248" t="s">
        <v>1327</v>
      </c>
      <c r="C661" s="255" t="s">
        <v>2090</v>
      </c>
      <c r="D661" s="248" t="s">
        <v>116</v>
      </c>
      <c r="E661" s="250">
        <v>14710</v>
      </c>
      <c r="F661" s="250">
        <v>25.235499880770412</v>
      </c>
      <c r="G661" s="251">
        <v>582.90899999999999</v>
      </c>
      <c r="H661" s="252" t="s">
        <v>188</v>
      </c>
      <c r="I661" s="252" t="s">
        <v>1328</v>
      </c>
      <c r="J661" s="252" t="s">
        <v>96</v>
      </c>
      <c r="K661" s="265" t="s">
        <v>1906</v>
      </c>
      <c r="L661" s="252" t="s">
        <v>153</v>
      </c>
      <c r="M661" s="248"/>
      <c r="N661" s="248"/>
      <c r="O661" s="248"/>
    </row>
    <row r="662" spans="1:15" hidden="1">
      <c r="A662" s="247">
        <v>45758</v>
      </c>
      <c r="B662" s="248" t="s">
        <v>1357</v>
      </c>
      <c r="C662" s="248" t="s">
        <v>311</v>
      </c>
      <c r="D662" s="249" t="s">
        <v>115</v>
      </c>
      <c r="E662" s="250">
        <v>6000</v>
      </c>
      <c r="F662" s="250">
        <v>10.293201854834974</v>
      </c>
      <c r="G662" s="251">
        <v>582.90899999999999</v>
      </c>
      <c r="H662" s="252" t="s">
        <v>191</v>
      </c>
      <c r="I662" s="252" t="s">
        <v>1358</v>
      </c>
      <c r="J662" s="252" t="s">
        <v>96</v>
      </c>
      <c r="K662" s="265" t="s">
        <v>1906</v>
      </c>
      <c r="L662" s="252" t="s">
        <v>153</v>
      </c>
      <c r="M662" s="248"/>
      <c r="N662" s="248"/>
      <c r="O662" s="248"/>
    </row>
    <row r="663" spans="1:15" hidden="1">
      <c r="A663" s="247">
        <v>45758</v>
      </c>
      <c r="B663" s="248" t="s">
        <v>1395</v>
      </c>
      <c r="C663" s="254" t="s">
        <v>175</v>
      </c>
      <c r="D663" s="249" t="s">
        <v>115</v>
      </c>
      <c r="E663" s="250">
        <v>30000</v>
      </c>
      <c r="F663" s="250">
        <v>51.466009274174873</v>
      </c>
      <c r="G663" s="251">
        <v>582.90899999999999</v>
      </c>
      <c r="H663" s="252" t="s">
        <v>195</v>
      </c>
      <c r="I663" s="252" t="s">
        <v>1396</v>
      </c>
      <c r="J663" s="252" t="s">
        <v>96</v>
      </c>
      <c r="K663" s="265" t="s">
        <v>1906</v>
      </c>
      <c r="L663" s="252" t="s">
        <v>153</v>
      </c>
      <c r="M663" s="248"/>
      <c r="N663" s="248"/>
      <c r="O663" s="248"/>
    </row>
    <row r="664" spans="1:15" hidden="1">
      <c r="A664" s="247">
        <v>45758</v>
      </c>
      <c r="B664" s="248" t="s">
        <v>1490</v>
      </c>
      <c r="C664" s="254" t="s">
        <v>175</v>
      </c>
      <c r="D664" s="248" t="s">
        <v>118</v>
      </c>
      <c r="E664" s="250">
        <v>70000</v>
      </c>
      <c r="F664" s="250">
        <v>120.0873549730747</v>
      </c>
      <c r="G664" s="251">
        <v>582.90899999999999</v>
      </c>
      <c r="H664" s="252" t="s">
        <v>211</v>
      </c>
      <c r="I664" s="252" t="s">
        <v>1413</v>
      </c>
      <c r="J664" s="252" t="s">
        <v>96</v>
      </c>
      <c r="K664" s="265" t="s">
        <v>1906</v>
      </c>
      <c r="L664" s="252" t="s">
        <v>153</v>
      </c>
      <c r="M664" s="248"/>
      <c r="N664" s="248"/>
      <c r="O664" s="248"/>
    </row>
    <row r="665" spans="1:15" hidden="1">
      <c r="A665" s="247">
        <v>45759</v>
      </c>
      <c r="B665" s="248" t="s">
        <v>1498</v>
      </c>
      <c r="C665" s="254" t="s">
        <v>175</v>
      </c>
      <c r="D665" s="249" t="s">
        <v>115</v>
      </c>
      <c r="E665" s="250">
        <v>30000</v>
      </c>
      <c r="F665" s="250">
        <v>51.466009274174873</v>
      </c>
      <c r="G665" s="251">
        <v>582.90899999999999</v>
      </c>
      <c r="H665" s="252" t="s">
        <v>191</v>
      </c>
      <c r="I665" s="252" t="s">
        <v>1359</v>
      </c>
      <c r="J665" s="252" t="s">
        <v>96</v>
      </c>
      <c r="K665" s="265" t="s">
        <v>1906</v>
      </c>
      <c r="L665" s="252" t="s">
        <v>153</v>
      </c>
      <c r="M665" s="248"/>
      <c r="N665" s="248"/>
      <c r="O665" s="248"/>
    </row>
    <row r="666" spans="1:15" hidden="1">
      <c r="A666" s="247">
        <v>45759</v>
      </c>
      <c r="B666" s="248" t="s">
        <v>1360</v>
      </c>
      <c r="C666" s="248" t="s">
        <v>172</v>
      </c>
      <c r="D666" s="249" t="s">
        <v>115</v>
      </c>
      <c r="E666" s="250">
        <v>5000</v>
      </c>
      <c r="F666" s="250">
        <v>8.5776682123624788</v>
      </c>
      <c r="G666" s="251">
        <v>582.90899999999999</v>
      </c>
      <c r="H666" s="252" t="s">
        <v>191</v>
      </c>
      <c r="I666" s="252" t="s">
        <v>1361</v>
      </c>
      <c r="J666" s="252" t="s">
        <v>96</v>
      </c>
      <c r="K666" s="265" t="s">
        <v>1906</v>
      </c>
      <c r="L666" s="252" t="s">
        <v>153</v>
      </c>
      <c r="M666" s="248"/>
      <c r="N666" s="248"/>
      <c r="O666" s="248"/>
    </row>
    <row r="667" spans="1:15" hidden="1">
      <c r="A667" s="247">
        <v>45759</v>
      </c>
      <c r="B667" s="248" t="s">
        <v>1362</v>
      </c>
      <c r="C667" s="248" t="s">
        <v>172</v>
      </c>
      <c r="D667" s="249" t="s">
        <v>115</v>
      </c>
      <c r="E667" s="250">
        <v>2000</v>
      </c>
      <c r="F667" s="250">
        <v>3.4310672849449912</v>
      </c>
      <c r="G667" s="251">
        <v>582.90899999999999</v>
      </c>
      <c r="H667" s="252" t="s">
        <v>191</v>
      </c>
      <c r="I667" s="252" t="s">
        <v>1363</v>
      </c>
      <c r="J667" s="252" t="s">
        <v>96</v>
      </c>
      <c r="K667" s="265" t="s">
        <v>1906</v>
      </c>
      <c r="L667" s="252" t="s">
        <v>153</v>
      </c>
      <c r="M667" s="248"/>
      <c r="N667" s="248"/>
      <c r="O667" s="248"/>
    </row>
    <row r="668" spans="1:15" hidden="1">
      <c r="A668" s="247">
        <v>45760</v>
      </c>
      <c r="B668" s="248" t="s">
        <v>1181</v>
      </c>
      <c r="C668" s="254" t="s">
        <v>175</v>
      </c>
      <c r="D668" s="249" t="s">
        <v>115</v>
      </c>
      <c r="E668" s="250">
        <v>30000</v>
      </c>
      <c r="F668" s="250">
        <v>51.466009274174873</v>
      </c>
      <c r="G668" s="251">
        <v>582.90899999999999</v>
      </c>
      <c r="H668" s="252" t="s">
        <v>198</v>
      </c>
      <c r="I668" s="252" t="s">
        <v>1182</v>
      </c>
      <c r="J668" s="252" t="s">
        <v>96</v>
      </c>
      <c r="K668" s="265" t="s">
        <v>1906</v>
      </c>
      <c r="L668" s="252" t="s">
        <v>153</v>
      </c>
      <c r="M668" s="248"/>
      <c r="N668" s="248"/>
      <c r="O668" s="248"/>
    </row>
    <row r="669" spans="1:15" hidden="1">
      <c r="A669" s="247">
        <v>45760</v>
      </c>
      <c r="B669" s="248" t="s">
        <v>4821</v>
      </c>
      <c r="C669" s="254" t="s">
        <v>175</v>
      </c>
      <c r="D669" s="249" t="s">
        <v>440</v>
      </c>
      <c r="E669" s="250">
        <v>135000</v>
      </c>
      <c r="F669" s="250">
        <v>231.59704173378694</v>
      </c>
      <c r="G669" s="251">
        <v>582.90899999999999</v>
      </c>
      <c r="H669" s="252" t="s">
        <v>182</v>
      </c>
      <c r="I669" s="252" t="s">
        <v>1477</v>
      </c>
      <c r="J669" s="252" t="s">
        <v>96</v>
      </c>
      <c r="K669" s="265" t="s">
        <v>1906</v>
      </c>
      <c r="L669" s="252" t="s">
        <v>153</v>
      </c>
      <c r="M669" s="248"/>
      <c r="N669" s="248"/>
      <c r="O669" s="248"/>
    </row>
    <row r="670" spans="1:15" hidden="1">
      <c r="A670" s="247">
        <v>45760</v>
      </c>
      <c r="B670" s="248" t="s">
        <v>4754</v>
      </c>
      <c r="C670" s="254" t="s">
        <v>175</v>
      </c>
      <c r="D670" s="249" t="s">
        <v>440</v>
      </c>
      <c r="E670" s="250">
        <v>30000</v>
      </c>
      <c r="F670" s="250">
        <v>51.466009274174873</v>
      </c>
      <c r="G670" s="251">
        <v>582.90899999999999</v>
      </c>
      <c r="H670" s="252" t="s">
        <v>173</v>
      </c>
      <c r="I670" s="252" t="s">
        <v>1266</v>
      </c>
      <c r="J670" s="252" t="s">
        <v>96</v>
      </c>
      <c r="K670" s="265" t="s">
        <v>1906</v>
      </c>
      <c r="L670" s="252" t="s">
        <v>153</v>
      </c>
      <c r="M670" s="248"/>
      <c r="N670" s="248"/>
      <c r="O670" s="248"/>
    </row>
    <row r="671" spans="1:15" hidden="1">
      <c r="A671" s="247">
        <v>45760</v>
      </c>
      <c r="B671" s="248" t="s">
        <v>4834</v>
      </c>
      <c r="C671" s="248" t="s">
        <v>172</v>
      </c>
      <c r="D671" s="249" t="s">
        <v>440</v>
      </c>
      <c r="E671" s="250">
        <v>5000</v>
      </c>
      <c r="F671" s="250">
        <v>8.5776682123624788</v>
      </c>
      <c r="G671" s="251">
        <v>582.90899999999999</v>
      </c>
      <c r="H671" s="252" t="s">
        <v>173</v>
      </c>
      <c r="I671" s="252" t="s">
        <v>1267</v>
      </c>
      <c r="J671" s="252" t="s">
        <v>96</v>
      </c>
      <c r="K671" s="265" t="s">
        <v>1906</v>
      </c>
      <c r="L671" s="252" t="s">
        <v>153</v>
      </c>
      <c r="M671" s="248"/>
      <c r="N671" s="248"/>
      <c r="O671" s="248"/>
    </row>
    <row r="672" spans="1:15" hidden="1">
      <c r="A672" s="247">
        <v>45760</v>
      </c>
      <c r="B672" s="248" t="s">
        <v>4801</v>
      </c>
      <c r="C672" s="254" t="s">
        <v>175</v>
      </c>
      <c r="D672" s="249" t="s">
        <v>440</v>
      </c>
      <c r="E672" s="250">
        <v>30000</v>
      </c>
      <c r="F672" s="250">
        <v>51.466009274174873</v>
      </c>
      <c r="G672" s="251">
        <v>582.90899999999999</v>
      </c>
      <c r="H672" s="252" t="s">
        <v>321</v>
      </c>
      <c r="I672" s="252" t="s">
        <v>1288</v>
      </c>
      <c r="J672" s="252" t="s">
        <v>96</v>
      </c>
      <c r="K672" s="265" t="s">
        <v>1906</v>
      </c>
      <c r="L672" s="252" t="s">
        <v>153</v>
      </c>
      <c r="M672" s="248"/>
      <c r="N672" s="248"/>
      <c r="O672" s="248"/>
    </row>
    <row r="673" spans="1:15" hidden="1">
      <c r="A673" s="247">
        <v>45760</v>
      </c>
      <c r="B673" s="248" t="s">
        <v>4745</v>
      </c>
      <c r="C673" s="248" t="s">
        <v>172</v>
      </c>
      <c r="D673" s="249" t="s">
        <v>440</v>
      </c>
      <c r="E673" s="250">
        <v>8000</v>
      </c>
      <c r="F673" s="250">
        <v>13.724269139779965</v>
      </c>
      <c r="G673" s="251">
        <v>582.90899999999999</v>
      </c>
      <c r="H673" s="252" t="s">
        <v>321</v>
      </c>
      <c r="I673" s="252" t="s">
        <v>1289</v>
      </c>
      <c r="J673" s="252" t="s">
        <v>96</v>
      </c>
      <c r="K673" s="265" t="s">
        <v>1906</v>
      </c>
      <c r="L673" s="252" t="s">
        <v>153</v>
      </c>
      <c r="M673" s="248"/>
      <c r="N673" s="248"/>
      <c r="O673" s="248"/>
    </row>
    <row r="674" spans="1:15" hidden="1">
      <c r="A674" s="247">
        <v>45761</v>
      </c>
      <c r="B674" s="248" t="s">
        <v>4835</v>
      </c>
      <c r="C674" s="254" t="s">
        <v>175</v>
      </c>
      <c r="D674" s="249" t="s">
        <v>440</v>
      </c>
      <c r="E674" s="250">
        <v>15000</v>
      </c>
      <c r="F674" s="250">
        <v>25.733004637087436</v>
      </c>
      <c r="G674" s="251">
        <v>582.90899999999999</v>
      </c>
      <c r="H674" s="252" t="s">
        <v>321</v>
      </c>
      <c r="I674" s="252" t="s">
        <v>1290</v>
      </c>
      <c r="J674" s="252" t="s">
        <v>96</v>
      </c>
      <c r="K674" s="265" t="s">
        <v>1906</v>
      </c>
      <c r="L674" s="252" t="s">
        <v>153</v>
      </c>
      <c r="M674" s="248"/>
      <c r="N674" s="248"/>
      <c r="O674" s="248"/>
    </row>
    <row r="675" spans="1:15" hidden="1">
      <c r="A675" s="247">
        <v>45761</v>
      </c>
      <c r="B675" s="248" t="s">
        <v>4752</v>
      </c>
      <c r="C675" s="248" t="s">
        <v>172</v>
      </c>
      <c r="D675" s="249" t="s">
        <v>440</v>
      </c>
      <c r="E675" s="250">
        <v>3000</v>
      </c>
      <c r="F675" s="250">
        <v>5.1466009274174871</v>
      </c>
      <c r="G675" s="251">
        <v>582.90899999999999</v>
      </c>
      <c r="H675" s="252" t="s">
        <v>321</v>
      </c>
      <c r="I675" s="252" t="s">
        <v>1291</v>
      </c>
      <c r="J675" s="252" t="s">
        <v>96</v>
      </c>
      <c r="K675" s="265" t="s">
        <v>1906</v>
      </c>
      <c r="L675" s="252" t="s">
        <v>153</v>
      </c>
      <c r="M675" s="248"/>
      <c r="N675" s="248"/>
      <c r="O675" s="248"/>
    </row>
    <row r="676" spans="1:15" hidden="1">
      <c r="A676" s="247">
        <v>45761</v>
      </c>
      <c r="B676" s="248" t="s">
        <v>4773</v>
      </c>
      <c r="C676" s="248" t="s">
        <v>172</v>
      </c>
      <c r="D676" s="249" t="s">
        <v>440</v>
      </c>
      <c r="E676" s="250">
        <v>10000</v>
      </c>
      <c r="F676" s="250">
        <v>17.155336424724958</v>
      </c>
      <c r="G676" s="251">
        <v>582.90899999999999</v>
      </c>
      <c r="H676" s="252" t="s">
        <v>321</v>
      </c>
      <c r="I676" s="252" t="s">
        <v>1292</v>
      </c>
      <c r="J676" s="252" t="s">
        <v>96</v>
      </c>
      <c r="K676" s="265" t="s">
        <v>1906</v>
      </c>
      <c r="L676" s="252" t="s">
        <v>153</v>
      </c>
      <c r="M676" s="248"/>
      <c r="N676" s="248"/>
      <c r="O676" s="248"/>
    </row>
    <row r="677" spans="1:15" hidden="1">
      <c r="A677" s="247">
        <v>45761</v>
      </c>
      <c r="B677" s="248" t="s">
        <v>1313</v>
      </c>
      <c r="C677" s="248" t="s">
        <v>172</v>
      </c>
      <c r="D677" s="249" t="s">
        <v>115</v>
      </c>
      <c r="E677" s="250">
        <v>7000</v>
      </c>
      <c r="F677" s="250">
        <v>12.00873549730747</v>
      </c>
      <c r="G677" s="251">
        <v>582.90899999999999</v>
      </c>
      <c r="H677" s="252" t="s">
        <v>188</v>
      </c>
      <c r="I677" s="252" t="s">
        <v>1314</v>
      </c>
      <c r="J677" s="252" t="s">
        <v>96</v>
      </c>
      <c r="K677" s="265" t="s">
        <v>1906</v>
      </c>
      <c r="L677" s="252" t="s">
        <v>153</v>
      </c>
      <c r="M677" s="248"/>
      <c r="N677" s="248"/>
      <c r="O677" s="248"/>
    </row>
    <row r="678" spans="1:15" hidden="1">
      <c r="A678" s="247">
        <v>45761</v>
      </c>
      <c r="B678" s="248" t="s">
        <v>1329</v>
      </c>
      <c r="C678" s="255" t="s">
        <v>2090</v>
      </c>
      <c r="D678" s="248" t="s">
        <v>116</v>
      </c>
      <c r="E678" s="250">
        <v>14390</v>
      </c>
      <c r="F678" s="250">
        <v>24.686529115179212</v>
      </c>
      <c r="G678" s="251">
        <v>582.90899999999999</v>
      </c>
      <c r="H678" s="252" t="s">
        <v>188</v>
      </c>
      <c r="I678" s="252" t="s">
        <v>1330</v>
      </c>
      <c r="J678" s="252" t="s">
        <v>96</v>
      </c>
      <c r="K678" s="265" t="s">
        <v>1906</v>
      </c>
      <c r="L678" s="252" t="s">
        <v>153</v>
      </c>
      <c r="M678" s="248"/>
      <c r="N678" s="248"/>
      <c r="O678" s="248"/>
    </row>
    <row r="679" spans="1:15" hidden="1">
      <c r="A679" s="247">
        <v>45761</v>
      </c>
      <c r="B679" s="248" t="s">
        <v>1331</v>
      </c>
      <c r="C679" s="248" t="s">
        <v>172</v>
      </c>
      <c r="D679" s="249" t="s">
        <v>115</v>
      </c>
      <c r="E679" s="250">
        <v>20000</v>
      </c>
      <c r="F679" s="250">
        <v>34.310672849449915</v>
      </c>
      <c r="G679" s="251">
        <v>582.90899999999999</v>
      </c>
      <c r="H679" s="252" t="s">
        <v>188</v>
      </c>
      <c r="I679" s="252" t="s">
        <v>1332</v>
      </c>
      <c r="J679" s="252" t="s">
        <v>96</v>
      </c>
      <c r="K679" s="265" t="s">
        <v>1906</v>
      </c>
      <c r="L679" s="252" t="s">
        <v>153</v>
      </c>
      <c r="M679" s="248"/>
      <c r="N679" s="248"/>
      <c r="O679" s="248"/>
    </row>
    <row r="680" spans="1:15" hidden="1">
      <c r="A680" s="247">
        <v>45761</v>
      </c>
      <c r="B680" s="248" t="s">
        <v>1333</v>
      </c>
      <c r="C680" s="254" t="s">
        <v>175</v>
      </c>
      <c r="D680" s="249" t="s">
        <v>115</v>
      </c>
      <c r="E680" s="250">
        <v>50000</v>
      </c>
      <c r="F680" s="250">
        <v>85.776682123624781</v>
      </c>
      <c r="G680" s="251">
        <v>582.90899999999999</v>
      </c>
      <c r="H680" s="252" t="s">
        <v>188</v>
      </c>
      <c r="I680" s="252" t="s">
        <v>1334</v>
      </c>
      <c r="J680" s="252" t="s">
        <v>96</v>
      </c>
      <c r="K680" s="265" t="s">
        <v>1906</v>
      </c>
      <c r="L680" s="252" t="s">
        <v>153</v>
      </c>
      <c r="M680" s="248"/>
      <c r="N680" s="248"/>
      <c r="O680" s="248"/>
    </row>
    <row r="681" spans="1:15" hidden="1">
      <c r="A681" s="247">
        <v>45761</v>
      </c>
      <c r="B681" s="248" t="s">
        <v>1335</v>
      </c>
      <c r="C681" s="248" t="s">
        <v>172</v>
      </c>
      <c r="D681" s="249" t="s">
        <v>115</v>
      </c>
      <c r="E681" s="250">
        <v>20000</v>
      </c>
      <c r="F681" s="250">
        <v>34.310672849449915</v>
      </c>
      <c r="G681" s="251">
        <v>582.90899999999999</v>
      </c>
      <c r="H681" s="252" t="s">
        <v>188</v>
      </c>
      <c r="I681" s="252" t="s">
        <v>1336</v>
      </c>
      <c r="J681" s="252" t="s">
        <v>96</v>
      </c>
      <c r="K681" s="265" t="s">
        <v>1906</v>
      </c>
      <c r="L681" s="252" t="s">
        <v>153</v>
      </c>
      <c r="M681" s="248"/>
      <c r="N681" s="248"/>
      <c r="O681" s="248"/>
    </row>
    <row r="682" spans="1:15" hidden="1">
      <c r="A682" s="247">
        <v>45761</v>
      </c>
      <c r="B682" s="248" t="s">
        <v>1337</v>
      </c>
      <c r="C682" s="254" t="s">
        <v>175</v>
      </c>
      <c r="D682" s="249" t="s">
        <v>115</v>
      </c>
      <c r="E682" s="250">
        <v>50000</v>
      </c>
      <c r="F682" s="250">
        <v>85.776682123624781</v>
      </c>
      <c r="G682" s="251">
        <v>582.90899999999999</v>
      </c>
      <c r="H682" s="252" t="s">
        <v>188</v>
      </c>
      <c r="I682" s="252" t="s">
        <v>1338</v>
      </c>
      <c r="J682" s="252" t="s">
        <v>96</v>
      </c>
      <c r="K682" s="265" t="s">
        <v>1906</v>
      </c>
      <c r="L682" s="252" t="s">
        <v>153</v>
      </c>
      <c r="M682" s="248"/>
      <c r="N682" s="248"/>
      <c r="O682" s="248"/>
    </row>
    <row r="683" spans="1:15" hidden="1">
      <c r="A683" s="247">
        <v>45761</v>
      </c>
      <c r="B683" s="248" t="s">
        <v>1430</v>
      </c>
      <c r="C683" s="248" t="s">
        <v>125</v>
      </c>
      <c r="D683" s="249" t="s">
        <v>115</v>
      </c>
      <c r="E683" s="250">
        <v>368700</v>
      </c>
      <c r="F683" s="250">
        <v>632.51725397960922</v>
      </c>
      <c r="G683" s="251">
        <v>582.90899999999999</v>
      </c>
      <c r="H683" s="252" t="s">
        <v>146</v>
      </c>
      <c r="I683" s="252" t="s">
        <v>1449</v>
      </c>
      <c r="J683" s="252" t="s">
        <v>96</v>
      </c>
      <c r="K683" s="265" t="s">
        <v>1906</v>
      </c>
      <c r="L683" s="252" t="s">
        <v>153</v>
      </c>
      <c r="M683" s="248"/>
      <c r="N683" s="248"/>
      <c r="O683" s="248"/>
    </row>
    <row r="684" spans="1:15" hidden="1">
      <c r="A684" s="247">
        <v>45761</v>
      </c>
      <c r="B684" s="248" t="s">
        <v>1431</v>
      </c>
      <c r="C684" s="248" t="s">
        <v>125</v>
      </c>
      <c r="D684" s="249" t="s">
        <v>115</v>
      </c>
      <c r="E684" s="250">
        <v>107230</v>
      </c>
      <c r="F684" s="250">
        <v>183.95667248232573</v>
      </c>
      <c r="G684" s="251">
        <v>582.90899999999999</v>
      </c>
      <c r="H684" s="252" t="s">
        <v>146</v>
      </c>
      <c r="I684" s="252" t="s">
        <v>1450</v>
      </c>
      <c r="J684" s="252" t="s">
        <v>96</v>
      </c>
      <c r="K684" s="265" t="s">
        <v>1906</v>
      </c>
      <c r="L684" s="252" t="s">
        <v>153</v>
      </c>
      <c r="M684" s="248"/>
      <c r="N684" s="248"/>
      <c r="O684" s="248"/>
    </row>
    <row r="685" spans="1:15" hidden="1">
      <c r="A685" s="247">
        <v>45761</v>
      </c>
      <c r="B685" s="248" t="s">
        <v>1432</v>
      </c>
      <c r="C685" s="248" t="s">
        <v>125</v>
      </c>
      <c r="D685" s="249" t="s">
        <v>115</v>
      </c>
      <c r="E685" s="250">
        <v>103494</v>
      </c>
      <c r="F685" s="250">
        <v>177.54743879404847</v>
      </c>
      <c r="G685" s="251">
        <v>582.90899999999999</v>
      </c>
      <c r="H685" s="252" t="s">
        <v>146</v>
      </c>
      <c r="I685" s="252" t="s">
        <v>1451</v>
      </c>
      <c r="J685" s="252" t="s">
        <v>96</v>
      </c>
      <c r="K685" s="265" t="s">
        <v>1906</v>
      </c>
      <c r="L685" s="252" t="s">
        <v>153</v>
      </c>
      <c r="M685" s="248"/>
      <c r="N685" s="248"/>
      <c r="O685" s="248"/>
    </row>
    <row r="686" spans="1:15" hidden="1">
      <c r="A686" s="247">
        <v>45761</v>
      </c>
      <c r="B686" s="248" t="s">
        <v>1433</v>
      </c>
      <c r="C686" s="248" t="s">
        <v>125</v>
      </c>
      <c r="D686" s="249" t="s">
        <v>115</v>
      </c>
      <c r="E686" s="250">
        <v>103494</v>
      </c>
      <c r="F686" s="250">
        <v>177.54743879404847</v>
      </c>
      <c r="G686" s="251">
        <v>582.90899999999999</v>
      </c>
      <c r="H686" s="252" t="s">
        <v>146</v>
      </c>
      <c r="I686" s="252" t="s">
        <v>1452</v>
      </c>
      <c r="J686" s="252" t="s">
        <v>96</v>
      </c>
      <c r="K686" s="265" t="s">
        <v>1906</v>
      </c>
      <c r="L686" s="252" t="s">
        <v>153</v>
      </c>
      <c r="M686" s="248"/>
      <c r="N686" s="248"/>
      <c r="O686" s="248"/>
    </row>
    <row r="687" spans="1:15" hidden="1">
      <c r="A687" s="247">
        <v>45761</v>
      </c>
      <c r="B687" s="248" t="s">
        <v>1434</v>
      </c>
      <c r="C687" s="248" t="s">
        <v>125</v>
      </c>
      <c r="D687" s="249" t="s">
        <v>115</v>
      </c>
      <c r="E687" s="250">
        <v>103494</v>
      </c>
      <c r="F687" s="250">
        <v>177.54743879404847</v>
      </c>
      <c r="G687" s="251">
        <v>582.90899999999999</v>
      </c>
      <c r="H687" s="252" t="s">
        <v>146</v>
      </c>
      <c r="I687" s="252" t="s">
        <v>1453</v>
      </c>
      <c r="J687" s="252" t="s">
        <v>96</v>
      </c>
      <c r="K687" s="265" t="s">
        <v>1906</v>
      </c>
      <c r="L687" s="252" t="s">
        <v>153</v>
      </c>
      <c r="M687" s="248"/>
      <c r="N687" s="248"/>
      <c r="O687" s="248"/>
    </row>
    <row r="688" spans="1:15" hidden="1">
      <c r="A688" s="247">
        <v>45761</v>
      </c>
      <c r="B688" s="248" t="s">
        <v>1435</v>
      </c>
      <c r="C688" s="248" t="s">
        <v>125</v>
      </c>
      <c r="D688" s="248" t="s">
        <v>116</v>
      </c>
      <c r="E688" s="250">
        <v>65179</v>
      </c>
      <c r="F688" s="250">
        <v>111.81676728271479</v>
      </c>
      <c r="G688" s="251">
        <v>582.90899999999999</v>
      </c>
      <c r="H688" s="252" t="s">
        <v>146</v>
      </c>
      <c r="I688" s="252" t="s">
        <v>1454</v>
      </c>
      <c r="J688" s="252" t="s">
        <v>96</v>
      </c>
      <c r="K688" s="265" t="s">
        <v>1906</v>
      </c>
      <c r="L688" s="252" t="s">
        <v>153</v>
      </c>
      <c r="M688" s="248"/>
      <c r="N688" s="248"/>
      <c r="O688" s="248"/>
    </row>
    <row r="689" spans="1:15" hidden="1">
      <c r="A689" s="247">
        <v>45761</v>
      </c>
      <c r="B689" s="248" t="s">
        <v>1436</v>
      </c>
      <c r="C689" s="248" t="s">
        <v>125</v>
      </c>
      <c r="D689" s="248" t="s">
        <v>116</v>
      </c>
      <c r="E689" s="250">
        <v>256525</v>
      </c>
      <c r="F689" s="250">
        <v>440.07726763525699</v>
      </c>
      <c r="G689" s="251">
        <v>582.90899999999999</v>
      </c>
      <c r="H689" s="252" t="s">
        <v>146</v>
      </c>
      <c r="I689" s="252" t="s">
        <v>1455</v>
      </c>
      <c r="J689" s="252" t="s">
        <v>96</v>
      </c>
      <c r="K689" s="265" t="s">
        <v>1906</v>
      </c>
      <c r="L689" s="252" t="s">
        <v>153</v>
      </c>
      <c r="M689" s="248"/>
      <c r="N689" s="248"/>
      <c r="O689" s="248"/>
    </row>
    <row r="690" spans="1:15" hidden="1">
      <c r="A690" s="247">
        <v>45761</v>
      </c>
      <c r="B690" s="248" t="s">
        <v>1437</v>
      </c>
      <c r="C690" s="248" t="s">
        <v>125</v>
      </c>
      <c r="D690" s="248" t="s">
        <v>118</v>
      </c>
      <c r="E690" s="250">
        <v>127560</v>
      </c>
      <c r="F690" s="250">
        <v>218.83347143379154</v>
      </c>
      <c r="G690" s="251">
        <v>582.90899999999999</v>
      </c>
      <c r="H690" s="252" t="s">
        <v>146</v>
      </c>
      <c r="I690" s="252" t="s">
        <v>1456</v>
      </c>
      <c r="J690" s="252" t="s">
        <v>96</v>
      </c>
      <c r="K690" s="265" t="s">
        <v>1906</v>
      </c>
      <c r="L690" s="252" t="s">
        <v>153</v>
      </c>
      <c r="M690" s="248"/>
      <c r="N690" s="248"/>
      <c r="O690" s="248"/>
    </row>
    <row r="691" spans="1:15" hidden="1">
      <c r="A691" s="247">
        <v>45762</v>
      </c>
      <c r="B691" s="248" t="s">
        <v>1190</v>
      </c>
      <c r="C691" s="248" t="s">
        <v>302</v>
      </c>
      <c r="D691" s="248" t="s">
        <v>116</v>
      </c>
      <c r="E691" s="250">
        <v>11000</v>
      </c>
      <c r="F691" s="250">
        <v>18.870870067197455</v>
      </c>
      <c r="G691" s="251">
        <v>582.90899999999999</v>
      </c>
      <c r="H691" s="252" t="s">
        <v>151</v>
      </c>
      <c r="I691" s="252" t="s">
        <v>1191</v>
      </c>
      <c r="J691" s="252" t="s">
        <v>96</v>
      </c>
      <c r="K691" s="265" t="s">
        <v>1906</v>
      </c>
      <c r="L691" s="252" t="s">
        <v>153</v>
      </c>
      <c r="M691" s="248"/>
      <c r="N691" s="248"/>
      <c r="O691" s="248"/>
    </row>
    <row r="692" spans="1:15" hidden="1">
      <c r="A692" s="247">
        <v>45762</v>
      </c>
      <c r="B692" s="248" t="s">
        <v>1233</v>
      </c>
      <c r="C692" s="254" t="s">
        <v>124</v>
      </c>
      <c r="D692" s="248" t="s">
        <v>116</v>
      </c>
      <c r="E692" s="250">
        <v>25500</v>
      </c>
      <c r="F692" s="250">
        <v>43.746107883048644</v>
      </c>
      <c r="G692" s="251">
        <v>582.90899999999999</v>
      </c>
      <c r="H692" s="252" t="s">
        <v>581</v>
      </c>
      <c r="I692" s="252" t="s">
        <v>1234</v>
      </c>
      <c r="J692" s="252" t="s">
        <v>96</v>
      </c>
      <c r="K692" s="265" t="s">
        <v>1906</v>
      </c>
      <c r="L692" s="252" t="s">
        <v>153</v>
      </c>
      <c r="M692" s="248"/>
      <c r="N692" s="248"/>
      <c r="O692" s="248"/>
    </row>
    <row r="693" spans="1:15" hidden="1">
      <c r="A693" s="247">
        <v>45762</v>
      </c>
      <c r="B693" s="248" t="s">
        <v>771</v>
      </c>
      <c r="C693" s="255" t="s">
        <v>2090</v>
      </c>
      <c r="D693" s="248" t="s">
        <v>116</v>
      </c>
      <c r="E693" s="250">
        <v>5950</v>
      </c>
      <c r="F693" s="250">
        <v>10.20742517271135</v>
      </c>
      <c r="G693" s="251">
        <v>582.90899999999999</v>
      </c>
      <c r="H693" s="252" t="s">
        <v>581</v>
      </c>
      <c r="I693" s="252" t="s">
        <v>1235</v>
      </c>
      <c r="J693" s="252" t="s">
        <v>96</v>
      </c>
      <c r="K693" s="265" t="s">
        <v>1906</v>
      </c>
      <c r="L693" s="252" t="s">
        <v>153</v>
      </c>
      <c r="M693" s="248"/>
      <c r="N693" s="248"/>
      <c r="O693" s="248"/>
    </row>
    <row r="694" spans="1:15" hidden="1">
      <c r="A694" s="247">
        <v>45762</v>
      </c>
      <c r="B694" s="248" t="s">
        <v>1236</v>
      </c>
      <c r="C694" s="248" t="s">
        <v>150</v>
      </c>
      <c r="D694" s="248" t="s">
        <v>117</v>
      </c>
      <c r="E694" s="250">
        <v>20000</v>
      </c>
      <c r="F694" s="250">
        <v>34.310672849449915</v>
      </c>
      <c r="G694" s="251">
        <v>582.90899999999999</v>
      </c>
      <c r="H694" s="252" t="s">
        <v>581</v>
      </c>
      <c r="I694" s="252" t="s">
        <v>1237</v>
      </c>
      <c r="J694" s="252" t="s">
        <v>96</v>
      </c>
      <c r="K694" s="265" t="s">
        <v>1906</v>
      </c>
      <c r="L694" s="252" t="s">
        <v>153</v>
      </c>
      <c r="M694" s="248"/>
      <c r="N694" s="248"/>
      <c r="O694" s="248"/>
    </row>
    <row r="695" spans="1:15" hidden="1">
      <c r="A695" s="247">
        <v>45762</v>
      </c>
      <c r="B695" s="248" t="s">
        <v>1238</v>
      </c>
      <c r="C695" s="248" t="s">
        <v>150</v>
      </c>
      <c r="D695" s="249" t="s">
        <v>115</v>
      </c>
      <c r="E695" s="250">
        <v>40000</v>
      </c>
      <c r="F695" s="250">
        <v>68.62134569889983</v>
      </c>
      <c r="G695" s="251">
        <v>582.90899999999999</v>
      </c>
      <c r="H695" s="252" t="s">
        <v>581</v>
      </c>
      <c r="I695" s="252" t="s">
        <v>1239</v>
      </c>
      <c r="J695" s="252" t="s">
        <v>96</v>
      </c>
      <c r="K695" s="265" t="s">
        <v>1906</v>
      </c>
      <c r="L695" s="252" t="s">
        <v>153</v>
      </c>
      <c r="M695" s="248"/>
      <c r="N695" s="248"/>
      <c r="O695" s="248"/>
    </row>
    <row r="696" spans="1:15" hidden="1">
      <c r="A696" s="247">
        <v>45762</v>
      </c>
      <c r="B696" s="248" t="s">
        <v>1240</v>
      </c>
      <c r="C696" s="248" t="s">
        <v>150</v>
      </c>
      <c r="D696" s="249" t="s">
        <v>440</v>
      </c>
      <c r="E696" s="250">
        <v>55000</v>
      </c>
      <c r="F696" s="250">
        <v>94.354350335987263</v>
      </c>
      <c r="G696" s="251">
        <v>582.90899999999999</v>
      </c>
      <c r="H696" s="252" t="s">
        <v>581</v>
      </c>
      <c r="I696" s="252" t="s">
        <v>1241</v>
      </c>
      <c r="J696" s="252" t="s">
        <v>96</v>
      </c>
      <c r="K696" s="265" t="s">
        <v>1906</v>
      </c>
      <c r="L696" s="252" t="s">
        <v>153</v>
      </c>
      <c r="M696" s="248"/>
      <c r="N696" s="248"/>
      <c r="O696" s="248"/>
    </row>
    <row r="697" spans="1:15" hidden="1">
      <c r="A697" s="247">
        <v>45762</v>
      </c>
      <c r="B697" s="248" t="s">
        <v>1242</v>
      </c>
      <c r="C697" s="248" t="s">
        <v>150</v>
      </c>
      <c r="D697" s="248" t="s">
        <v>118</v>
      </c>
      <c r="E697" s="250">
        <v>10000</v>
      </c>
      <c r="F697" s="250">
        <v>17.155336424724958</v>
      </c>
      <c r="G697" s="251">
        <v>582.90899999999999</v>
      </c>
      <c r="H697" s="252" t="s">
        <v>581</v>
      </c>
      <c r="I697" s="252" t="s">
        <v>1243</v>
      </c>
      <c r="J697" s="252" t="s">
        <v>96</v>
      </c>
      <c r="K697" s="265" t="s">
        <v>1906</v>
      </c>
      <c r="L697" s="252" t="s">
        <v>153</v>
      </c>
      <c r="M697" s="248"/>
      <c r="N697" s="248"/>
      <c r="O697" s="248"/>
    </row>
    <row r="698" spans="1:15" hidden="1">
      <c r="A698" s="247">
        <v>45762</v>
      </c>
      <c r="B698" s="248" t="s">
        <v>1244</v>
      </c>
      <c r="C698" s="248" t="s">
        <v>150</v>
      </c>
      <c r="D698" s="249" t="s">
        <v>115</v>
      </c>
      <c r="E698" s="250">
        <v>10000</v>
      </c>
      <c r="F698" s="250">
        <v>17.155336424724958</v>
      </c>
      <c r="G698" s="251">
        <v>582.90899999999999</v>
      </c>
      <c r="H698" s="252" t="s">
        <v>581</v>
      </c>
      <c r="I698" s="252" t="s">
        <v>1245</v>
      </c>
      <c r="J698" s="252" t="s">
        <v>96</v>
      </c>
      <c r="K698" s="265" t="s">
        <v>1906</v>
      </c>
      <c r="L698" s="252" t="s">
        <v>153</v>
      </c>
      <c r="M698" s="248"/>
      <c r="N698" s="248"/>
      <c r="O698" s="248"/>
    </row>
    <row r="699" spans="1:15" hidden="1">
      <c r="A699" s="247">
        <v>45762</v>
      </c>
      <c r="B699" s="248" t="s">
        <v>1246</v>
      </c>
      <c r="C699" s="248" t="s">
        <v>150</v>
      </c>
      <c r="D699" s="249" t="s">
        <v>440</v>
      </c>
      <c r="E699" s="250">
        <v>5000</v>
      </c>
      <c r="F699" s="250">
        <v>8.5776682123624788</v>
      </c>
      <c r="G699" s="251">
        <v>582.90899999999999</v>
      </c>
      <c r="H699" s="252" t="s">
        <v>581</v>
      </c>
      <c r="I699" s="252" t="s">
        <v>1247</v>
      </c>
      <c r="J699" s="252" t="s">
        <v>96</v>
      </c>
      <c r="K699" s="265" t="s">
        <v>1906</v>
      </c>
      <c r="L699" s="252" t="s">
        <v>153</v>
      </c>
      <c r="M699" s="248"/>
      <c r="N699" s="248"/>
      <c r="O699" s="248"/>
    </row>
    <row r="700" spans="1:15" hidden="1">
      <c r="A700" s="247">
        <v>45762</v>
      </c>
      <c r="B700" s="248" t="s">
        <v>4753</v>
      </c>
      <c r="C700" s="254" t="s">
        <v>175</v>
      </c>
      <c r="D700" s="249" t="s">
        <v>440</v>
      </c>
      <c r="E700" s="250">
        <v>30000</v>
      </c>
      <c r="F700" s="250">
        <v>51.466009274174873</v>
      </c>
      <c r="G700" s="251">
        <v>582.90899999999999</v>
      </c>
      <c r="H700" s="252" t="s">
        <v>173</v>
      </c>
      <c r="I700" s="252" t="s">
        <v>1268</v>
      </c>
      <c r="J700" s="252" t="s">
        <v>96</v>
      </c>
      <c r="K700" s="265" t="s">
        <v>1906</v>
      </c>
      <c r="L700" s="252" t="s">
        <v>153</v>
      </c>
      <c r="M700" s="248"/>
      <c r="N700" s="248"/>
      <c r="O700" s="248"/>
    </row>
    <row r="701" spans="1:15" hidden="1">
      <c r="A701" s="247">
        <v>45762</v>
      </c>
      <c r="B701" s="248" t="s">
        <v>4833</v>
      </c>
      <c r="C701" s="248" t="s">
        <v>172</v>
      </c>
      <c r="D701" s="249" t="s">
        <v>440</v>
      </c>
      <c r="E701" s="250">
        <v>12000</v>
      </c>
      <c r="F701" s="250">
        <v>20.586403709669948</v>
      </c>
      <c r="G701" s="251">
        <v>582.90899999999999</v>
      </c>
      <c r="H701" s="252" t="s">
        <v>173</v>
      </c>
      <c r="I701" s="252" t="s">
        <v>1269</v>
      </c>
      <c r="J701" s="252" t="s">
        <v>96</v>
      </c>
      <c r="K701" s="265" t="s">
        <v>1906</v>
      </c>
      <c r="L701" s="252" t="s">
        <v>153</v>
      </c>
      <c r="M701" s="248"/>
      <c r="N701" s="248"/>
      <c r="O701" s="248"/>
    </row>
    <row r="702" spans="1:15" hidden="1">
      <c r="A702" s="247">
        <v>45762</v>
      </c>
      <c r="B702" s="248" t="s">
        <v>4835</v>
      </c>
      <c r="C702" s="254" t="s">
        <v>175</v>
      </c>
      <c r="D702" s="249" t="s">
        <v>440</v>
      </c>
      <c r="E702" s="250">
        <v>15000</v>
      </c>
      <c r="F702" s="250">
        <v>25.733004637087436</v>
      </c>
      <c r="G702" s="251">
        <v>582.90899999999999</v>
      </c>
      <c r="H702" s="252" t="s">
        <v>321</v>
      </c>
      <c r="I702" s="252" t="s">
        <v>1293</v>
      </c>
      <c r="J702" s="252" t="s">
        <v>96</v>
      </c>
      <c r="K702" s="265" t="s">
        <v>1906</v>
      </c>
      <c r="L702" s="252" t="s">
        <v>153</v>
      </c>
      <c r="M702" s="248"/>
      <c r="N702" s="248"/>
      <c r="O702" s="248"/>
    </row>
    <row r="703" spans="1:15" hidden="1">
      <c r="A703" s="247">
        <v>45763</v>
      </c>
      <c r="B703" s="248" t="s">
        <v>1315</v>
      </c>
      <c r="C703" s="254" t="s">
        <v>175</v>
      </c>
      <c r="D703" s="249" t="s">
        <v>115</v>
      </c>
      <c r="E703" s="250">
        <v>20000</v>
      </c>
      <c r="F703" s="250">
        <v>34.310672849449915</v>
      </c>
      <c r="G703" s="251">
        <v>582.90899999999999</v>
      </c>
      <c r="H703" s="252" t="s">
        <v>188</v>
      </c>
      <c r="I703" s="252" t="s">
        <v>1316</v>
      </c>
      <c r="J703" s="252" t="s">
        <v>96</v>
      </c>
      <c r="K703" s="265" t="s">
        <v>1906</v>
      </c>
      <c r="L703" s="252" t="s">
        <v>153</v>
      </c>
      <c r="M703" s="248"/>
      <c r="N703" s="248"/>
      <c r="O703" s="248"/>
    </row>
    <row r="704" spans="1:15" hidden="1">
      <c r="A704" s="247">
        <v>45764</v>
      </c>
      <c r="B704" s="248" t="s">
        <v>1294</v>
      </c>
      <c r="C704" s="255" t="s">
        <v>2090</v>
      </c>
      <c r="D704" s="248" t="s">
        <v>116</v>
      </c>
      <c r="E704" s="250">
        <v>7500</v>
      </c>
      <c r="F704" s="250">
        <v>12.866502318543718</v>
      </c>
      <c r="G704" s="251">
        <v>582.90899999999999</v>
      </c>
      <c r="H704" s="252" t="s">
        <v>321</v>
      </c>
      <c r="I704" s="252" t="s">
        <v>1295</v>
      </c>
      <c r="J704" s="252" t="s">
        <v>96</v>
      </c>
      <c r="K704" s="265" t="s">
        <v>1906</v>
      </c>
      <c r="L704" s="252" t="s">
        <v>153</v>
      </c>
      <c r="M704" s="248"/>
      <c r="N704" s="248"/>
      <c r="O704" s="248"/>
    </row>
    <row r="705" spans="1:15" hidden="1">
      <c r="A705" s="247">
        <v>45765</v>
      </c>
      <c r="B705" s="248" t="s">
        <v>4758</v>
      </c>
      <c r="C705" s="248" t="s">
        <v>172</v>
      </c>
      <c r="D705" s="249" t="s">
        <v>440</v>
      </c>
      <c r="E705" s="250">
        <v>7000</v>
      </c>
      <c r="F705" s="250">
        <v>12.00873549730747</v>
      </c>
      <c r="G705" s="251">
        <v>582.90899999999999</v>
      </c>
      <c r="H705" s="252" t="s">
        <v>182</v>
      </c>
      <c r="I705" s="252" t="s">
        <v>1478</v>
      </c>
      <c r="J705" s="252" t="s">
        <v>96</v>
      </c>
      <c r="K705" s="265" t="s">
        <v>1906</v>
      </c>
      <c r="L705" s="252" t="s">
        <v>153</v>
      </c>
      <c r="M705" s="248"/>
      <c r="N705" s="248"/>
      <c r="O705" s="248"/>
    </row>
    <row r="706" spans="1:15" hidden="1">
      <c r="A706" s="267">
        <v>45765</v>
      </c>
      <c r="B706" s="248" t="s">
        <v>4749</v>
      </c>
      <c r="C706" s="248" t="s">
        <v>172</v>
      </c>
      <c r="D706" s="249" t="s">
        <v>440</v>
      </c>
      <c r="E706" s="250">
        <v>7000</v>
      </c>
      <c r="F706" s="250">
        <v>12.00873549730747</v>
      </c>
      <c r="G706" s="251">
        <v>582.90899999999999</v>
      </c>
      <c r="H706" s="252" t="s">
        <v>315</v>
      </c>
      <c r="I706" s="252" t="s">
        <v>1278</v>
      </c>
      <c r="J706" s="252" t="s">
        <v>96</v>
      </c>
      <c r="K706" s="265" t="s">
        <v>1906</v>
      </c>
      <c r="L706" s="252" t="s">
        <v>153</v>
      </c>
      <c r="M706" s="248"/>
      <c r="N706" s="248"/>
      <c r="O706" s="248"/>
    </row>
    <row r="707" spans="1:15" hidden="1">
      <c r="A707" s="247">
        <v>45765</v>
      </c>
      <c r="B707" s="248" t="s">
        <v>1308</v>
      </c>
      <c r="C707" s="248" t="s">
        <v>172</v>
      </c>
      <c r="D707" s="249" t="s">
        <v>115</v>
      </c>
      <c r="E707" s="250">
        <v>7000</v>
      </c>
      <c r="F707" s="250">
        <v>12.00873549730747</v>
      </c>
      <c r="G707" s="251">
        <v>582.90899999999999</v>
      </c>
      <c r="H707" s="252" t="s">
        <v>185</v>
      </c>
      <c r="I707" s="252" t="s">
        <v>1309</v>
      </c>
      <c r="J707" s="252" t="s">
        <v>96</v>
      </c>
      <c r="K707" s="265" t="s">
        <v>1906</v>
      </c>
      <c r="L707" s="252" t="s">
        <v>153</v>
      </c>
      <c r="M707" s="248"/>
      <c r="N707" s="248"/>
      <c r="O707" s="248"/>
    </row>
    <row r="708" spans="1:15" hidden="1">
      <c r="A708" s="267">
        <v>45765</v>
      </c>
      <c r="B708" s="248" t="s">
        <v>1317</v>
      </c>
      <c r="C708" s="248" t="s">
        <v>172</v>
      </c>
      <c r="D708" s="249" t="s">
        <v>115</v>
      </c>
      <c r="E708" s="250">
        <v>7000</v>
      </c>
      <c r="F708" s="250">
        <v>12.00873549730747</v>
      </c>
      <c r="G708" s="251">
        <v>582.90899999999999</v>
      </c>
      <c r="H708" s="252" t="s">
        <v>188</v>
      </c>
      <c r="I708" s="252" t="s">
        <v>1318</v>
      </c>
      <c r="J708" s="252" t="s">
        <v>96</v>
      </c>
      <c r="K708" s="265" t="s">
        <v>1906</v>
      </c>
      <c r="L708" s="252" t="s">
        <v>153</v>
      </c>
      <c r="M708" s="248"/>
      <c r="N708" s="248"/>
      <c r="O708" s="248"/>
    </row>
    <row r="709" spans="1:15" hidden="1">
      <c r="A709" s="267">
        <v>45765</v>
      </c>
      <c r="B709" s="248" t="s">
        <v>1364</v>
      </c>
      <c r="C709" s="248" t="s">
        <v>172</v>
      </c>
      <c r="D709" s="249" t="s">
        <v>115</v>
      </c>
      <c r="E709" s="250">
        <v>7000</v>
      </c>
      <c r="F709" s="250">
        <v>12.00873549730747</v>
      </c>
      <c r="G709" s="251">
        <v>582.90899999999999</v>
      </c>
      <c r="H709" s="252" t="s">
        <v>191</v>
      </c>
      <c r="I709" s="252" t="s">
        <v>1365</v>
      </c>
      <c r="J709" s="252" t="s">
        <v>96</v>
      </c>
      <c r="K709" s="265" t="s">
        <v>1906</v>
      </c>
      <c r="L709" s="252" t="s">
        <v>153</v>
      </c>
      <c r="M709" s="248"/>
      <c r="N709" s="248"/>
      <c r="O709" s="248"/>
    </row>
    <row r="710" spans="1:15" hidden="1">
      <c r="A710" s="267">
        <v>45765</v>
      </c>
      <c r="B710" s="248" t="s">
        <v>1397</v>
      </c>
      <c r="C710" s="248" t="s">
        <v>194</v>
      </c>
      <c r="D710" s="249" t="s">
        <v>115</v>
      </c>
      <c r="E710" s="250">
        <v>7000</v>
      </c>
      <c r="F710" s="250">
        <v>12.00873549730747</v>
      </c>
      <c r="G710" s="251">
        <v>582.90899999999999</v>
      </c>
      <c r="H710" s="252" t="s">
        <v>195</v>
      </c>
      <c r="I710" s="252" t="s">
        <v>1398</v>
      </c>
      <c r="J710" s="252" t="s">
        <v>96</v>
      </c>
      <c r="K710" s="265" t="s">
        <v>1906</v>
      </c>
      <c r="L710" s="252" t="s">
        <v>153</v>
      </c>
      <c r="M710" s="248"/>
      <c r="N710" s="248"/>
      <c r="O710" s="248"/>
    </row>
    <row r="711" spans="1:15" hidden="1">
      <c r="A711" s="247">
        <v>45765</v>
      </c>
      <c r="B711" s="248" t="s">
        <v>1183</v>
      </c>
      <c r="C711" s="248" t="s">
        <v>172</v>
      </c>
      <c r="D711" s="249" t="s">
        <v>115</v>
      </c>
      <c r="E711" s="250">
        <v>7000</v>
      </c>
      <c r="F711" s="250">
        <v>12.00873549730747</v>
      </c>
      <c r="G711" s="251">
        <v>582.90899999999999</v>
      </c>
      <c r="H711" s="252" t="s">
        <v>198</v>
      </c>
      <c r="I711" s="252" t="s">
        <v>1184</v>
      </c>
      <c r="J711" s="252" t="s">
        <v>96</v>
      </c>
      <c r="K711" s="265" t="s">
        <v>1906</v>
      </c>
      <c r="L711" s="252" t="s">
        <v>153</v>
      </c>
      <c r="M711" s="248"/>
      <c r="N711" s="248"/>
      <c r="O711" s="248"/>
    </row>
    <row r="712" spans="1:15" hidden="1">
      <c r="A712" s="247">
        <v>45765</v>
      </c>
      <c r="B712" s="248" t="s">
        <v>4829</v>
      </c>
      <c r="C712" s="254" t="s">
        <v>175</v>
      </c>
      <c r="D712" s="249" t="s">
        <v>440</v>
      </c>
      <c r="E712" s="250">
        <v>210000</v>
      </c>
      <c r="F712" s="250">
        <v>360.26206491922409</v>
      </c>
      <c r="G712" s="251">
        <v>582.90899999999999</v>
      </c>
      <c r="H712" s="252" t="s">
        <v>315</v>
      </c>
      <c r="I712" s="252" t="s">
        <v>1279</v>
      </c>
      <c r="J712" s="252" t="s">
        <v>96</v>
      </c>
      <c r="K712" s="265" t="s">
        <v>1906</v>
      </c>
      <c r="L712" s="252" t="s">
        <v>153</v>
      </c>
      <c r="M712" s="248"/>
      <c r="N712" s="248"/>
      <c r="O712" s="248"/>
    </row>
    <row r="713" spans="1:15" hidden="1">
      <c r="A713" s="247">
        <v>45765</v>
      </c>
      <c r="B713" s="248" t="s">
        <v>1280</v>
      </c>
      <c r="C713" s="248" t="s">
        <v>172</v>
      </c>
      <c r="D713" s="249" t="s">
        <v>440</v>
      </c>
      <c r="E713" s="250">
        <v>34300</v>
      </c>
      <c r="F713" s="250">
        <v>58.842803936806604</v>
      </c>
      <c r="G713" s="251">
        <v>582.90899999999999</v>
      </c>
      <c r="H713" s="252" t="s">
        <v>315</v>
      </c>
      <c r="I713" s="252" t="s">
        <v>1281</v>
      </c>
      <c r="J713" s="252" t="s">
        <v>96</v>
      </c>
      <c r="K713" s="265" t="s">
        <v>1906</v>
      </c>
      <c r="L713" s="252" t="s">
        <v>153</v>
      </c>
      <c r="M713" s="248"/>
      <c r="N713" s="248"/>
      <c r="O713" s="248"/>
    </row>
    <row r="714" spans="1:15" hidden="1">
      <c r="A714" s="247">
        <v>45765</v>
      </c>
      <c r="B714" s="248" t="s">
        <v>1489</v>
      </c>
      <c r="C714" s="254" t="s">
        <v>175</v>
      </c>
      <c r="D714" s="249" t="s">
        <v>115</v>
      </c>
      <c r="E714" s="250">
        <v>105000</v>
      </c>
      <c r="F714" s="250">
        <v>180.13103245961204</v>
      </c>
      <c r="G714" s="251">
        <v>582.90899999999999</v>
      </c>
      <c r="H714" s="252" t="s">
        <v>185</v>
      </c>
      <c r="I714" s="252" t="s">
        <v>1310</v>
      </c>
      <c r="J714" s="252" t="s">
        <v>96</v>
      </c>
      <c r="K714" s="265" t="s">
        <v>1906</v>
      </c>
      <c r="L714" s="252" t="s">
        <v>153</v>
      </c>
      <c r="M714" s="248"/>
      <c r="N714" s="248"/>
      <c r="O714" s="248"/>
    </row>
    <row r="715" spans="1:15" hidden="1">
      <c r="A715" s="247">
        <v>45765</v>
      </c>
      <c r="B715" s="248" t="s">
        <v>1319</v>
      </c>
      <c r="C715" s="254" t="s">
        <v>175</v>
      </c>
      <c r="D715" s="249" t="s">
        <v>115</v>
      </c>
      <c r="E715" s="250">
        <v>30000</v>
      </c>
      <c r="F715" s="250">
        <v>51.466009274174873</v>
      </c>
      <c r="G715" s="251">
        <v>582.90899999999999</v>
      </c>
      <c r="H715" s="252" t="s">
        <v>188</v>
      </c>
      <c r="I715" s="252" t="s">
        <v>1320</v>
      </c>
      <c r="J715" s="252" t="s">
        <v>96</v>
      </c>
      <c r="K715" s="265" t="s">
        <v>1906</v>
      </c>
      <c r="L715" s="252" t="s">
        <v>153</v>
      </c>
      <c r="M715" s="248"/>
      <c r="N715" s="248"/>
      <c r="O715" s="248"/>
    </row>
    <row r="716" spans="1:15" hidden="1">
      <c r="A716" s="247">
        <v>45765</v>
      </c>
      <c r="B716" s="248" t="s">
        <v>1499</v>
      </c>
      <c r="C716" s="254" t="s">
        <v>175</v>
      </c>
      <c r="D716" s="249" t="s">
        <v>115</v>
      </c>
      <c r="E716" s="250">
        <v>90000</v>
      </c>
      <c r="F716" s="250">
        <v>154.39802782252463</v>
      </c>
      <c r="G716" s="251">
        <v>582.90899999999999</v>
      </c>
      <c r="H716" s="252" t="s">
        <v>191</v>
      </c>
      <c r="I716" s="252" t="s">
        <v>1366</v>
      </c>
      <c r="J716" s="252" t="s">
        <v>96</v>
      </c>
      <c r="K716" s="265" t="s">
        <v>1906</v>
      </c>
      <c r="L716" s="252" t="s">
        <v>153</v>
      </c>
      <c r="M716" s="248"/>
      <c r="N716" s="248"/>
      <c r="O716" s="248"/>
    </row>
    <row r="717" spans="1:15" hidden="1">
      <c r="A717" s="247">
        <v>45765</v>
      </c>
      <c r="B717" s="248" t="s">
        <v>1399</v>
      </c>
      <c r="C717" s="254" t="s">
        <v>175</v>
      </c>
      <c r="D717" s="249" t="s">
        <v>115</v>
      </c>
      <c r="E717" s="250">
        <v>105000</v>
      </c>
      <c r="F717" s="250">
        <v>180.13103245961204</v>
      </c>
      <c r="G717" s="251">
        <v>582.90899999999999</v>
      </c>
      <c r="H717" s="252" t="s">
        <v>195</v>
      </c>
      <c r="I717" s="252" t="s">
        <v>1400</v>
      </c>
      <c r="J717" s="252" t="s">
        <v>96</v>
      </c>
      <c r="K717" s="265" t="s">
        <v>1906</v>
      </c>
      <c r="L717" s="252" t="s">
        <v>153</v>
      </c>
      <c r="M717" s="248"/>
      <c r="N717" s="248"/>
      <c r="O717" s="248"/>
    </row>
    <row r="718" spans="1:15" hidden="1">
      <c r="A718" s="247">
        <v>45765</v>
      </c>
      <c r="B718" s="248" t="s">
        <v>1414</v>
      </c>
      <c r="C718" s="248" t="s">
        <v>172</v>
      </c>
      <c r="D718" s="248" t="s">
        <v>118</v>
      </c>
      <c r="E718" s="250">
        <v>7000</v>
      </c>
      <c r="F718" s="250">
        <v>12.00873549730747</v>
      </c>
      <c r="G718" s="251">
        <v>582.90899999999999</v>
      </c>
      <c r="H718" s="252" t="s">
        <v>211</v>
      </c>
      <c r="I718" s="252" t="s">
        <v>1415</v>
      </c>
      <c r="J718" s="252" t="s">
        <v>96</v>
      </c>
      <c r="K718" s="265" t="s">
        <v>1906</v>
      </c>
      <c r="L718" s="252" t="s">
        <v>153</v>
      </c>
      <c r="M718" s="248"/>
      <c r="N718" s="248"/>
      <c r="O718" s="248"/>
    </row>
    <row r="719" spans="1:15" hidden="1">
      <c r="A719" s="247">
        <v>45765</v>
      </c>
      <c r="B719" s="248" t="s">
        <v>1491</v>
      </c>
      <c r="C719" s="254" t="s">
        <v>175</v>
      </c>
      <c r="D719" s="248" t="s">
        <v>118</v>
      </c>
      <c r="E719" s="250">
        <v>105000</v>
      </c>
      <c r="F719" s="250">
        <v>180.13103245961204</v>
      </c>
      <c r="G719" s="251">
        <v>582.90899999999999</v>
      </c>
      <c r="H719" s="252" t="s">
        <v>211</v>
      </c>
      <c r="I719" s="252" t="s">
        <v>1416</v>
      </c>
      <c r="J719" s="252" t="s">
        <v>96</v>
      </c>
      <c r="K719" s="265" t="s">
        <v>1906</v>
      </c>
      <c r="L719" s="252" t="s">
        <v>153</v>
      </c>
      <c r="M719" s="248"/>
      <c r="N719" s="248"/>
      <c r="O719" s="248"/>
    </row>
    <row r="720" spans="1:15" hidden="1">
      <c r="A720" s="247">
        <v>45766</v>
      </c>
      <c r="B720" s="248" t="s">
        <v>4821</v>
      </c>
      <c r="C720" s="254" t="s">
        <v>175</v>
      </c>
      <c r="D720" s="249" t="s">
        <v>440</v>
      </c>
      <c r="E720" s="250">
        <v>150000</v>
      </c>
      <c r="F720" s="250">
        <v>257.33004637087436</v>
      </c>
      <c r="G720" s="251">
        <v>582.90899999999999</v>
      </c>
      <c r="H720" s="252" t="s">
        <v>182</v>
      </c>
      <c r="I720" s="252" t="s">
        <v>1479</v>
      </c>
      <c r="J720" s="252" t="s">
        <v>96</v>
      </c>
      <c r="K720" s="265" t="s">
        <v>1906</v>
      </c>
      <c r="L720" s="252" t="s">
        <v>153</v>
      </c>
      <c r="M720" s="248"/>
      <c r="N720" s="248"/>
      <c r="O720" s="248"/>
    </row>
    <row r="721" spans="1:15" hidden="1">
      <c r="A721" s="247">
        <v>45766</v>
      </c>
      <c r="B721" s="248" t="s">
        <v>4821</v>
      </c>
      <c r="C721" s="254" t="s">
        <v>175</v>
      </c>
      <c r="D721" s="249" t="s">
        <v>440</v>
      </c>
      <c r="E721" s="250">
        <v>150000</v>
      </c>
      <c r="F721" s="250">
        <v>257.33004637087436</v>
      </c>
      <c r="G721" s="251">
        <v>582.90899999999999</v>
      </c>
      <c r="H721" s="252" t="s">
        <v>182</v>
      </c>
      <c r="I721" s="252" t="s">
        <v>1480</v>
      </c>
      <c r="J721" s="252" t="s">
        <v>96</v>
      </c>
      <c r="K721" s="265" t="s">
        <v>1906</v>
      </c>
      <c r="L721" s="252" t="s">
        <v>153</v>
      </c>
      <c r="M721" s="248"/>
      <c r="N721" s="248"/>
      <c r="O721" s="248"/>
    </row>
    <row r="722" spans="1:15" hidden="1">
      <c r="A722" s="247">
        <v>45769</v>
      </c>
      <c r="B722" s="248" t="s">
        <v>1493</v>
      </c>
      <c r="C722" s="248" t="s">
        <v>125</v>
      </c>
      <c r="D722" s="249" t="s">
        <v>993</v>
      </c>
      <c r="E722" s="250">
        <v>55500</v>
      </c>
      <c r="F722" s="250">
        <v>95.212117157223517</v>
      </c>
      <c r="G722" s="251">
        <v>582.90899999999999</v>
      </c>
      <c r="H722" s="252" t="s">
        <v>151</v>
      </c>
      <c r="I722" s="252" t="s">
        <v>1188</v>
      </c>
      <c r="J722" s="252" t="s">
        <v>96</v>
      </c>
      <c r="K722" s="265" t="s">
        <v>1906</v>
      </c>
      <c r="L722" s="252" t="s">
        <v>153</v>
      </c>
      <c r="M722" s="248"/>
      <c r="N722" s="248"/>
      <c r="O722" s="248"/>
    </row>
    <row r="723" spans="1:15" hidden="1">
      <c r="A723" s="247">
        <v>45770</v>
      </c>
      <c r="B723" s="248" t="s">
        <v>1438</v>
      </c>
      <c r="C723" s="248" t="s">
        <v>125</v>
      </c>
      <c r="D723" s="249" t="s">
        <v>440</v>
      </c>
      <c r="E723" s="250">
        <v>255000</v>
      </c>
      <c r="F723" s="250">
        <v>437.46107883048643</v>
      </c>
      <c r="G723" s="251">
        <v>582.90899999999999</v>
      </c>
      <c r="H723" s="252" t="s">
        <v>146</v>
      </c>
      <c r="I723" s="252" t="s">
        <v>1457</v>
      </c>
      <c r="J723" s="252" t="s">
        <v>96</v>
      </c>
      <c r="K723" s="265" t="s">
        <v>1906</v>
      </c>
      <c r="L723" s="252" t="s">
        <v>153</v>
      </c>
      <c r="M723" s="248"/>
      <c r="N723" s="248"/>
      <c r="O723" s="248"/>
    </row>
    <row r="724" spans="1:15" hidden="1">
      <c r="A724" s="247">
        <v>45770</v>
      </c>
      <c r="B724" s="248" t="s">
        <v>1507</v>
      </c>
      <c r="C724" s="248" t="s">
        <v>121</v>
      </c>
      <c r="D724" s="249" t="s">
        <v>115</v>
      </c>
      <c r="E724" s="250">
        <v>300000</v>
      </c>
      <c r="F724" s="250">
        <v>514.66009274174871</v>
      </c>
      <c r="G724" s="260">
        <v>579.64599999999996</v>
      </c>
      <c r="H724" s="252" t="s">
        <v>146</v>
      </c>
      <c r="I724" s="252" t="s">
        <v>1458</v>
      </c>
      <c r="J724" s="252" t="s">
        <v>96</v>
      </c>
      <c r="K724" s="268" t="s">
        <v>200</v>
      </c>
      <c r="L724" s="252" t="s">
        <v>153</v>
      </c>
      <c r="M724" s="248"/>
      <c r="N724" s="248"/>
      <c r="O724" s="248"/>
    </row>
    <row r="725" spans="1:15" hidden="1">
      <c r="A725" s="247">
        <v>45770</v>
      </c>
      <c r="B725" s="248" t="s">
        <v>1506</v>
      </c>
      <c r="C725" s="248" t="s">
        <v>172</v>
      </c>
      <c r="D725" s="249" t="s">
        <v>115</v>
      </c>
      <c r="E725" s="250">
        <v>300000</v>
      </c>
      <c r="F725" s="250">
        <v>514.66009274174871</v>
      </c>
      <c r="G725" s="251">
        <v>582.90899999999999</v>
      </c>
      <c r="H725" s="252" t="s">
        <v>146</v>
      </c>
      <c r="I725" s="252" t="s">
        <v>1459</v>
      </c>
      <c r="J725" s="252" t="s">
        <v>96</v>
      </c>
      <c r="K725" s="265" t="s">
        <v>1906</v>
      </c>
      <c r="L725" s="252" t="s">
        <v>153</v>
      </c>
      <c r="M725" s="248"/>
      <c r="N725" s="248"/>
      <c r="O725" s="248"/>
    </row>
    <row r="726" spans="1:15" hidden="1">
      <c r="A726" s="247">
        <v>45771</v>
      </c>
      <c r="B726" s="248" t="s">
        <v>1248</v>
      </c>
      <c r="C726" s="248" t="s">
        <v>125</v>
      </c>
      <c r="D726" s="248" t="s">
        <v>116</v>
      </c>
      <c r="E726" s="250">
        <v>10500</v>
      </c>
      <c r="F726" s="250">
        <v>18.013103245961204</v>
      </c>
      <c r="G726" s="251">
        <v>582.90899999999999</v>
      </c>
      <c r="H726" s="252" t="s">
        <v>581</v>
      </c>
      <c r="I726" s="252" t="s">
        <v>1249</v>
      </c>
      <c r="J726" s="252" t="s">
        <v>96</v>
      </c>
      <c r="K726" s="265" t="s">
        <v>1906</v>
      </c>
      <c r="L726" s="252" t="s">
        <v>153</v>
      </c>
      <c r="M726" s="248"/>
      <c r="N726" s="248"/>
      <c r="O726" s="248"/>
    </row>
    <row r="727" spans="1:15" hidden="1">
      <c r="A727" s="247">
        <v>45771</v>
      </c>
      <c r="B727" s="248" t="s">
        <v>1321</v>
      </c>
      <c r="C727" s="248" t="s">
        <v>172</v>
      </c>
      <c r="D727" s="249" t="s">
        <v>115</v>
      </c>
      <c r="E727" s="250">
        <v>37750</v>
      </c>
      <c r="F727" s="250">
        <v>64.761395003336716</v>
      </c>
      <c r="G727" s="251">
        <v>582.90899999999999</v>
      </c>
      <c r="H727" s="252" t="s">
        <v>188</v>
      </c>
      <c r="I727" s="252" t="s">
        <v>1322</v>
      </c>
      <c r="J727" s="252" t="s">
        <v>96</v>
      </c>
      <c r="K727" s="265" t="s">
        <v>1906</v>
      </c>
      <c r="L727" s="252" t="s">
        <v>153</v>
      </c>
      <c r="M727" s="248"/>
      <c r="N727" s="248"/>
      <c r="O727" s="248"/>
    </row>
    <row r="728" spans="1:15" hidden="1">
      <c r="A728" s="247">
        <v>45771</v>
      </c>
      <c r="B728" s="248" t="s">
        <v>820</v>
      </c>
      <c r="C728" s="254" t="s">
        <v>1168</v>
      </c>
      <c r="D728" s="248" t="s">
        <v>116</v>
      </c>
      <c r="E728" s="250">
        <v>31250</v>
      </c>
      <c r="F728" s="250">
        <v>53.610426327265493</v>
      </c>
      <c r="G728" s="251">
        <v>582.90899999999999</v>
      </c>
      <c r="H728" s="252" t="s">
        <v>188</v>
      </c>
      <c r="I728" s="252" t="s">
        <v>1339</v>
      </c>
      <c r="J728" s="252" t="s">
        <v>96</v>
      </c>
      <c r="K728" s="265" t="s">
        <v>1906</v>
      </c>
      <c r="L728" s="252" t="s">
        <v>153</v>
      </c>
      <c r="M728" s="248"/>
      <c r="N728" s="248"/>
      <c r="O728" s="248"/>
    </row>
    <row r="729" spans="1:15" hidden="1">
      <c r="A729" s="247">
        <v>45771</v>
      </c>
      <c r="B729" s="248" t="s">
        <v>1500</v>
      </c>
      <c r="C729" s="254" t="s">
        <v>1168</v>
      </c>
      <c r="D729" s="248" t="s">
        <v>116</v>
      </c>
      <c r="E729" s="250">
        <v>31250</v>
      </c>
      <c r="F729" s="250">
        <v>53.610426327265493</v>
      </c>
      <c r="G729" s="251">
        <v>582.90899999999999</v>
      </c>
      <c r="H729" s="252" t="s">
        <v>191</v>
      </c>
      <c r="I729" s="252" t="s">
        <v>1367</v>
      </c>
      <c r="J729" s="252" t="s">
        <v>96</v>
      </c>
      <c r="K729" s="265" t="s">
        <v>1906</v>
      </c>
      <c r="L729" s="252" t="s">
        <v>153</v>
      </c>
      <c r="M729" s="248"/>
      <c r="N729" s="248"/>
      <c r="O729" s="248"/>
    </row>
    <row r="730" spans="1:15" hidden="1">
      <c r="A730" s="247">
        <v>45771</v>
      </c>
      <c r="B730" s="248" t="s">
        <v>1492</v>
      </c>
      <c r="C730" s="254" t="s">
        <v>1168</v>
      </c>
      <c r="D730" s="248" t="s">
        <v>116</v>
      </c>
      <c r="E730" s="250">
        <v>20000</v>
      </c>
      <c r="F730" s="250">
        <v>34.310672849449915</v>
      </c>
      <c r="G730" s="251">
        <v>582.90899999999999</v>
      </c>
      <c r="H730" s="252" t="s">
        <v>211</v>
      </c>
      <c r="I730" s="252" t="s">
        <v>1422</v>
      </c>
      <c r="J730" s="252" t="s">
        <v>96</v>
      </c>
      <c r="K730" s="265" t="s">
        <v>1906</v>
      </c>
      <c r="L730" s="252" t="s">
        <v>153</v>
      </c>
      <c r="M730" s="248"/>
      <c r="N730" s="248"/>
      <c r="O730" s="248"/>
    </row>
    <row r="731" spans="1:15" hidden="1">
      <c r="A731" s="247">
        <v>45772</v>
      </c>
      <c r="B731" s="248" t="s">
        <v>582</v>
      </c>
      <c r="C731" s="248" t="s">
        <v>366</v>
      </c>
      <c r="D731" s="249" t="s">
        <v>440</v>
      </c>
      <c r="E731" s="250">
        <v>50000</v>
      </c>
      <c r="F731" s="250">
        <v>85.776682123624781</v>
      </c>
      <c r="G731" s="251">
        <v>582.90899999999999</v>
      </c>
      <c r="H731" s="252" t="s">
        <v>151</v>
      </c>
      <c r="I731" s="252" t="s">
        <v>1189</v>
      </c>
      <c r="J731" s="252" t="s">
        <v>96</v>
      </c>
      <c r="K731" s="265" t="s">
        <v>1906</v>
      </c>
      <c r="L731" s="252" t="s">
        <v>153</v>
      </c>
      <c r="M731" s="248"/>
      <c r="N731" s="248"/>
      <c r="O731" s="248"/>
    </row>
    <row r="732" spans="1:15" hidden="1">
      <c r="A732" s="247">
        <v>45772</v>
      </c>
      <c r="B732" s="248" t="s">
        <v>1250</v>
      </c>
      <c r="C732" s="248" t="s">
        <v>302</v>
      </c>
      <c r="D732" s="248" t="s">
        <v>116</v>
      </c>
      <c r="E732" s="250">
        <v>8000</v>
      </c>
      <c r="F732" s="250">
        <v>13.724269139779965</v>
      </c>
      <c r="G732" s="251">
        <v>582.90899999999999</v>
      </c>
      <c r="H732" s="252" t="s">
        <v>581</v>
      </c>
      <c r="I732" s="252" t="s">
        <v>1251</v>
      </c>
      <c r="J732" s="252" t="s">
        <v>96</v>
      </c>
      <c r="K732" s="265" t="s">
        <v>1906</v>
      </c>
      <c r="L732" s="252" t="s">
        <v>153</v>
      </c>
      <c r="M732" s="248"/>
      <c r="N732" s="248"/>
      <c r="O732" s="248"/>
    </row>
    <row r="733" spans="1:15" hidden="1">
      <c r="A733" s="247">
        <v>45772</v>
      </c>
      <c r="B733" s="248" t="s">
        <v>1481</v>
      </c>
      <c r="C733" s="248" t="s">
        <v>172</v>
      </c>
      <c r="D733" s="249" t="s">
        <v>440</v>
      </c>
      <c r="E733" s="250">
        <v>48400</v>
      </c>
      <c r="F733" s="250">
        <v>83.031828295668788</v>
      </c>
      <c r="G733" s="251">
        <v>582.90899999999999</v>
      </c>
      <c r="H733" s="252" t="s">
        <v>182</v>
      </c>
      <c r="I733" s="252" t="s">
        <v>1482</v>
      </c>
      <c r="J733" s="252" t="s">
        <v>96</v>
      </c>
      <c r="K733" s="265" t="s">
        <v>1906</v>
      </c>
      <c r="L733" s="252" t="s">
        <v>153</v>
      </c>
      <c r="M733" s="248"/>
      <c r="N733" s="248"/>
      <c r="O733" s="248"/>
    </row>
    <row r="734" spans="1:15" hidden="1">
      <c r="A734" s="247">
        <v>45772</v>
      </c>
      <c r="B734" s="248" t="s">
        <v>1483</v>
      </c>
      <c r="C734" s="248" t="s">
        <v>366</v>
      </c>
      <c r="D734" s="249" t="s">
        <v>440</v>
      </c>
      <c r="E734" s="250">
        <v>9000</v>
      </c>
      <c r="F734" s="250">
        <v>15.439802782252462</v>
      </c>
      <c r="G734" s="251">
        <v>582.90899999999999</v>
      </c>
      <c r="H734" s="252" t="s">
        <v>182</v>
      </c>
      <c r="I734" s="252" t="s">
        <v>1484</v>
      </c>
      <c r="J734" s="252" t="s">
        <v>96</v>
      </c>
      <c r="K734" s="265" t="s">
        <v>1906</v>
      </c>
      <c r="L734" s="252" t="s">
        <v>153</v>
      </c>
      <c r="M734" s="248"/>
      <c r="N734" s="248"/>
      <c r="O734" s="248"/>
    </row>
    <row r="735" spans="1:15" hidden="1">
      <c r="A735" s="247">
        <v>45772</v>
      </c>
      <c r="B735" s="248" t="s">
        <v>1270</v>
      </c>
      <c r="C735" s="248" t="s">
        <v>366</v>
      </c>
      <c r="D735" s="249" t="s">
        <v>440</v>
      </c>
      <c r="E735" s="250">
        <v>15000</v>
      </c>
      <c r="F735" s="250">
        <v>25.733004637087436</v>
      </c>
      <c r="G735" s="251">
        <v>582.90899999999999</v>
      </c>
      <c r="H735" s="252" t="s">
        <v>173</v>
      </c>
      <c r="I735" s="252" t="s">
        <v>1271</v>
      </c>
      <c r="J735" s="252" t="s">
        <v>96</v>
      </c>
      <c r="K735" s="265" t="s">
        <v>1906</v>
      </c>
      <c r="L735" s="252" t="s">
        <v>153</v>
      </c>
      <c r="M735" s="248"/>
      <c r="N735" s="248"/>
      <c r="O735" s="248"/>
    </row>
    <row r="736" spans="1:15" hidden="1">
      <c r="A736" s="247">
        <v>45772</v>
      </c>
      <c r="B736" s="248" t="s">
        <v>1296</v>
      </c>
      <c r="C736" s="248" t="s">
        <v>366</v>
      </c>
      <c r="D736" s="249" t="s">
        <v>440</v>
      </c>
      <c r="E736" s="250">
        <v>10500</v>
      </c>
      <c r="F736" s="250">
        <v>18.013103245961204</v>
      </c>
      <c r="G736" s="251">
        <v>582.90899999999999</v>
      </c>
      <c r="H736" s="252" t="s">
        <v>321</v>
      </c>
      <c r="I736" s="252" t="s">
        <v>1297</v>
      </c>
      <c r="J736" s="252" t="s">
        <v>96</v>
      </c>
      <c r="K736" s="265" t="s">
        <v>1906</v>
      </c>
      <c r="L736" s="252" t="s">
        <v>153</v>
      </c>
      <c r="M736" s="248"/>
      <c r="N736" s="248"/>
      <c r="O736" s="248"/>
    </row>
    <row r="737" spans="1:15" hidden="1">
      <c r="A737" s="247">
        <v>45772</v>
      </c>
      <c r="B737" s="248" t="s">
        <v>1311</v>
      </c>
      <c r="C737" s="248" t="s">
        <v>172</v>
      </c>
      <c r="D737" s="249" t="s">
        <v>115</v>
      </c>
      <c r="E737" s="250">
        <v>23600</v>
      </c>
      <c r="F737" s="250">
        <v>40.486593962350902</v>
      </c>
      <c r="G737" s="251">
        <v>582.90899999999999</v>
      </c>
      <c r="H737" s="252" t="s">
        <v>185</v>
      </c>
      <c r="I737" s="252" t="s">
        <v>1312</v>
      </c>
      <c r="J737" s="252" t="s">
        <v>96</v>
      </c>
      <c r="K737" s="265" t="s">
        <v>1906</v>
      </c>
      <c r="L737" s="252" t="s">
        <v>153</v>
      </c>
      <c r="M737" s="248"/>
      <c r="N737" s="248"/>
      <c r="O737" s="248"/>
    </row>
    <row r="738" spans="1:15" hidden="1">
      <c r="A738" s="247">
        <v>45772</v>
      </c>
      <c r="B738" s="248" t="s">
        <v>1368</v>
      </c>
      <c r="C738" s="248" t="s">
        <v>172</v>
      </c>
      <c r="D738" s="249" t="s">
        <v>115</v>
      </c>
      <c r="E738" s="250">
        <v>20000</v>
      </c>
      <c r="F738" s="250">
        <v>34.310672849449915</v>
      </c>
      <c r="G738" s="251">
        <v>582.90899999999999</v>
      </c>
      <c r="H738" s="252" t="s">
        <v>191</v>
      </c>
      <c r="I738" s="252" t="s">
        <v>1369</v>
      </c>
      <c r="J738" s="252" t="s">
        <v>96</v>
      </c>
      <c r="K738" s="265" t="s">
        <v>1906</v>
      </c>
      <c r="L738" s="252" t="s">
        <v>153</v>
      </c>
      <c r="M738" s="248"/>
      <c r="N738" s="248"/>
      <c r="O738" s="248"/>
    </row>
    <row r="739" spans="1:15" hidden="1">
      <c r="A739" s="247">
        <v>45772</v>
      </c>
      <c r="B739" s="248" t="s">
        <v>1370</v>
      </c>
      <c r="C739" s="254" t="s">
        <v>175</v>
      </c>
      <c r="D739" s="249" t="s">
        <v>115</v>
      </c>
      <c r="E739" s="250">
        <v>50000</v>
      </c>
      <c r="F739" s="250">
        <v>85.776682123624781</v>
      </c>
      <c r="G739" s="251">
        <v>582.90899999999999</v>
      </c>
      <c r="H739" s="252" t="s">
        <v>191</v>
      </c>
      <c r="I739" s="252" t="s">
        <v>1371</v>
      </c>
      <c r="J739" s="252" t="s">
        <v>96</v>
      </c>
      <c r="K739" s="265" t="s">
        <v>1906</v>
      </c>
      <c r="L739" s="252" t="s">
        <v>153</v>
      </c>
      <c r="M739" s="248"/>
      <c r="N739" s="248"/>
      <c r="O739" s="248"/>
    </row>
    <row r="740" spans="1:15" hidden="1">
      <c r="A740" s="247">
        <v>45772</v>
      </c>
      <c r="B740" s="248" t="s">
        <v>1372</v>
      </c>
      <c r="C740" s="248" t="s">
        <v>172</v>
      </c>
      <c r="D740" s="249" t="s">
        <v>115</v>
      </c>
      <c r="E740" s="250">
        <v>20000</v>
      </c>
      <c r="F740" s="250">
        <v>34.310672849449915</v>
      </c>
      <c r="G740" s="251">
        <v>582.90899999999999</v>
      </c>
      <c r="H740" s="252" t="s">
        <v>191</v>
      </c>
      <c r="I740" s="252" t="s">
        <v>1373</v>
      </c>
      <c r="J740" s="252" t="s">
        <v>96</v>
      </c>
      <c r="K740" s="265" t="s">
        <v>1906</v>
      </c>
      <c r="L740" s="252" t="s">
        <v>153</v>
      </c>
      <c r="M740" s="248"/>
      <c r="N740" s="248"/>
      <c r="O740" s="248"/>
    </row>
    <row r="741" spans="1:15" hidden="1">
      <c r="A741" s="247">
        <v>45772</v>
      </c>
      <c r="B741" s="248" t="s">
        <v>1374</v>
      </c>
      <c r="C741" s="254" t="s">
        <v>175</v>
      </c>
      <c r="D741" s="249" t="s">
        <v>115</v>
      </c>
      <c r="E741" s="250">
        <v>50000</v>
      </c>
      <c r="F741" s="250">
        <v>85.776682123624781</v>
      </c>
      <c r="G741" s="251">
        <v>582.90899999999999</v>
      </c>
      <c r="H741" s="252" t="s">
        <v>191</v>
      </c>
      <c r="I741" s="252" t="s">
        <v>1375</v>
      </c>
      <c r="J741" s="252" t="s">
        <v>96</v>
      </c>
      <c r="K741" s="265" t="s">
        <v>1906</v>
      </c>
      <c r="L741" s="252" t="s">
        <v>153</v>
      </c>
      <c r="M741" s="248"/>
      <c r="N741" s="248"/>
      <c r="O741" s="248"/>
    </row>
    <row r="742" spans="1:15" hidden="1">
      <c r="A742" s="247">
        <v>45772</v>
      </c>
      <c r="B742" s="248" t="s">
        <v>800</v>
      </c>
      <c r="C742" s="255" t="s">
        <v>2090</v>
      </c>
      <c r="D742" s="248" t="s">
        <v>116</v>
      </c>
      <c r="E742" s="250">
        <v>3253</v>
      </c>
      <c r="F742" s="250">
        <v>5.5806309389630284</v>
      </c>
      <c r="G742" s="251">
        <v>582.90899999999999</v>
      </c>
      <c r="H742" s="252" t="s">
        <v>191</v>
      </c>
      <c r="I742" s="252" t="s">
        <v>1376</v>
      </c>
      <c r="J742" s="252" t="s">
        <v>96</v>
      </c>
      <c r="K742" s="265" t="s">
        <v>1906</v>
      </c>
      <c r="L742" s="252" t="s">
        <v>153</v>
      </c>
      <c r="M742" s="248"/>
      <c r="N742" s="248"/>
      <c r="O742" s="248"/>
    </row>
    <row r="743" spans="1:15" hidden="1">
      <c r="A743" s="247">
        <v>45772</v>
      </c>
      <c r="B743" s="248" t="s">
        <v>1503</v>
      </c>
      <c r="C743" s="248" t="s">
        <v>125</v>
      </c>
      <c r="D743" s="248" t="s">
        <v>117</v>
      </c>
      <c r="E743" s="250">
        <v>1311000</v>
      </c>
      <c r="F743" s="250">
        <v>2249.0646052814418</v>
      </c>
      <c r="G743" s="251">
        <v>582.90899999999999</v>
      </c>
      <c r="H743" s="252" t="s">
        <v>146</v>
      </c>
      <c r="I743" s="252" t="s">
        <v>1460</v>
      </c>
      <c r="J743" s="252" t="s">
        <v>96</v>
      </c>
      <c r="K743" s="265" t="s">
        <v>1906</v>
      </c>
      <c r="L743" s="252" t="s">
        <v>153</v>
      </c>
      <c r="M743" s="248"/>
      <c r="N743" s="248"/>
      <c r="O743" s="248"/>
    </row>
    <row r="744" spans="1:15" hidden="1">
      <c r="A744" s="247">
        <v>45772</v>
      </c>
      <c r="B744" s="248" t="s">
        <v>1504</v>
      </c>
      <c r="C744" s="248" t="s">
        <v>125</v>
      </c>
      <c r="D744" s="248" t="s">
        <v>116</v>
      </c>
      <c r="E744" s="250">
        <v>230000</v>
      </c>
      <c r="F744" s="250">
        <v>394.57273776867402</v>
      </c>
      <c r="G744" s="251">
        <v>582.90899999999999</v>
      </c>
      <c r="H744" s="252" t="s">
        <v>146</v>
      </c>
      <c r="I744" s="252" t="s">
        <v>1461</v>
      </c>
      <c r="J744" s="252" t="s">
        <v>96</v>
      </c>
      <c r="K744" s="265" t="s">
        <v>1906</v>
      </c>
      <c r="L744" s="252" t="s">
        <v>153</v>
      </c>
      <c r="M744" s="248"/>
      <c r="N744" s="248"/>
      <c r="O744" s="248"/>
    </row>
    <row r="745" spans="1:15" hidden="1">
      <c r="A745" s="247">
        <v>45772</v>
      </c>
      <c r="B745" s="248" t="s">
        <v>1505</v>
      </c>
      <c r="C745" s="248" t="s">
        <v>125</v>
      </c>
      <c r="D745" s="249" t="s">
        <v>115</v>
      </c>
      <c r="E745" s="250">
        <v>200000</v>
      </c>
      <c r="F745" s="250">
        <v>343.10672849449912</v>
      </c>
      <c r="G745" s="251">
        <v>582.90899999999999</v>
      </c>
      <c r="H745" s="252" t="s">
        <v>146</v>
      </c>
      <c r="I745" s="252" t="s">
        <v>1463</v>
      </c>
      <c r="J745" s="252" t="s">
        <v>96</v>
      </c>
      <c r="K745" s="265" t="s">
        <v>1906</v>
      </c>
      <c r="L745" s="252" t="s">
        <v>153</v>
      </c>
      <c r="M745" s="248"/>
      <c r="N745" s="248"/>
      <c r="O745" s="248"/>
    </row>
    <row r="746" spans="1:15" hidden="1">
      <c r="A746" s="247">
        <v>45772</v>
      </c>
      <c r="B746" s="248" t="s">
        <v>1474</v>
      </c>
      <c r="C746" s="248" t="s">
        <v>125</v>
      </c>
      <c r="D746" s="249" t="s">
        <v>115</v>
      </c>
      <c r="E746" s="250">
        <v>200000</v>
      </c>
      <c r="F746" s="250">
        <v>343.10672849449912</v>
      </c>
      <c r="G746" s="251">
        <v>582.90899999999999</v>
      </c>
      <c r="H746" s="252" t="s">
        <v>146</v>
      </c>
      <c r="I746" s="252" t="s">
        <v>1464</v>
      </c>
      <c r="J746" s="252" t="s">
        <v>96</v>
      </c>
      <c r="K746" s="265" t="s">
        <v>1906</v>
      </c>
      <c r="L746" s="252" t="s">
        <v>153</v>
      </c>
      <c r="M746" s="248"/>
      <c r="N746" s="248"/>
      <c r="O746" s="248"/>
    </row>
    <row r="747" spans="1:15" hidden="1">
      <c r="A747" s="247">
        <v>45772</v>
      </c>
      <c r="B747" s="248" t="s">
        <v>1439</v>
      </c>
      <c r="C747" s="248" t="s">
        <v>125</v>
      </c>
      <c r="D747" s="249" t="s">
        <v>115</v>
      </c>
      <c r="E747" s="250">
        <v>551482</v>
      </c>
      <c r="F747" s="250">
        <v>946.08592421801688</v>
      </c>
      <c r="G747" s="251">
        <v>582.90899999999999</v>
      </c>
      <c r="H747" s="252" t="s">
        <v>146</v>
      </c>
      <c r="I747" s="252" t="s">
        <v>1465</v>
      </c>
      <c r="J747" s="252" t="s">
        <v>96</v>
      </c>
      <c r="K747" s="265" t="s">
        <v>1906</v>
      </c>
      <c r="L747" s="252" t="s">
        <v>153</v>
      </c>
      <c r="M747" s="248"/>
      <c r="N747" s="248"/>
      <c r="O747" s="248"/>
    </row>
    <row r="748" spans="1:15" hidden="1">
      <c r="A748" s="247">
        <v>45772</v>
      </c>
      <c r="B748" s="248" t="s">
        <v>1441</v>
      </c>
      <c r="C748" s="248" t="s">
        <v>125</v>
      </c>
      <c r="D748" s="249" t="s">
        <v>115</v>
      </c>
      <c r="E748" s="250">
        <v>300000</v>
      </c>
      <c r="F748" s="250">
        <v>514.66009274174871</v>
      </c>
      <c r="G748" s="251">
        <v>582.90899999999999</v>
      </c>
      <c r="H748" s="252" t="s">
        <v>146</v>
      </c>
      <c r="I748" s="252" t="s">
        <v>1467</v>
      </c>
      <c r="J748" s="252" t="s">
        <v>96</v>
      </c>
      <c r="K748" s="265" t="s">
        <v>1906</v>
      </c>
      <c r="L748" s="252" t="s">
        <v>153</v>
      </c>
      <c r="M748" s="248"/>
      <c r="N748" s="248"/>
      <c r="O748" s="248"/>
    </row>
    <row r="749" spans="1:15" hidden="1">
      <c r="A749" s="247">
        <v>45772</v>
      </c>
      <c r="B749" s="248" t="s">
        <v>1485</v>
      </c>
      <c r="C749" s="248" t="s">
        <v>126</v>
      </c>
      <c r="D749" s="248" t="s">
        <v>116</v>
      </c>
      <c r="E749" s="250">
        <v>10665</v>
      </c>
      <c r="F749" s="250">
        <v>18.296166296969169</v>
      </c>
      <c r="G749" s="251">
        <v>582.90899999999999</v>
      </c>
      <c r="H749" s="252" t="s">
        <v>146</v>
      </c>
      <c r="I749" s="252" t="s">
        <v>1471</v>
      </c>
      <c r="J749" s="252" t="s">
        <v>96</v>
      </c>
      <c r="K749" s="265" t="s">
        <v>1906</v>
      </c>
      <c r="L749" s="252" t="s">
        <v>153</v>
      </c>
      <c r="M749" s="248"/>
      <c r="N749" s="248"/>
      <c r="O749" s="248"/>
    </row>
    <row r="750" spans="1:15" hidden="1">
      <c r="A750" s="247">
        <v>45773</v>
      </c>
      <c r="B750" s="248" t="s">
        <v>1340</v>
      </c>
      <c r="C750" s="248" t="s">
        <v>172</v>
      </c>
      <c r="D750" s="249" t="s">
        <v>115</v>
      </c>
      <c r="E750" s="250">
        <v>7000</v>
      </c>
      <c r="F750" s="250">
        <v>12.00873549730747</v>
      </c>
      <c r="G750" s="251">
        <v>582.90899999999999</v>
      </c>
      <c r="H750" s="252" t="s">
        <v>191</v>
      </c>
      <c r="I750" s="252" t="s">
        <v>1377</v>
      </c>
      <c r="J750" s="252" t="s">
        <v>96</v>
      </c>
      <c r="K750" s="265" t="s">
        <v>1906</v>
      </c>
      <c r="L750" s="252" t="s">
        <v>153</v>
      </c>
      <c r="M750" s="248"/>
      <c r="N750" s="248"/>
      <c r="O750" s="248"/>
    </row>
    <row r="751" spans="1:15" hidden="1">
      <c r="A751" s="247">
        <v>45774</v>
      </c>
      <c r="B751" s="248" t="s">
        <v>1401</v>
      </c>
      <c r="C751" s="248" t="s">
        <v>194</v>
      </c>
      <c r="D751" s="249" t="s">
        <v>115</v>
      </c>
      <c r="E751" s="250">
        <v>7000</v>
      </c>
      <c r="F751" s="250">
        <v>12.00873549730747</v>
      </c>
      <c r="G751" s="251">
        <v>582.90899999999999</v>
      </c>
      <c r="H751" s="252" t="s">
        <v>195</v>
      </c>
      <c r="I751" s="252" t="s">
        <v>1402</v>
      </c>
      <c r="J751" s="252" t="s">
        <v>96</v>
      </c>
      <c r="K751" s="265" t="s">
        <v>1906</v>
      </c>
      <c r="L751" s="252" t="s">
        <v>153</v>
      </c>
      <c r="M751" s="248"/>
      <c r="N751" s="248"/>
      <c r="O751" s="248"/>
    </row>
    <row r="752" spans="1:15" hidden="1">
      <c r="A752" s="247">
        <v>45775</v>
      </c>
      <c r="B752" s="248" t="s">
        <v>1442</v>
      </c>
      <c r="C752" s="254" t="s">
        <v>124</v>
      </c>
      <c r="D752" s="248" t="s">
        <v>116</v>
      </c>
      <c r="E752" s="250">
        <v>500000</v>
      </c>
      <c r="F752" s="250">
        <v>857.76682123624789</v>
      </c>
      <c r="G752" s="251">
        <v>582.90899999999999</v>
      </c>
      <c r="H752" s="252" t="s">
        <v>146</v>
      </c>
      <c r="I752" s="252" t="s">
        <v>1471</v>
      </c>
      <c r="J752" s="252" t="s">
        <v>96</v>
      </c>
      <c r="K752" s="265" t="s">
        <v>1906</v>
      </c>
      <c r="L752" s="252" t="s">
        <v>153</v>
      </c>
      <c r="M752" s="248"/>
      <c r="N752" s="248"/>
      <c r="O752" s="248"/>
    </row>
    <row r="753" spans="1:15" hidden="1">
      <c r="A753" s="247">
        <v>45775</v>
      </c>
      <c r="B753" s="248" t="s">
        <v>1252</v>
      </c>
      <c r="C753" s="248" t="s">
        <v>302</v>
      </c>
      <c r="D753" s="248" t="s">
        <v>116</v>
      </c>
      <c r="E753" s="250">
        <v>20000</v>
      </c>
      <c r="F753" s="250">
        <v>34.310672849449915</v>
      </c>
      <c r="G753" s="251">
        <v>582.90899999999999</v>
      </c>
      <c r="H753" s="252" t="s">
        <v>581</v>
      </c>
      <c r="I753" s="252" t="s">
        <v>1253</v>
      </c>
      <c r="J753" s="252" t="s">
        <v>96</v>
      </c>
      <c r="K753" s="265" t="s">
        <v>1906</v>
      </c>
      <c r="L753" s="252" t="s">
        <v>153</v>
      </c>
      <c r="M753" s="248"/>
      <c r="N753" s="248"/>
      <c r="O753" s="248"/>
    </row>
    <row r="754" spans="1:15" hidden="1">
      <c r="A754" s="247">
        <v>45775</v>
      </c>
      <c r="B754" s="248" t="s">
        <v>1904</v>
      </c>
      <c r="C754" s="248" t="s">
        <v>302</v>
      </c>
      <c r="D754" s="248" t="s">
        <v>116</v>
      </c>
      <c r="E754" s="250">
        <v>75625</v>
      </c>
      <c r="F754" s="250">
        <v>129.7372317119825</v>
      </c>
      <c r="G754" s="251">
        <v>582.90899999999999</v>
      </c>
      <c r="H754" s="252" t="s">
        <v>581</v>
      </c>
      <c r="I754" s="252" t="s">
        <v>1254</v>
      </c>
      <c r="J754" s="252" t="s">
        <v>96</v>
      </c>
      <c r="K754" s="265" t="s">
        <v>1906</v>
      </c>
      <c r="L754" s="252" t="s">
        <v>153</v>
      </c>
      <c r="M754" s="248"/>
      <c r="N754" s="248"/>
      <c r="O754" s="248"/>
    </row>
    <row r="755" spans="1:15" hidden="1">
      <c r="A755" s="247">
        <v>45775</v>
      </c>
      <c r="B755" s="248" t="s">
        <v>1501</v>
      </c>
      <c r="C755" s="254" t="s">
        <v>175</v>
      </c>
      <c r="D755" s="249" t="s">
        <v>115</v>
      </c>
      <c r="E755" s="250">
        <v>20000</v>
      </c>
      <c r="F755" s="250">
        <v>34.310672849449915</v>
      </c>
      <c r="G755" s="251">
        <v>582.90899999999999</v>
      </c>
      <c r="H755" s="252" t="s">
        <v>191</v>
      </c>
      <c r="I755" s="252" t="s">
        <v>1378</v>
      </c>
      <c r="J755" s="252" t="s">
        <v>96</v>
      </c>
      <c r="K755" s="265" t="s">
        <v>1906</v>
      </c>
      <c r="L755" s="252" t="s">
        <v>153</v>
      </c>
      <c r="M755" s="248"/>
      <c r="N755" s="248"/>
      <c r="O755" s="248"/>
    </row>
    <row r="756" spans="1:15" hidden="1">
      <c r="A756" s="247">
        <v>45775</v>
      </c>
      <c r="B756" s="248" t="s">
        <v>1403</v>
      </c>
      <c r="C756" s="254" t="s">
        <v>175</v>
      </c>
      <c r="D756" s="249" t="s">
        <v>115</v>
      </c>
      <c r="E756" s="250">
        <v>20000</v>
      </c>
      <c r="F756" s="250">
        <v>34.310672849449915</v>
      </c>
      <c r="G756" s="251">
        <v>582.90899999999999</v>
      </c>
      <c r="H756" s="252" t="s">
        <v>195</v>
      </c>
      <c r="I756" s="252" t="s">
        <v>1404</v>
      </c>
      <c r="J756" s="252" t="s">
        <v>96</v>
      </c>
      <c r="K756" s="265" t="s">
        <v>1906</v>
      </c>
      <c r="L756" s="252" t="s">
        <v>153</v>
      </c>
      <c r="M756" s="248"/>
      <c r="N756" s="248"/>
      <c r="O756" s="248"/>
    </row>
    <row r="757" spans="1:15" hidden="1">
      <c r="A757" s="247">
        <v>45775</v>
      </c>
      <c r="B757" s="248" t="s">
        <v>1417</v>
      </c>
      <c r="C757" s="248" t="s">
        <v>172</v>
      </c>
      <c r="D757" s="248" t="s">
        <v>118</v>
      </c>
      <c r="E757" s="250">
        <v>41900</v>
      </c>
      <c r="F757" s="250">
        <v>71.880859619597572</v>
      </c>
      <c r="G757" s="251">
        <v>582.90899999999999</v>
      </c>
      <c r="H757" s="252" t="s">
        <v>211</v>
      </c>
      <c r="I757" s="252" t="s">
        <v>1418</v>
      </c>
      <c r="J757" s="252" t="s">
        <v>96</v>
      </c>
      <c r="K757" s="265" t="s">
        <v>1906</v>
      </c>
      <c r="L757" s="252" t="s">
        <v>153</v>
      </c>
      <c r="M757" s="248"/>
      <c r="N757" s="248"/>
      <c r="O757" s="248"/>
    </row>
    <row r="758" spans="1:15" hidden="1">
      <c r="A758" s="247">
        <v>45775</v>
      </c>
      <c r="B758" s="248" t="s">
        <v>1423</v>
      </c>
      <c r="C758" s="254" t="s">
        <v>2092</v>
      </c>
      <c r="D758" s="248" t="s">
        <v>118</v>
      </c>
      <c r="E758" s="250">
        <v>144000</v>
      </c>
      <c r="F758" s="250">
        <v>247.03684451603939</v>
      </c>
      <c r="G758" s="251">
        <v>582.90899999999999</v>
      </c>
      <c r="H758" s="252" t="s">
        <v>211</v>
      </c>
      <c r="I758" s="252" t="s">
        <v>1424</v>
      </c>
      <c r="J758" s="252" t="s">
        <v>96</v>
      </c>
      <c r="K758" s="265" t="s">
        <v>1906</v>
      </c>
      <c r="L758" s="252" t="s">
        <v>153</v>
      </c>
      <c r="M758" s="248"/>
      <c r="N758" s="248"/>
      <c r="O758" s="248"/>
    </row>
    <row r="759" spans="1:15" hidden="1">
      <c r="A759" s="247">
        <v>45775</v>
      </c>
      <c r="B759" s="248" t="s">
        <v>1425</v>
      </c>
      <c r="C759" s="269" t="s">
        <v>2099</v>
      </c>
      <c r="D759" s="248" t="s">
        <v>116</v>
      </c>
      <c r="E759" s="250">
        <v>27000</v>
      </c>
      <c r="F759" s="250">
        <v>46.319408346757385</v>
      </c>
      <c r="G759" s="251">
        <v>582.90899999999999</v>
      </c>
      <c r="H759" s="252" t="s">
        <v>211</v>
      </c>
      <c r="I759" s="252" t="s">
        <v>1426</v>
      </c>
      <c r="J759" s="252" t="s">
        <v>96</v>
      </c>
      <c r="K759" s="265" t="s">
        <v>1906</v>
      </c>
      <c r="L759" s="252" t="s">
        <v>153</v>
      </c>
      <c r="M759" s="248"/>
      <c r="N759" s="248"/>
      <c r="O759" s="248"/>
    </row>
    <row r="760" spans="1:15" hidden="1">
      <c r="A760" s="247">
        <v>45776</v>
      </c>
      <c r="B760" s="248" t="s">
        <v>1298</v>
      </c>
      <c r="C760" s="248" t="s">
        <v>172</v>
      </c>
      <c r="D760" s="249" t="s">
        <v>440</v>
      </c>
      <c r="E760" s="250">
        <v>59500</v>
      </c>
      <c r="F760" s="250">
        <v>102.07425172711349</v>
      </c>
      <c r="G760" s="251">
        <v>582.90899999999999</v>
      </c>
      <c r="H760" s="252" t="s">
        <v>321</v>
      </c>
      <c r="I760" s="252" t="s">
        <v>1299</v>
      </c>
      <c r="J760" s="252" t="s">
        <v>96</v>
      </c>
      <c r="K760" s="265" t="s">
        <v>1906</v>
      </c>
      <c r="L760" s="252" t="s">
        <v>153</v>
      </c>
      <c r="M760" s="248"/>
      <c r="N760" s="248"/>
      <c r="O760" s="248"/>
    </row>
    <row r="761" spans="1:15" hidden="1">
      <c r="A761" s="247">
        <v>45776</v>
      </c>
      <c r="B761" s="248" t="s">
        <v>1508</v>
      </c>
      <c r="C761" s="248" t="s">
        <v>1379</v>
      </c>
      <c r="D761" s="249" t="s">
        <v>115</v>
      </c>
      <c r="E761" s="250">
        <v>40000</v>
      </c>
      <c r="F761" s="250">
        <v>68.62134569889983</v>
      </c>
      <c r="G761" s="251">
        <v>582.90899999999999</v>
      </c>
      <c r="H761" s="252" t="s">
        <v>191</v>
      </c>
      <c r="I761" s="252" t="s">
        <v>1380</v>
      </c>
      <c r="J761" s="252" t="s">
        <v>96</v>
      </c>
      <c r="K761" s="265" t="s">
        <v>1906</v>
      </c>
      <c r="L761" s="252" t="s">
        <v>153</v>
      </c>
      <c r="M761" s="248"/>
      <c r="N761" s="248"/>
      <c r="O761" s="248"/>
    </row>
    <row r="762" spans="1:15" hidden="1">
      <c r="A762" s="247">
        <v>45776</v>
      </c>
      <c r="B762" s="248" t="s">
        <v>1509</v>
      </c>
      <c r="C762" s="248" t="s">
        <v>172</v>
      </c>
      <c r="D762" s="249" t="s">
        <v>115</v>
      </c>
      <c r="E762" s="250">
        <v>7000</v>
      </c>
      <c r="F762" s="250">
        <v>12.00873549730747</v>
      </c>
      <c r="G762" s="251">
        <v>582.90899999999999</v>
      </c>
      <c r="H762" s="252" t="s">
        <v>191</v>
      </c>
      <c r="I762" s="252" t="s">
        <v>1381</v>
      </c>
      <c r="J762" s="252" t="s">
        <v>96</v>
      </c>
      <c r="K762" s="265" t="s">
        <v>1906</v>
      </c>
      <c r="L762" s="252" t="s">
        <v>153</v>
      </c>
      <c r="M762" s="248"/>
      <c r="N762" s="248"/>
      <c r="O762" s="248"/>
    </row>
    <row r="763" spans="1:15" hidden="1">
      <c r="A763" s="247">
        <v>45776</v>
      </c>
      <c r="B763" s="248" t="s">
        <v>1502</v>
      </c>
      <c r="C763" s="254" t="s">
        <v>175</v>
      </c>
      <c r="D763" s="249" t="s">
        <v>115</v>
      </c>
      <c r="E763" s="250">
        <v>30000</v>
      </c>
      <c r="F763" s="250">
        <v>51.466009274174873</v>
      </c>
      <c r="G763" s="251">
        <v>582.90899999999999</v>
      </c>
      <c r="H763" s="252" t="s">
        <v>191</v>
      </c>
      <c r="I763" s="252" t="s">
        <v>1382</v>
      </c>
      <c r="J763" s="252" t="s">
        <v>96</v>
      </c>
      <c r="K763" s="265" t="s">
        <v>1906</v>
      </c>
      <c r="L763" s="252" t="s">
        <v>153</v>
      </c>
      <c r="M763" s="248"/>
      <c r="N763" s="248"/>
      <c r="O763" s="248"/>
    </row>
    <row r="764" spans="1:15" hidden="1">
      <c r="A764" s="247">
        <v>45776</v>
      </c>
      <c r="B764" s="248" t="s">
        <v>1440</v>
      </c>
      <c r="C764" s="248" t="s">
        <v>125</v>
      </c>
      <c r="D764" s="248" t="s">
        <v>118</v>
      </c>
      <c r="E764" s="250">
        <v>453388</v>
      </c>
      <c r="F764" s="250">
        <v>777.80236709331984</v>
      </c>
      <c r="G764" s="251">
        <v>582.90899999999999</v>
      </c>
      <c r="H764" s="252" t="s">
        <v>146</v>
      </c>
      <c r="I764" s="252" t="s">
        <v>1466</v>
      </c>
      <c r="J764" s="252" t="s">
        <v>96</v>
      </c>
      <c r="K764" s="265" t="s">
        <v>1906</v>
      </c>
      <c r="L764" s="252" t="s">
        <v>153</v>
      </c>
      <c r="M764" s="248"/>
      <c r="N764" s="248"/>
      <c r="O764" s="248"/>
    </row>
    <row r="765" spans="1:15" hidden="1">
      <c r="A765" s="267">
        <v>45777</v>
      </c>
      <c r="B765" s="248" t="s">
        <v>1405</v>
      </c>
      <c r="C765" s="248" t="s">
        <v>194</v>
      </c>
      <c r="D765" s="249" t="s">
        <v>115</v>
      </c>
      <c r="E765" s="250">
        <v>7000</v>
      </c>
      <c r="F765" s="250">
        <v>12.00873549730747</v>
      </c>
      <c r="G765" s="251">
        <v>582.90899999999999</v>
      </c>
      <c r="H765" s="252" t="s">
        <v>195</v>
      </c>
      <c r="I765" s="252" t="s">
        <v>1406</v>
      </c>
      <c r="J765" s="252" t="s">
        <v>96</v>
      </c>
      <c r="K765" s="265" t="s">
        <v>1906</v>
      </c>
      <c r="L765" s="252" t="s">
        <v>153</v>
      </c>
      <c r="M765" s="248"/>
      <c r="N765" s="248"/>
      <c r="O765" s="248"/>
    </row>
    <row r="766" spans="1:15" hidden="1">
      <c r="A766" s="247">
        <v>45777</v>
      </c>
      <c r="B766" s="248" t="s">
        <v>1171</v>
      </c>
      <c r="C766" s="248" t="s">
        <v>172</v>
      </c>
      <c r="D766" s="248" t="s">
        <v>117</v>
      </c>
      <c r="E766" s="250">
        <v>56000</v>
      </c>
      <c r="F766" s="250">
        <v>96.069883978459757</v>
      </c>
      <c r="G766" s="251">
        <v>582.90899999999999</v>
      </c>
      <c r="H766" s="252" t="s">
        <v>151</v>
      </c>
      <c r="I766" s="252" t="s">
        <v>1172</v>
      </c>
      <c r="J766" s="252" t="s">
        <v>96</v>
      </c>
      <c r="K766" s="265" t="s">
        <v>1906</v>
      </c>
      <c r="L766" s="252" t="s">
        <v>153</v>
      </c>
      <c r="M766" s="248"/>
      <c r="N766" s="248"/>
      <c r="O766" s="248"/>
    </row>
    <row r="767" spans="1:15" hidden="1">
      <c r="A767" s="247">
        <v>45777</v>
      </c>
      <c r="B767" s="248" t="s">
        <v>1186</v>
      </c>
      <c r="C767" s="248" t="s">
        <v>172</v>
      </c>
      <c r="D767" s="249" t="s">
        <v>115</v>
      </c>
      <c r="E767" s="250">
        <v>21200</v>
      </c>
      <c r="F767" s="250">
        <v>36.369313220416906</v>
      </c>
      <c r="G767" s="251">
        <v>582.90899999999999</v>
      </c>
      <c r="H767" s="252" t="s">
        <v>198</v>
      </c>
      <c r="I767" s="252" t="s">
        <v>1185</v>
      </c>
      <c r="J767" s="252" t="s">
        <v>96</v>
      </c>
      <c r="K767" s="265" t="s">
        <v>1906</v>
      </c>
      <c r="L767" s="252" t="s">
        <v>153</v>
      </c>
      <c r="M767" s="248"/>
      <c r="N767" s="248"/>
      <c r="O767" s="248"/>
    </row>
    <row r="768" spans="1:15" hidden="1">
      <c r="A768" s="247">
        <v>45777</v>
      </c>
      <c r="B768" s="248" t="s">
        <v>1255</v>
      </c>
      <c r="C768" s="248" t="s">
        <v>172</v>
      </c>
      <c r="D768" s="248" t="s">
        <v>116</v>
      </c>
      <c r="E768" s="250">
        <v>40500</v>
      </c>
      <c r="F768" s="250">
        <v>69.479112520136084</v>
      </c>
      <c r="G768" s="251">
        <v>582.90899999999999</v>
      </c>
      <c r="H768" s="252" t="s">
        <v>581</v>
      </c>
      <c r="I768" s="252" t="s">
        <v>1256</v>
      </c>
      <c r="J768" s="252" t="s">
        <v>96</v>
      </c>
      <c r="K768" s="265" t="s">
        <v>1906</v>
      </c>
      <c r="L768" s="252" t="s">
        <v>153</v>
      </c>
      <c r="M768" s="248"/>
      <c r="N768" s="248"/>
      <c r="O768" s="248"/>
    </row>
    <row r="769" spans="1:15" hidden="1">
      <c r="A769" s="247">
        <v>45777</v>
      </c>
      <c r="B769" s="248" t="s">
        <v>1257</v>
      </c>
      <c r="C769" s="248" t="s">
        <v>624</v>
      </c>
      <c r="D769" s="248" t="s">
        <v>116</v>
      </c>
      <c r="E769" s="250">
        <v>45050</v>
      </c>
      <c r="F769" s="250">
        <v>77.284790593385935</v>
      </c>
      <c r="G769" s="251">
        <v>582.90899999999999</v>
      </c>
      <c r="H769" s="252" t="s">
        <v>581</v>
      </c>
      <c r="I769" s="252" t="s">
        <v>1258</v>
      </c>
      <c r="J769" s="252" t="s">
        <v>96</v>
      </c>
      <c r="K769" s="265" t="s">
        <v>1906</v>
      </c>
      <c r="L769" s="252" t="s">
        <v>153</v>
      </c>
      <c r="M769" s="248"/>
      <c r="N769" s="248"/>
      <c r="O769" s="248"/>
    </row>
    <row r="770" spans="1:15" hidden="1">
      <c r="A770" s="247">
        <v>45777</v>
      </c>
      <c r="B770" s="248" t="s">
        <v>1259</v>
      </c>
      <c r="C770" s="248" t="s">
        <v>125</v>
      </c>
      <c r="D770" s="249" t="s">
        <v>993</v>
      </c>
      <c r="E770" s="250">
        <v>199400</v>
      </c>
      <c r="F770" s="250">
        <v>342.07740830901565</v>
      </c>
      <c r="G770" s="251">
        <v>582.90899999999999</v>
      </c>
      <c r="H770" s="252" t="s">
        <v>581</v>
      </c>
      <c r="I770" s="252" t="s">
        <v>1260</v>
      </c>
      <c r="J770" s="252" t="s">
        <v>96</v>
      </c>
      <c r="K770" s="265" t="s">
        <v>1906</v>
      </c>
      <c r="L770" s="252" t="s">
        <v>153</v>
      </c>
      <c r="M770" s="248"/>
      <c r="N770" s="248"/>
      <c r="O770" s="248"/>
    </row>
    <row r="771" spans="1:15" hidden="1">
      <c r="A771" s="247">
        <v>45777</v>
      </c>
      <c r="B771" s="248" t="s">
        <v>1272</v>
      </c>
      <c r="C771" s="248" t="s">
        <v>172</v>
      </c>
      <c r="D771" s="249" t="s">
        <v>440</v>
      </c>
      <c r="E771" s="250">
        <v>72100</v>
      </c>
      <c r="F771" s="250">
        <v>123.68997562226694</v>
      </c>
      <c r="G771" s="251">
        <v>582.90899999999999</v>
      </c>
      <c r="H771" s="252" t="s">
        <v>173</v>
      </c>
      <c r="I771" s="252" t="s">
        <v>1273</v>
      </c>
      <c r="J771" s="252" t="s">
        <v>96</v>
      </c>
      <c r="K771" s="265" t="s">
        <v>1906</v>
      </c>
      <c r="L771" s="252" t="s">
        <v>153</v>
      </c>
      <c r="M771" s="248"/>
      <c r="N771" s="248"/>
      <c r="O771" s="248"/>
    </row>
    <row r="772" spans="1:15" hidden="1">
      <c r="A772" s="247">
        <v>45777</v>
      </c>
      <c r="B772" s="248" t="s">
        <v>1383</v>
      </c>
      <c r="C772" s="248" t="s">
        <v>172</v>
      </c>
      <c r="D772" s="249" t="s">
        <v>115</v>
      </c>
      <c r="E772" s="250">
        <v>46800</v>
      </c>
      <c r="F772" s="250">
        <v>80.286974467712795</v>
      </c>
      <c r="G772" s="251">
        <v>582.90899999999999</v>
      </c>
      <c r="H772" s="252" t="s">
        <v>191</v>
      </c>
      <c r="I772" s="252" t="s">
        <v>1384</v>
      </c>
      <c r="J772" s="252" t="s">
        <v>96</v>
      </c>
      <c r="K772" s="265" t="s">
        <v>1906</v>
      </c>
      <c r="L772" s="252" t="s">
        <v>153</v>
      </c>
      <c r="M772" s="248"/>
      <c r="N772" s="248"/>
      <c r="O772" s="248"/>
    </row>
    <row r="773" spans="1:15" hidden="1">
      <c r="A773" s="247">
        <v>45777</v>
      </c>
      <c r="B773" s="248" t="s">
        <v>1407</v>
      </c>
      <c r="C773" s="254" t="s">
        <v>175</v>
      </c>
      <c r="D773" s="249" t="s">
        <v>115</v>
      </c>
      <c r="E773" s="250">
        <v>30000</v>
      </c>
      <c r="F773" s="250">
        <v>51.466009274174873</v>
      </c>
      <c r="G773" s="251">
        <v>582.90899999999999</v>
      </c>
      <c r="H773" s="252" t="s">
        <v>195</v>
      </c>
      <c r="I773" s="252" t="s">
        <v>1408</v>
      </c>
      <c r="J773" s="252" t="s">
        <v>96</v>
      </c>
      <c r="K773" s="265" t="s">
        <v>1906</v>
      </c>
      <c r="L773" s="252" t="s">
        <v>153</v>
      </c>
      <c r="M773" s="248"/>
      <c r="N773" s="248"/>
      <c r="O773" s="248"/>
    </row>
    <row r="774" spans="1:15" hidden="1">
      <c r="A774" s="247">
        <v>45777</v>
      </c>
      <c r="B774" s="248" t="s">
        <v>1409</v>
      </c>
      <c r="C774" s="248" t="s">
        <v>194</v>
      </c>
      <c r="D774" s="249" t="s">
        <v>115</v>
      </c>
      <c r="E774" s="250">
        <v>30000</v>
      </c>
      <c r="F774" s="250">
        <v>51.466009274174873</v>
      </c>
      <c r="G774" s="251">
        <v>582.90899999999999</v>
      </c>
      <c r="H774" s="252" t="s">
        <v>195</v>
      </c>
      <c r="I774" s="252" t="s">
        <v>1410</v>
      </c>
      <c r="J774" s="252" t="s">
        <v>96</v>
      </c>
      <c r="K774" s="265" t="s">
        <v>1906</v>
      </c>
      <c r="L774" s="252" t="s">
        <v>153</v>
      </c>
      <c r="M774" s="248"/>
      <c r="N774" s="248"/>
      <c r="O774" s="248"/>
    </row>
    <row r="775" spans="1:15" hidden="1">
      <c r="A775" s="247">
        <v>45777</v>
      </c>
      <c r="B775" s="248" t="s">
        <v>1443</v>
      </c>
      <c r="C775" s="248" t="s">
        <v>125</v>
      </c>
      <c r="D775" s="249" t="s">
        <v>440</v>
      </c>
      <c r="E775" s="250">
        <v>440000</v>
      </c>
      <c r="F775" s="250">
        <v>754.8348026878981</v>
      </c>
      <c r="G775" s="251">
        <v>582.90899999999999</v>
      </c>
      <c r="H775" s="252" t="s">
        <v>146</v>
      </c>
      <c r="I775" s="252" t="s">
        <v>1468</v>
      </c>
      <c r="J775" s="252" t="s">
        <v>96</v>
      </c>
      <c r="K775" s="265" t="s">
        <v>1906</v>
      </c>
      <c r="L775" s="252" t="s">
        <v>153</v>
      </c>
      <c r="M775" s="248"/>
      <c r="N775" s="248"/>
      <c r="O775" s="248"/>
    </row>
    <row r="776" spans="1:15" hidden="1">
      <c r="A776" s="247">
        <v>45777</v>
      </c>
      <c r="B776" s="248" t="s">
        <v>1444</v>
      </c>
      <c r="C776" s="248" t="s">
        <v>125</v>
      </c>
      <c r="D776" s="249" t="s">
        <v>440</v>
      </c>
      <c r="E776" s="250">
        <v>240000</v>
      </c>
      <c r="F776" s="250">
        <v>411.72807419339898</v>
      </c>
      <c r="G776" s="251">
        <v>582.90899999999999</v>
      </c>
      <c r="H776" s="252" t="s">
        <v>146</v>
      </c>
      <c r="I776" s="252" t="s">
        <v>1469</v>
      </c>
      <c r="J776" s="252" t="s">
        <v>96</v>
      </c>
      <c r="K776" s="265" t="s">
        <v>1906</v>
      </c>
      <c r="L776" s="252" t="s">
        <v>153</v>
      </c>
      <c r="M776" s="248"/>
      <c r="N776" s="248"/>
      <c r="O776" s="248"/>
    </row>
    <row r="777" spans="1:15" hidden="1">
      <c r="A777" s="247">
        <v>45777</v>
      </c>
      <c r="B777" s="248" t="s">
        <v>1445</v>
      </c>
      <c r="C777" s="248" t="s">
        <v>125</v>
      </c>
      <c r="D777" s="249" t="s">
        <v>440</v>
      </c>
      <c r="E777" s="250">
        <v>240000</v>
      </c>
      <c r="F777" s="250">
        <v>411.72807419339898</v>
      </c>
      <c r="G777" s="251">
        <v>582.90899999999999</v>
      </c>
      <c r="H777" s="252" t="s">
        <v>146</v>
      </c>
      <c r="I777" s="252" t="s">
        <v>1470</v>
      </c>
      <c r="J777" s="252" t="s">
        <v>96</v>
      </c>
      <c r="K777" s="265" t="s">
        <v>1906</v>
      </c>
      <c r="L777" s="252" t="s">
        <v>153</v>
      </c>
      <c r="M777" s="248"/>
      <c r="N777" s="248"/>
      <c r="O777" s="248"/>
    </row>
    <row r="778" spans="1:15" hidden="1">
      <c r="A778" s="247">
        <v>45778</v>
      </c>
      <c r="B778" s="248" t="s">
        <v>1566</v>
      </c>
      <c r="C778" s="254" t="s">
        <v>2092</v>
      </c>
      <c r="D778" s="248" t="s">
        <v>118</v>
      </c>
      <c r="E778" s="250">
        <v>124000</v>
      </c>
      <c r="F778" s="250">
        <v>213.92367065415789</v>
      </c>
      <c r="G778" s="260">
        <v>579.64599999999996</v>
      </c>
      <c r="H778" s="252" t="s">
        <v>211</v>
      </c>
      <c r="I778" s="257" t="s">
        <v>1827</v>
      </c>
      <c r="J778" s="252" t="s">
        <v>96</v>
      </c>
      <c r="K778" s="268" t="s">
        <v>200</v>
      </c>
      <c r="L778" s="252" t="s">
        <v>153</v>
      </c>
      <c r="M778" s="248"/>
      <c r="N778" s="248"/>
      <c r="O778" s="248"/>
    </row>
    <row r="779" spans="1:15" hidden="1">
      <c r="A779" s="247">
        <v>45780</v>
      </c>
      <c r="B779" s="248" t="s">
        <v>4743</v>
      </c>
      <c r="C779" s="248" t="s">
        <v>172</v>
      </c>
      <c r="D779" s="249" t="s">
        <v>440</v>
      </c>
      <c r="E779" s="250">
        <v>12000</v>
      </c>
      <c r="F779" s="250">
        <v>20.702290708466894</v>
      </c>
      <c r="G779" s="260">
        <v>579.64599999999996</v>
      </c>
      <c r="H779" s="252" t="s">
        <v>182</v>
      </c>
      <c r="I779" s="253" t="s">
        <v>1608</v>
      </c>
      <c r="J779" s="252" t="s">
        <v>96</v>
      </c>
      <c r="K779" s="268" t="s">
        <v>200</v>
      </c>
      <c r="L779" s="252" t="s">
        <v>153</v>
      </c>
      <c r="M779" s="248"/>
      <c r="N779" s="248"/>
      <c r="O779" s="248"/>
    </row>
    <row r="780" spans="1:15" hidden="1">
      <c r="A780" s="247">
        <v>45780</v>
      </c>
      <c r="B780" s="248" t="s">
        <v>4761</v>
      </c>
      <c r="C780" s="254" t="s">
        <v>175</v>
      </c>
      <c r="D780" s="249" t="s">
        <v>440</v>
      </c>
      <c r="E780" s="250">
        <v>70000</v>
      </c>
      <c r="F780" s="250">
        <v>120.76336246605688</v>
      </c>
      <c r="G780" s="260">
        <v>579.64599999999996</v>
      </c>
      <c r="H780" s="252" t="s">
        <v>182</v>
      </c>
      <c r="I780" s="253" t="s">
        <v>1609</v>
      </c>
      <c r="J780" s="252" t="s">
        <v>96</v>
      </c>
      <c r="K780" s="268" t="s">
        <v>200</v>
      </c>
      <c r="L780" s="252" t="s">
        <v>153</v>
      </c>
      <c r="M780" s="248"/>
      <c r="N780" s="248"/>
      <c r="O780" s="248"/>
    </row>
    <row r="781" spans="1:15" hidden="1">
      <c r="A781" s="247">
        <v>45780</v>
      </c>
      <c r="B781" s="248" t="s">
        <v>4785</v>
      </c>
      <c r="C781" s="248" t="s">
        <v>172</v>
      </c>
      <c r="D781" s="249" t="s">
        <v>440</v>
      </c>
      <c r="E781" s="250">
        <v>12000</v>
      </c>
      <c r="F781" s="250">
        <v>20.702290708466894</v>
      </c>
      <c r="G781" s="260">
        <v>579.64599999999996</v>
      </c>
      <c r="H781" s="252" t="s">
        <v>173</v>
      </c>
      <c r="I781" s="252" t="s">
        <v>1638</v>
      </c>
      <c r="J781" s="252" t="s">
        <v>96</v>
      </c>
      <c r="K781" s="268" t="s">
        <v>200</v>
      </c>
      <c r="L781" s="252" t="s">
        <v>153</v>
      </c>
      <c r="M781" s="248"/>
      <c r="N781" s="248"/>
      <c r="O781" s="248"/>
    </row>
    <row r="782" spans="1:15" hidden="1">
      <c r="A782" s="247">
        <v>45780</v>
      </c>
      <c r="B782" s="248" t="s">
        <v>4832</v>
      </c>
      <c r="C782" s="254" t="s">
        <v>175</v>
      </c>
      <c r="D782" s="249" t="s">
        <v>440</v>
      </c>
      <c r="E782" s="250">
        <v>70000</v>
      </c>
      <c r="F782" s="250">
        <v>120.76336246605688</v>
      </c>
      <c r="G782" s="260">
        <v>579.64599999999996</v>
      </c>
      <c r="H782" s="252" t="s">
        <v>173</v>
      </c>
      <c r="I782" s="252" t="s">
        <v>1639</v>
      </c>
      <c r="J782" s="252" t="s">
        <v>96</v>
      </c>
      <c r="K782" s="268" t="s">
        <v>200</v>
      </c>
      <c r="L782" s="252" t="s">
        <v>153</v>
      </c>
      <c r="M782" s="248"/>
      <c r="N782" s="248"/>
      <c r="O782" s="248"/>
    </row>
    <row r="783" spans="1:15" hidden="1">
      <c r="A783" s="247">
        <v>45780</v>
      </c>
      <c r="B783" s="248" t="s">
        <v>4752</v>
      </c>
      <c r="C783" s="248" t="s">
        <v>172</v>
      </c>
      <c r="D783" s="249" t="s">
        <v>440</v>
      </c>
      <c r="E783" s="250">
        <v>7000</v>
      </c>
      <c r="F783" s="250">
        <v>12.076336246605688</v>
      </c>
      <c r="G783" s="260">
        <v>579.64599999999996</v>
      </c>
      <c r="H783" s="252" t="s">
        <v>321</v>
      </c>
      <c r="I783" s="252" t="s">
        <v>1663</v>
      </c>
      <c r="J783" s="252" t="s">
        <v>96</v>
      </c>
      <c r="K783" s="268" t="s">
        <v>200</v>
      </c>
      <c r="L783" s="252" t="s">
        <v>153</v>
      </c>
      <c r="M783" s="248"/>
      <c r="N783" s="248"/>
      <c r="O783" s="248"/>
    </row>
    <row r="784" spans="1:15" hidden="1">
      <c r="A784" s="247">
        <v>45780</v>
      </c>
      <c r="B784" s="248" t="s">
        <v>4836</v>
      </c>
      <c r="C784" s="254" t="s">
        <v>175</v>
      </c>
      <c r="D784" s="249" t="s">
        <v>440</v>
      </c>
      <c r="E784" s="250">
        <v>70000</v>
      </c>
      <c r="F784" s="250">
        <v>120.76336246605688</v>
      </c>
      <c r="G784" s="260">
        <v>579.64599999999996</v>
      </c>
      <c r="H784" s="252" t="s">
        <v>321</v>
      </c>
      <c r="I784" s="252" t="s">
        <v>1664</v>
      </c>
      <c r="J784" s="252" t="s">
        <v>96</v>
      </c>
      <c r="K784" s="268" t="s">
        <v>200</v>
      </c>
      <c r="L784" s="252" t="s">
        <v>153</v>
      </c>
      <c r="M784" s="248"/>
      <c r="N784" s="248"/>
      <c r="O784" s="248"/>
    </row>
    <row r="785" spans="1:15" hidden="1">
      <c r="A785" s="247">
        <v>45780</v>
      </c>
      <c r="B785" s="248" t="s">
        <v>4752</v>
      </c>
      <c r="C785" s="248" t="s">
        <v>172</v>
      </c>
      <c r="D785" s="249" t="s">
        <v>440</v>
      </c>
      <c r="E785" s="250">
        <v>4000</v>
      </c>
      <c r="F785" s="250">
        <v>6.9007635694889649</v>
      </c>
      <c r="G785" s="260">
        <v>579.64599999999996</v>
      </c>
      <c r="H785" s="252" t="s">
        <v>321</v>
      </c>
      <c r="I785" s="252" t="s">
        <v>1665</v>
      </c>
      <c r="J785" s="252" t="s">
        <v>96</v>
      </c>
      <c r="K785" s="268" t="s">
        <v>200</v>
      </c>
      <c r="L785" s="252" t="s">
        <v>153</v>
      </c>
      <c r="M785" s="248"/>
      <c r="N785" s="248"/>
      <c r="O785" s="248"/>
    </row>
    <row r="786" spans="1:15" hidden="1">
      <c r="A786" s="247">
        <v>45782</v>
      </c>
      <c r="B786" s="248" t="s">
        <v>1532</v>
      </c>
      <c r="C786" s="248" t="s">
        <v>125</v>
      </c>
      <c r="D786" s="249" t="s">
        <v>115</v>
      </c>
      <c r="E786" s="250">
        <v>200000</v>
      </c>
      <c r="F786" s="250">
        <v>343.10696393911502</v>
      </c>
      <c r="G786" s="251">
        <v>582.90899999999999</v>
      </c>
      <c r="H786" s="252" t="s">
        <v>146</v>
      </c>
      <c r="I786" s="252" t="s">
        <v>1878</v>
      </c>
      <c r="J786" s="252" t="s">
        <v>96</v>
      </c>
      <c r="K786" s="265" t="s">
        <v>1906</v>
      </c>
      <c r="L786" s="270" t="s">
        <v>153</v>
      </c>
      <c r="M786" s="248"/>
      <c r="N786" s="248"/>
      <c r="O786" s="248"/>
    </row>
    <row r="787" spans="1:15" hidden="1">
      <c r="A787" s="247">
        <v>45782</v>
      </c>
      <c r="B787" s="248" t="s">
        <v>1585</v>
      </c>
      <c r="C787" s="248" t="s">
        <v>150</v>
      </c>
      <c r="D787" s="248" t="s">
        <v>117</v>
      </c>
      <c r="E787" s="250">
        <v>21000</v>
      </c>
      <c r="F787" s="250">
        <v>36.026231213607076</v>
      </c>
      <c r="G787" s="260">
        <v>579.64599999999996</v>
      </c>
      <c r="H787" s="252" t="s">
        <v>151</v>
      </c>
      <c r="I787" s="271" t="s">
        <v>1691</v>
      </c>
      <c r="J787" s="252" t="s">
        <v>96</v>
      </c>
      <c r="K787" s="268" t="s">
        <v>200</v>
      </c>
      <c r="L787" s="252" t="s">
        <v>153</v>
      </c>
      <c r="M787" s="248"/>
      <c r="N787" s="248"/>
      <c r="O787" s="248"/>
    </row>
    <row r="788" spans="1:15" hidden="1">
      <c r="A788" s="247">
        <v>45782</v>
      </c>
      <c r="B788" s="248" t="s">
        <v>1584</v>
      </c>
      <c r="C788" s="248" t="s">
        <v>150</v>
      </c>
      <c r="D788" s="249" t="s">
        <v>115</v>
      </c>
      <c r="E788" s="250">
        <v>16000</v>
      </c>
      <c r="F788" s="250">
        <v>27.448557115129201</v>
      </c>
      <c r="G788" s="260">
        <v>579.64599999999996</v>
      </c>
      <c r="H788" s="252" t="s">
        <v>198</v>
      </c>
      <c r="I788" s="253" t="s">
        <v>1699</v>
      </c>
      <c r="J788" s="252" t="s">
        <v>96</v>
      </c>
      <c r="K788" s="268" t="s">
        <v>200</v>
      </c>
      <c r="L788" s="252" t="s">
        <v>153</v>
      </c>
      <c r="M788" s="248"/>
      <c r="N788" s="248"/>
      <c r="O788" s="248"/>
    </row>
    <row r="789" spans="1:15" hidden="1">
      <c r="A789" s="247">
        <v>45782</v>
      </c>
      <c r="B789" s="248" t="s">
        <v>1587</v>
      </c>
      <c r="C789" s="248" t="s">
        <v>150</v>
      </c>
      <c r="D789" s="249" t="s">
        <v>115</v>
      </c>
      <c r="E789" s="250">
        <v>5000</v>
      </c>
      <c r="F789" s="250">
        <v>8.5776740984778748</v>
      </c>
      <c r="G789" s="260">
        <v>579.64599999999996</v>
      </c>
      <c r="H789" s="252" t="s">
        <v>198</v>
      </c>
      <c r="I789" s="253" t="s">
        <v>1700</v>
      </c>
      <c r="J789" s="252" t="s">
        <v>96</v>
      </c>
      <c r="K789" s="268" t="s">
        <v>200</v>
      </c>
      <c r="L789" s="252" t="s">
        <v>153</v>
      </c>
      <c r="M789" s="248"/>
      <c r="N789" s="248"/>
      <c r="O789" s="248"/>
    </row>
    <row r="790" spans="1:15" hidden="1">
      <c r="A790" s="247">
        <v>45782</v>
      </c>
      <c r="B790" s="248" t="s">
        <v>1701</v>
      </c>
      <c r="C790" s="248" t="s">
        <v>125</v>
      </c>
      <c r="D790" s="249" t="s">
        <v>115</v>
      </c>
      <c r="E790" s="250">
        <v>30000</v>
      </c>
      <c r="F790" s="250">
        <v>51.466044590867249</v>
      </c>
      <c r="G790" s="251">
        <v>582.90899999999999</v>
      </c>
      <c r="H790" s="252" t="s">
        <v>198</v>
      </c>
      <c r="I790" s="257" t="s">
        <v>1698</v>
      </c>
      <c r="J790" s="252" t="s">
        <v>96</v>
      </c>
      <c r="K790" s="265" t="s">
        <v>1906</v>
      </c>
      <c r="L790" s="270" t="s">
        <v>153</v>
      </c>
      <c r="M790" s="248"/>
      <c r="N790" s="248"/>
      <c r="O790" s="248"/>
    </row>
    <row r="791" spans="1:15" hidden="1">
      <c r="A791" s="247">
        <v>45782</v>
      </c>
      <c r="B791" s="248" t="s">
        <v>1538</v>
      </c>
      <c r="C791" s="255" t="s">
        <v>2090</v>
      </c>
      <c r="D791" s="248" t="s">
        <v>116</v>
      </c>
      <c r="E791" s="250">
        <v>3225</v>
      </c>
      <c r="F791" s="250">
        <v>5.5325997935182292</v>
      </c>
      <c r="G791" s="260">
        <v>579.64599999999996</v>
      </c>
      <c r="H791" s="252" t="s">
        <v>581</v>
      </c>
      <c r="I791" s="252" t="s">
        <v>1730</v>
      </c>
      <c r="J791" s="252" t="s">
        <v>96</v>
      </c>
      <c r="K791" s="268" t="s">
        <v>200</v>
      </c>
      <c r="L791" s="252" t="s">
        <v>153</v>
      </c>
      <c r="M791" s="248"/>
      <c r="N791" s="248"/>
      <c r="O791" s="248"/>
    </row>
    <row r="792" spans="1:15" hidden="1">
      <c r="A792" s="247">
        <v>45782</v>
      </c>
      <c r="B792" s="248" t="s">
        <v>1744</v>
      </c>
      <c r="C792" s="248" t="s">
        <v>125</v>
      </c>
      <c r="D792" s="248" t="s">
        <v>116</v>
      </c>
      <c r="E792" s="250">
        <v>30000</v>
      </c>
      <c r="F792" s="250">
        <v>51.466044590867249</v>
      </c>
      <c r="G792" s="251">
        <v>582.90899999999999</v>
      </c>
      <c r="H792" s="252" t="s">
        <v>581</v>
      </c>
      <c r="I792" s="257" t="s">
        <v>1731</v>
      </c>
      <c r="J792" s="252" t="s">
        <v>96</v>
      </c>
      <c r="K792" s="265" t="s">
        <v>1906</v>
      </c>
      <c r="L792" s="270" t="s">
        <v>153</v>
      </c>
      <c r="M792" s="248"/>
      <c r="N792" s="248"/>
      <c r="O792" s="248"/>
    </row>
    <row r="793" spans="1:15" hidden="1">
      <c r="A793" s="247">
        <v>45782</v>
      </c>
      <c r="B793" s="248" t="s">
        <v>1586</v>
      </c>
      <c r="C793" s="248" t="s">
        <v>150</v>
      </c>
      <c r="D793" s="248" t="s">
        <v>1571</v>
      </c>
      <c r="E793" s="250">
        <v>21000</v>
      </c>
      <c r="F793" s="250">
        <v>36.026231213607076</v>
      </c>
      <c r="G793" s="260">
        <v>579.64599999999996</v>
      </c>
      <c r="H793" s="252" t="s">
        <v>581</v>
      </c>
      <c r="I793" s="252" t="s">
        <v>1745</v>
      </c>
      <c r="J793" s="252" t="s">
        <v>96</v>
      </c>
      <c r="K793" s="268" t="s">
        <v>200</v>
      </c>
      <c r="L793" s="252" t="s">
        <v>153</v>
      </c>
      <c r="M793" s="248"/>
      <c r="N793" s="248"/>
      <c r="O793" s="248"/>
    </row>
    <row r="794" spans="1:15" hidden="1">
      <c r="A794" s="247">
        <v>45782</v>
      </c>
      <c r="B794" s="248" t="s">
        <v>1568</v>
      </c>
      <c r="C794" s="248" t="s">
        <v>150</v>
      </c>
      <c r="D794" s="249" t="s">
        <v>440</v>
      </c>
      <c r="E794" s="250">
        <v>10000</v>
      </c>
      <c r="F794" s="250">
        <v>17.15534819695575</v>
      </c>
      <c r="G794" s="260">
        <v>579.64599999999996</v>
      </c>
      <c r="H794" s="252" t="s">
        <v>182</v>
      </c>
      <c r="I794" s="253" t="s">
        <v>1632</v>
      </c>
      <c r="J794" s="252" t="s">
        <v>96</v>
      </c>
      <c r="K794" s="268" t="s">
        <v>200</v>
      </c>
      <c r="L794" s="252" t="s">
        <v>153</v>
      </c>
      <c r="M794" s="248"/>
      <c r="N794" s="248"/>
      <c r="O794" s="248"/>
    </row>
    <row r="795" spans="1:15" hidden="1">
      <c r="A795" s="247">
        <v>45782</v>
      </c>
      <c r="B795" s="248" t="s">
        <v>1570</v>
      </c>
      <c r="C795" s="248" t="s">
        <v>150</v>
      </c>
      <c r="D795" s="249" t="s">
        <v>440</v>
      </c>
      <c r="E795" s="250">
        <v>16000</v>
      </c>
      <c r="F795" s="250">
        <v>27.448557115129201</v>
      </c>
      <c r="G795" s="260">
        <v>579.64599999999996</v>
      </c>
      <c r="H795" s="252" t="s">
        <v>182</v>
      </c>
      <c r="I795" s="253" t="s">
        <v>1633</v>
      </c>
      <c r="J795" s="252" t="s">
        <v>96</v>
      </c>
      <c r="K795" s="268" t="s">
        <v>200</v>
      </c>
      <c r="L795" s="252" t="s">
        <v>153</v>
      </c>
      <c r="M795" s="248"/>
      <c r="N795" s="248"/>
      <c r="O795" s="248"/>
    </row>
    <row r="796" spans="1:15" hidden="1">
      <c r="A796" s="247">
        <v>45782</v>
      </c>
      <c r="B796" s="248" t="s">
        <v>1568</v>
      </c>
      <c r="C796" s="248" t="s">
        <v>150</v>
      </c>
      <c r="D796" s="249" t="s">
        <v>440</v>
      </c>
      <c r="E796" s="250">
        <v>26000</v>
      </c>
      <c r="F796" s="250">
        <v>44.603905312084947</v>
      </c>
      <c r="G796" s="260">
        <v>579.64599999999996</v>
      </c>
      <c r="H796" s="252" t="s">
        <v>173</v>
      </c>
      <c r="I796" s="252" t="s">
        <v>1660</v>
      </c>
      <c r="J796" s="252" t="s">
        <v>96</v>
      </c>
      <c r="K796" s="268" t="s">
        <v>200</v>
      </c>
      <c r="L796" s="252" t="s">
        <v>153</v>
      </c>
      <c r="M796" s="248"/>
      <c r="N796" s="248"/>
      <c r="O796" s="248"/>
    </row>
    <row r="797" spans="1:15" hidden="1">
      <c r="A797" s="247">
        <v>45782</v>
      </c>
      <c r="B797" s="248" t="s">
        <v>1567</v>
      </c>
      <c r="C797" s="248" t="s">
        <v>150</v>
      </c>
      <c r="D797" s="249" t="s">
        <v>440</v>
      </c>
      <c r="E797" s="250">
        <v>26000</v>
      </c>
      <c r="F797" s="250">
        <v>44.603905312084947</v>
      </c>
      <c r="G797" s="260">
        <v>579.64599999999996</v>
      </c>
      <c r="H797" s="252" t="s">
        <v>321</v>
      </c>
      <c r="I797" s="252" t="s">
        <v>1687</v>
      </c>
      <c r="J797" s="252" t="s">
        <v>96</v>
      </c>
      <c r="K797" s="268" t="s">
        <v>200</v>
      </c>
      <c r="L797" s="252" t="s">
        <v>153</v>
      </c>
      <c r="M797" s="248"/>
      <c r="N797" s="248"/>
      <c r="O797" s="248"/>
    </row>
    <row r="798" spans="1:15" hidden="1">
      <c r="A798" s="247">
        <v>45782</v>
      </c>
      <c r="B798" s="248" t="s">
        <v>1584</v>
      </c>
      <c r="C798" s="248" t="s">
        <v>150</v>
      </c>
      <c r="D798" s="249" t="s">
        <v>115</v>
      </c>
      <c r="E798" s="250">
        <v>16000</v>
      </c>
      <c r="F798" s="250">
        <v>27.448557115129201</v>
      </c>
      <c r="G798" s="260">
        <v>579.64599999999996</v>
      </c>
      <c r="H798" s="252" t="s">
        <v>188</v>
      </c>
      <c r="I798" s="252" t="s">
        <v>1757</v>
      </c>
      <c r="J798" s="252" t="s">
        <v>96</v>
      </c>
      <c r="K798" s="268" t="s">
        <v>200</v>
      </c>
      <c r="L798" s="252" t="s">
        <v>153</v>
      </c>
      <c r="M798" s="248"/>
      <c r="N798" s="248"/>
      <c r="O798" s="248"/>
    </row>
    <row r="799" spans="1:15" hidden="1">
      <c r="A799" s="247">
        <v>45782</v>
      </c>
      <c r="B799" s="248" t="s">
        <v>1569</v>
      </c>
      <c r="C799" s="248" t="s">
        <v>150</v>
      </c>
      <c r="D799" s="249" t="s">
        <v>115</v>
      </c>
      <c r="E799" s="250">
        <v>5000</v>
      </c>
      <c r="F799" s="250">
        <v>8.5776740984778748</v>
      </c>
      <c r="G799" s="260">
        <v>579.64599999999996</v>
      </c>
      <c r="H799" s="252" t="s">
        <v>188</v>
      </c>
      <c r="I799" s="252" t="s">
        <v>1758</v>
      </c>
      <c r="J799" s="252" t="s">
        <v>96</v>
      </c>
      <c r="K799" s="268" t="s">
        <v>200</v>
      </c>
      <c r="L799" s="252" t="s">
        <v>153</v>
      </c>
      <c r="M799" s="248"/>
      <c r="N799" s="248"/>
      <c r="O799" s="248"/>
    </row>
    <row r="800" spans="1:15" hidden="1">
      <c r="A800" s="247">
        <v>45782</v>
      </c>
      <c r="B800" s="248" t="s">
        <v>1539</v>
      </c>
      <c r="C800" s="255" t="s">
        <v>2090</v>
      </c>
      <c r="D800" s="248" t="s">
        <v>116</v>
      </c>
      <c r="E800" s="250">
        <v>4960</v>
      </c>
      <c r="F800" s="250">
        <v>8.5090527056900527</v>
      </c>
      <c r="G800" s="260">
        <v>579.64599999999996</v>
      </c>
      <c r="H800" s="252" t="s">
        <v>188</v>
      </c>
      <c r="I800" s="252" t="s">
        <v>1750</v>
      </c>
      <c r="J800" s="252" t="s">
        <v>96</v>
      </c>
      <c r="K800" s="268" t="s">
        <v>200</v>
      </c>
      <c r="L800" s="252" t="s">
        <v>153</v>
      </c>
      <c r="M800" s="248"/>
      <c r="N800" s="248"/>
      <c r="O800" s="248"/>
    </row>
    <row r="801" spans="1:15" hidden="1">
      <c r="A801" s="247">
        <v>45782</v>
      </c>
      <c r="B801" s="248" t="s">
        <v>1849</v>
      </c>
      <c r="C801" s="248" t="s">
        <v>125</v>
      </c>
      <c r="D801" s="249" t="s">
        <v>115</v>
      </c>
      <c r="E801" s="250">
        <v>30000</v>
      </c>
      <c r="F801" s="250">
        <v>51.466044590867249</v>
      </c>
      <c r="G801" s="251">
        <v>582.90899999999999</v>
      </c>
      <c r="H801" s="252" t="s">
        <v>188</v>
      </c>
      <c r="I801" s="257" t="s">
        <v>1751</v>
      </c>
      <c r="J801" s="252" t="s">
        <v>96</v>
      </c>
      <c r="K801" s="265" t="s">
        <v>1906</v>
      </c>
      <c r="L801" s="270" t="s">
        <v>153</v>
      </c>
      <c r="M801" s="248"/>
      <c r="N801" s="248"/>
      <c r="O801" s="248"/>
    </row>
    <row r="802" spans="1:15" hidden="1">
      <c r="A802" s="247">
        <v>45782</v>
      </c>
      <c r="B802" s="248" t="s">
        <v>1896</v>
      </c>
      <c r="C802" s="248" t="s">
        <v>125</v>
      </c>
      <c r="D802" s="249" t="s">
        <v>115</v>
      </c>
      <c r="E802" s="250">
        <v>30000</v>
      </c>
      <c r="F802" s="250">
        <v>51.466044590867249</v>
      </c>
      <c r="G802" s="251">
        <v>582.90899999999999</v>
      </c>
      <c r="H802" s="252" t="s">
        <v>191</v>
      </c>
      <c r="I802" s="257" t="s">
        <v>1778</v>
      </c>
      <c r="J802" s="252" t="s">
        <v>96</v>
      </c>
      <c r="K802" s="265" t="s">
        <v>1906</v>
      </c>
      <c r="L802" s="270" t="s">
        <v>153</v>
      </c>
      <c r="M802" s="248"/>
      <c r="N802" s="248"/>
      <c r="O802" s="248"/>
    </row>
    <row r="803" spans="1:15" hidden="1">
      <c r="A803" s="247">
        <v>45782</v>
      </c>
      <c r="B803" s="248" t="s">
        <v>1897</v>
      </c>
      <c r="C803" s="248" t="s">
        <v>125</v>
      </c>
      <c r="D803" s="249" t="s">
        <v>115</v>
      </c>
      <c r="E803" s="250">
        <v>30000</v>
      </c>
      <c r="F803" s="250">
        <v>51.466044590867249</v>
      </c>
      <c r="G803" s="251">
        <v>582.90899999999999</v>
      </c>
      <c r="H803" s="252" t="s">
        <v>195</v>
      </c>
      <c r="I803" s="257" t="s">
        <v>1877</v>
      </c>
      <c r="J803" s="252" t="s">
        <v>96</v>
      </c>
      <c r="K803" s="265" t="s">
        <v>1906</v>
      </c>
      <c r="L803" s="270" t="s">
        <v>153</v>
      </c>
      <c r="M803" s="248"/>
      <c r="N803" s="248"/>
      <c r="O803" s="248"/>
    </row>
    <row r="804" spans="1:15" hidden="1">
      <c r="A804" s="247">
        <v>45782</v>
      </c>
      <c r="B804" s="248" t="s">
        <v>1584</v>
      </c>
      <c r="C804" s="248" t="s">
        <v>150</v>
      </c>
      <c r="D804" s="249" t="s">
        <v>115</v>
      </c>
      <c r="E804" s="250">
        <v>21000</v>
      </c>
      <c r="F804" s="250">
        <v>36.026231213607076</v>
      </c>
      <c r="G804" s="260">
        <v>579.64599999999996</v>
      </c>
      <c r="H804" s="252" t="s">
        <v>195</v>
      </c>
      <c r="I804" s="252" t="s">
        <v>1799</v>
      </c>
      <c r="J804" s="252" t="s">
        <v>96</v>
      </c>
      <c r="K804" s="268" t="s">
        <v>200</v>
      </c>
      <c r="L804" s="252" t="s">
        <v>153</v>
      </c>
      <c r="M804" s="248"/>
      <c r="N804" s="248"/>
      <c r="O804" s="248"/>
    </row>
    <row r="805" spans="1:15" hidden="1">
      <c r="A805" s="247">
        <v>45782</v>
      </c>
      <c r="B805" s="248" t="s">
        <v>1777</v>
      </c>
      <c r="C805" s="248" t="s">
        <v>125</v>
      </c>
      <c r="D805" s="249" t="s">
        <v>115</v>
      </c>
      <c r="E805" s="250">
        <v>30000</v>
      </c>
      <c r="F805" s="250">
        <v>51.466044590867249</v>
      </c>
      <c r="G805" s="251">
        <v>582.90899999999999</v>
      </c>
      <c r="H805" s="252" t="s">
        <v>185</v>
      </c>
      <c r="I805" s="257" t="s">
        <v>1774</v>
      </c>
      <c r="J805" s="252" t="s">
        <v>96</v>
      </c>
      <c r="K805" s="265" t="s">
        <v>1906</v>
      </c>
      <c r="L805" s="270" t="s">
        <v>153</v>
      </c>
      <c r="M805" s="248"/>
      <c r="N805" s="248"/>
      <c r="O805" s="248"/>
    </row>
    <row r="806" spans="1:15" hidden="1">
      <c r="A806" s="247">
        <v>45782</v>
      </c>
      <c r="B806" s="248" t="s">
        <v>1584</v>
      </c>
      <c r="C806" s="248" t="s">
        <v>150</v>
      </c>
      <c r="D806" s="249" t="s">
        <v>115</v>
      </c>
      <c r="E806" s="250">
        <v>21000</v>
      </c>
      <c r="F806" s="250">
        <v>36.026231213607076</v>
      </c>
      <c r="G806" s="260">
        <v>579.64599999999996</v>
      </c>
      <c r="H806" s="252" t="s">
        <v>185</v>
      </c>
      <c r="I806" s="252" t="s">
        <v>1852</v>
      </c>
      <c r="J806" s="252" t="s">
        <v>96</v>
      </c>
      <c r="K806" s="268" t="s">
        <v>200</v>
      </c>
      <c r="L806" s="252" t="s">
        <v>153</v>
      </c>
      <c r="M806" s="248"/>
      <c r="N806" s="248"/>
      <c r="O806" s="248"/>
    </row>
    <row r="807" spans="1:15" hidden="1">
      <c r="A807" s="247">
        <v>45783</v>
      </c>
      <c r="B807" s="248" t="s">
        <v>1519</v>
      </c>
      <c r="C807" s="248" t="s">
        <v>121</v>
      </c>
      <c r="D807" s="249" t="s">
        <v>115</v>
      </c>
      <c r="E807" s="250">
        <v>300000</v>
      </c>
      <c r="F807" s="250">
        <v>514.6604459086725</v>
      </c>
      <c r="G807" s="260">
        <v>579.64599999999996</v>
      </c>
      <c r="H807" s="252" t="s">
        <v>146</v>
      </c>
      <c r="I807" s="252" t="s">
        <v>1879</v>
      </c>
      <c r="J807" s="252" t="s">
        <v>96</v>
      </c>
      <c r="K807" s="268" t="s">
        <v>200</v>
      </c>
      <c r="L807" s="252" t="s">
        <v>153</v>
      </c>
      <c r="M807" s="248"/>
      <c r="N807" s="248"/>
      <c r="O807" s="248"/>
    </row>
    <row r="808" spans="1:15" hidden="1">
      <c r="A808" s="247">
        <v>45783</v>
      </c>
      <c r="B808" s="248" t="s">
        <v>1692</v>
      </c>
      <c r="C808" s="248" t="s">
        <v>125</v>
      </c>
      <c r="D808" s="248" t="s">
        <v>117</v>
      </c>
      <c r="E808" s="250">
        <v>174625</v>
      </c>
      <c r="F808" s="250">
        <v>299.57526788933978</v>
      </c>
      <c r="G808" s="251">
        <v>582.90899999999999</v>
      </c>
      <c r="H808" s="252" t="s">
        <v>151</v>
      </c>
      <c r="I808" s="271" t="s">
        <v>1693</v>
      </c>
      <c r="J808" s="252" t="s">
        <v>96</v>
      </c>
      <c r="K808" s="265" t="s">
        <v>1906</v>
      </c>
      <c r="L808" s="270" t="s">
        <v>153</v>
      </c>
      <c r="M808" s="248"/>
      <c r="N808" s="248"/>
      <c r="O808" s="248"/>
    </row>
    <row r="809" spans="1:15" hidden="1">
      <c r="A809" s="247">
        <v>45783</v>
      </c>
      <c r="B809" s="248" t="s">
        <v>4759</v>
      </c>
      <c r="C809" s="254" t="s">
        <v>175</v>
      </c>
      <c r="D809" s="249" t="s">
        <v>440</v>
      </c>
      <c r="E809" s="250">
        <v>45000</v>
      </c>
      <c r="F809" s="250">
        <v>77.199066886300869</v>
      </c>
      <c r="G809" s="260">
        <v>579.64599999999996</v>
      </c>
      <c r="H809" s="252" t="s">
        <v>182</v>
      </c>
      <c r="I809" s="253" t="s">
        <v>1610</v>
      </c>
      <c r="J809" s="252" t="s">
        <v>96</v>
      </c>
      <c r="K809" s="268" t="s">
        <v>200</v>
      </c>
      <c r="L809" s="252" t="s">
        <v>153</v>
      </c>
      <c r="M809" s="248"/>
      <c r="N809" s="248"/>
      <c r="O809" s="248"/>
    </row>
    <row r="810" spans="1:15" hidden="1">
      <c r="A810" s="247">
        <v>45783</v>
      </c>
      <c r="B810" s="248" t="s">
        <v>4758</v>
      </c>
      <c r="C810" s="248" t="s">
        <v>172</v>
      </c>
      <c r="D810" s="249" t="s">
        <v>440</v>
      </c>
      <c r="E810" s="250">
        <v>6000</v>
      </c>
      <c r="F810" s="250">
        <v>10.29320891817345</v>
      </c>
      <c r="G810" s="260">
        <v>579.64599999999996</v>
      </c>
      <c r="H810" s="252" t="s">
        <v>182</v>
      </c>
      <c r="I810" s="253" t="s">
        <v>1611</v>
      </c>
      <c r="J810" s="252" t="s">
        <v>96</v>
      </c>
      <c r="K810" s="268" t="s">
        <v>200</v>
      </c>
      <c r="L810" s="252" t="s">
        <v>153</v>
      </c>
      <c r="M810" s="248"/>
      <c r="N810" s="248"/>
      <c r="O810" s="248"/>
    </row>
    <row r="811" spans="1:15" hidden="1">
      <c r="A811" s="247">
        <v>45783</v>
      </c>
      <c r="B811" s="248" t="s">
        <v>4754</v>
      </c>
      <c r="C811" s="254" t="s">
        <v>175</v>
      </c>
      <c r="D811" s="249" t="s">
        <v>440</v>
      </c>
      <c r="E811" s="250">
        <v>45000</v>
      </c>
      <c r="F811" s="250">
        <v>77.199066886300869</v>
      </c>
      <c r="G811" s="260">
        <v>579.64599999999996</v>
      </c>
      <c r="H811" s="252" t="s">
        <v>173</v>
      </c>
      <c r="I811" s="252" t="s">
        <v>1640</v>
      </c>
      <c r="J811" s="252" t="s">
        <v>96</v>
      </c>
      <c r="K811" s="268" t="s">
        <v>200</v>
      </c>
      <c r="L811" s="252" t="s">
        <v>153</v>
      </c>
      <c r="M811" s="248"/>
      <c r="N811" s="248"/>
      <c r="O811" s="248"/>
    </row>
    <row r="812" spans="1:15" hidden="1">
      <c r="A812" s="247">
        <v>45783</v>
      </c>
      <c r="B812" s="248" t="s">
        <v>4837</v>
      </c>
      <c r="C812" s="248" t="s">
        <v>172</v>
      </c>
      <c r="D812" s="249" t="s">
        <v>440</v>
      </c>
      <c r="E812" s="250">
        <v>5000</v>
      </c>
      <c r="F812" s="250">
        <v>8.5776740984778748</v>
      </c>
      <c r="G812" s="260">
        <v>579.64599999999996</v>
      </c>
      <c r="H812" s="252" t="s">
        <v>173</v>
      </c>
      <c r="I812" s="252" t="s">
        <v>1641</v>
      </c>
      <c r="J812" s="252" t="s">
        <v>96</v>
      </c>
      <c r="K812" s="268" t="s">
        <v>200</v>
      </c>
      <c r="L812" s="252" t="s">
        <v>153</v>
      </c>
      <c r="M812" s="248"/>
      <c r="N812" s="248"/>
      <c r="O812" s="248"/>
    </row>
    <row r="813" spans="1:15" hidden="1">
      <c r="A813" s="247">
        <v>45783</v>
      </c>
      <c r="B813" s="248" t="s">
        <v>4838</v>
      </c>
      <c r="C813" s="254" t="s">
        <v>175</v>
      </c>
      <c r="D813" s="249" t="s">
        <v>440</v>
      </c>
      <c r="E813" s="250">
        <v>45000</v>
      </c>
      <c r="F813" s="250">
        <v>77.199066886300869</v>
      </c>
      <c r="G813" s="260">
        <v>579.64599999999996</v>
      </c>
      <c r="H813" s="252" t="s">
        <v>321</v>
      </c>
      <c r="I813" s="252" t="s">
        <v>1666</v>
      </c>
      <c r="J813" s="252" t="s">
        <v>96</v>
      </c>
      <c r="K813" s="268" t="s">
        <v>200</v>
      </c>
      <c r="L813" s="252" t="s">
        <v>153</v>
      </c>
      <c r="M813" s="248"/>
      <c r="N813" s="248"/>
      <c r="O813" s="248"/>
    </row>
    <row r="814" spans="1:15" hidden="1">
      <c r="A814" s="247">
        <v>45783</v>
      </c>
      <c r="B814" s="248" t="s">
        <v>4752</v>
      </c>
      <c r="C814" s="248" t="s">
        <v>172</v>
      </c>
      <c r="D814" s="249" t="s">
        <v>440</v>
      </c>
      <c r="E814" s="250">
        <v>10000</v>
      </c>
      <c r="F814" s="250">
        <v>17.15534819695575</v>
      </c>
      <c r="G814" s="260">
        <v>579.64599999999996</v>
      </c>
      <c r="H814" s="252" t="s">
        <v>321</v>
      </c>
      <c r="I814" s="252" t="s">
        <v>1667</v>
      </c>
      <c r="J814" s="252" t="s">
        <v>96</v>
      </c>
      <c r="K814" s="268" t="s">
        <v>200</v>
      </c>
      <c r="L814" s="252" t="s">
        <v>153</v>
      </c>
      <c r="M814" s="248"/>
      <c r="N814" s="248"/>
      <c r="O814" s="248"/>
    </row>
    <row r="815" spans="1:15" hidden="1">
      <c r="A815" s="247">
        <v>45783</v>
      </c>
      <c r="B815" s="248" t="s">
        <v>1540</v>
      </c>
      <c r="C815" s="248" t="s">
        <v>172</v>
      </c>
      <c r="D815" s="249" t="s">
        <v>115</v>
      </c>
      <c r="E815" s="250">
        <v>28000</v>
      </c>
      <c r="F815" s="250">
        <v>48.034974951476102</v>
      </c>
      <c r="G815" s="260">
        <v>579.64599999999996</v>
      </c>
      <c r="H815" s="252" t="s">
        <v>188</v>
      </c>
      <c r="I815" s="252" t="s">
        <v>1845</v>
      </c>
      <c r="J815" s="252" t="s">
        <v>96</v>
      </c>
      <c r="K815" s="268" t="s">
        <v>200</v>
      </c>
      <c r="L815" s="252" t="s">
        <v>153</v>
      </c>
      <c r="M815" s="248"/>
      <c r="N815" s="248"/>
      <c r="O815" s="248"/>
    </row>
    <row r="816" spans="1:15" hidden="1">
      <c r="A816" s="247">
        <v>45783</v>
      </c>
      <c r="B816" s="248" t="s">
        <v>1541</v>
      </c>
      <c r="C816" s="254" t="s">
        <v>175</v>
      </c>
      <c r="D816" s="249" t="s">
        <v>115</v>
      </c>
      <c r="E816" s="250">
        <v>75000</v>
      </c>
      <c r="F816" s="250">
        <v>128.66511147716813</v>
      </c>
      <c r="G816" s="260">
        <v>579.64599999999996</v>
      </c>
      <c r="H816" s="252" t="s">
        <v>188</v>
      </c>
      <c r="I816" s="252" t="s">
        <v>1848</v>
      </c>
      <c r="J816" s="252" t="s">
        <v>96</v>
      </c>
      <c r="K816" s="268" t="s">
        <v>200</v>
      </c>
      <c r="L816" s="252" t="s">
        <v>153</v>
      </c>
      <c r="M816" s="248"/>
      <c r="N816" s="248"/>
      <c r="O816" s="248"/>
    </row>
    <row r="817" spans="1:15" hidden="1">
      <c r="A817" s="247">
        <v>45783</v>
      </c>
      <c r="B817" s="248" t="s">
        <v>1584</v>
      </c>
      <c r="C817" s="248" t="s">
        <v>150</v>
      </c>
      <c r="D817" s="249" t="s">
        <v>115</v>
      </c>
      <c r="E817" s="250">
        <v>21000</v>
      </c>
      <c r="F817" s="250">
        <v>36.026231213607076</v>
      </c>
      <c r="G817" s="260">
        <v>579.64599999999996</v>
      </c>
      <c r="H817" s="252" t="s">
        <v>191</v>
      </c>
      <c r="I817" s="252" t="s">
        <v>1782</v>
      </c>
      <c r="J817" s="252" t="s">
        <v>96</v>
      </c>
      <c r="K817" s="268" t="s">
        <v>200</v>
      </c>
      <c r="L817" s="252" t="s">
        <v>153</v>
      </c>
      <c r="M817" s="248"/>
      <c r="N817" s="248"/>
      <c r="O817" s="248"/>
    </row>
    <row r="818" spans="1:15" hidden="1">
      <c r="A818" s="247">
        <v>45783</v>
      </c>
      <c r="B818" s="248" t="s">
        <v>1090</v>
      </c>
      <c r="C818" s="248" t="s">
        <v>194</v>
      </c>
      <c r="D818" s="249" t="s">
        <v>115</v>
      </c>
      <c r="E818" s="250">
        <v>10000</v>
      </c>
      <c r="F818" s="250">
        <v>17.15534819695575</v>
      </c>
      <c r="G818" s="260">
        <v>579.64599999999996</v>
      </c>
      <c r="H818" s="252" t="s">
        <v>195</v>
      </c>
      <c r="I818" s="252" t="s">
        <v>1800</v>
      </c>
      <c r="J818" s="252" t="s">
        <v>96</v>
      </c>
      <c r="K818" s="268" t="s">
        <v>200</v>
      </c>
      <c r="L818" s="252" t="s">
        <v>153</v>
      </c>
      <c r="M818" s="248"/>
      <c r="N818" s="248"/>
      <c r="O818" s="248"/>
    </row>
    <row r="819" spans="1:15" hidden="1">
      <c r="A819" s="247">
        <v>45783</v>
      </c>
      <c r="B819" s="248" t="s">
        <v>1853</v>
      </c>
      <c r="C819" s="248" t="s">
        <v>172</v>
      </c>
      <c r="D819" s="249" t="s">
        <v>115</v>
      </c>
      <c r="E819" s="250">
        <v>10000</v>
      </c>
      <c r="F819" s="250">
        <v>17.15534819695575</v>
      </c>
      <c r="G819" s="260">
        <v>579.64599999999996</v>
      </c>
      <c r="H819" s="252" t="s">
        <v>185</v>
      </c>
      <c r="I819" s="252" t="s">
        <v>1854</v>
      </c>
      <c r="J819" s="252" t="s">
        <v>96</v>
      </c>
      <c r="K819" s="268" t="s">
        <v>200</v>
      </c>
      <c r="L819" s="252" t="s">
        <v>153</v>
      </c>
      <c r="M819" s="248"/>
      <c r="N819" s="248"/>
      <c r="O819" s="248"/>
    </row>
    <row r="820" spans="1:15" hidden="1">
      <c r="A820" s="247">
        <v>45784</v>
      </c>
      <c r="B820" s="248" t="s">
        <v>1520</v>
      </c>
      <c r="C820" s="248" t="s">
        <v>302</v>
      </c>
      <c r="D820" s="248" t="s">
        <v>116</v>
      </c>
      <c r="E820" s="250">
        <v>260000</v>
      </c>
      <c r="F820" s="250">
        <v>446.03905312084947</v>
      </c>
      <c r="G820" s="260">
        <v>579.64599999999996</v>
      </c>
      <c r="H820" s="252" t="s">
        <v>146</v>
      </c>
      <c r="I820" s="252" t="s">
        <v>1880</v>
      </c>
      <c r="J820" s="252" t="s">
        <v>96</v>
      </c>
      <c r="K820" s="268" t="s">
        <v>200</v>
      </c>
      <c r="L820" s="252" t="s">
        <v>153</v>
      </c>
      <c r="M820" s="248"/>
      <c r="N820" s="248"/>
      <c r="O820" s="248"/>
    </row>
    <row r="821" spans="1:15" hidden="1">
      <c r="A821" s="247">
        <v>45784</v>
      </c>
      <c r="B821" s="248" t="s">
        <v>550</v>
      </c>
      <c r="C821" s="254" t="s">
        <v>1168</v>
      </c>
      <c r="D821" s="248" t="s">
        <v>116</v>
      </c>
      <c r="E821" s="250">
        <v>47400</v>
      </c>
      <c r="F821" s="250">
        <v>81.316350453570251</v>
      </c>
      <c r="G821" s="260">
        <v>579.64599999999996</v>
      </c>
      <c r="H821" s="252" t="s">
        <v>581</v>
      </c>
      <c r="I821" s="252" t="s">
        <v>1732</v>
      </c>
      <c r="J821" s="252" t="s">
        <v>96</v>
      </c>
      <c r="K821" s="268" t="s">
        <v>200</v>
      </c>
      <c r="L821" s="252" t="s">
        <v>153</v>
      </c>
      <c r="M821" s="248"/>
      <c r="N821" s="248"/>
      <c r="O821" s="248"/>
    </row>
    <row r="822" spans="1:15" hidden="1">
      <c r="A822" s="247">
        <v>45784</v>
      </c>
      <c r="B822" s="248" t="s">
        <v>1801</v>
      </c>
      <c r="C822" s="254" t="s">
        <v>175</v>
      </c>
      <c r="D822" s="249" t="s">
        <v>115</v>
      </c>
      <c r="E822" s="250">
        <v>30000</v>
      </c>
      <c r="F822" s="250">
        <v>51.466044590867249</v>
      </c>
      <c r="G822" s="260">
        <v>579.64599999999996</v>
      </c>
      <c r="H822" s="252" t="s">
        <v>195</v>
      </c>
      <c r="I822" s="252" t="s">
        <v>1802</v>
      </c>
      <c r="J822" s="252" t="s">
        <v>96</v>
      </c>
      <c r="K822" s="268" t="s">
        <v>200</v>
      </c>
      <c r="L822" s="252" t="s">
        <v>153</v>
      </c>
      <c r="M822" s="248"/>
      <c r="N822" s="248"/>
      <c r="O822" s="248"/>
    </row>
    <row r="823" spans="1:15" hidden="1">
      <c r="A823" s="247">
        <v>45784</v>
      </c>
      <c r="B823" s="248" t="s">
        <v>1855</v>
      </c>
      <c r="C823" s="254" t="s">
        <v>175</v>
      </c>
      <c r="D823" s="249" t="s">
        <v>115</v>
      </c>
      <c r="E823" s="250">
        <v>30000</v>
      </c>
      <c r="F823" s="250">
        <v>51.466044590867249</v>
      </c>
      <c r="G823" s="260">
        <v>579.64599999999996</v>
      </c>
      <c r="H823" s="252" t="s">
        <v>185</v>
      </c>
      <c r="I823" s="252" t="s">
        <v>1856</v>
      </c>
      <c r="J823" s="252" t="s">
        <v>96</v>
      </c>
      <c r="K823" s="268" t="s">
        <v>200</v>
      </c>
      <c r="L823" s="252" t="s">
        <v>153</v>
      </c>
      <c r="M823" s="248"/>
      <c r="N823" s="248"/>
      <c r="O823" s="248"/>
    </row>
    <row r="824" spans="1:15" hidden="1">
      <c r="A824" s="247">
        <v>45785</v>
      </c>
      <c r="B824" s="248" t="s">
        <v>4759</v>
      </c>
      <c r="C824" s="254" t="s">
        <v>175</v>
      </c>
      <c r="D824" s="249" t="s">
        <v>440</v>
      </c>
      <c r="E824" s="250">
        <v>30000</v>
      </c>
      <c r="F824" s="250">
        <v>51.466044590867249</v>
      </c>
      <c r="G824" s="260">
        <v>579.64599999999996</v>
      </c>
      <c r="H824" s="252" t="s">
        <v>182</v>
      </c>
      <c r="I824" s="253" t="s">
        <v>1612</v>
      </c>
      <c r="J824" s="252" t="s">
        <v>96</v>
      </c>
      <c r="K824" s="268" t="s">
        <v>200</v>
      </c>
      <c r="L824" s="252" t="s">
        <v>153</v>
      </c>
      <c r="M824" s="248"/>
      <c r="N824" s="248"/>
      <c r="O824" s="248"/>
    </row>
    <row r="825" spans="1:15" hidden="1">
      <c r="A825" s="247">
        <v>45785</v>
      </c>
      <c r="B825" s="248" t="s">
        <v>4776</v>
      </c>
      <c r="C825" s="248" t="s">
        <v>172</v>
      </c>
      <c r="D825" s="249" t="s">
        <v>440</v>
      </c>
      <c r="E825" s="250">
        <v>7000</v>
      </c>
      <c r="F825" s="250">
        <v>12.008743737869025</v>
      </c>
      <c r="G825" s="260">
        <v>579.64599999999996</v>
      </c>
      <c r="H825" s="252" t="s">
        <v>182</v>
      </c>
      <c r="I825" s="253" t="s">
        <v>1613</v>
      </c>
      <c r="J825" s="252" t="s">
        <v>96</v>
      </c>
      <c r="K825" s="268" t="s">
        <v>200</v>
      </c>
      <c r="L825" s="252" t="s">
        <v>153</v>
      </c>
      <c r="M825" s="248"/>
      <c r="N825" s="248"/>
      <c r="O825" s="248"/>
    </row>
    <row r="826" spans="1:15" hidden="1">
      <c r="A826" s="247">
        <v>45785</v>
      </c>
      <c r="B826" s="248" t="s">
        <v>4754</v>
      </c>
      <c r="C826" s="254" t="s">
        <v>175</v>
      </c>
      <c r="D826" s="249" t="s">
        <v>440</v>
      </c>
      <c r="E826" s="250">
        <v>30000</v>
      </c>
      <c r="F826" s="250">
        <v>51.466044590867249</v>
      </c>
      <c r="G826" s="260">
        <v>579.64599999999996</v>
      </c>
      <c r="H826" s="252" t="s">
        <v>173</v>
      </c>
      <c r="I826" s="252" t="s">
        <v>1642</v>
      </c>
      <c r="J826" s="252" t="s">
        <v>96</v>
      </c>
      <c r="K826" s="268" t="s">
        <v>200</v>
      </c>
      <c r="L826" s="252" t="s">
        <v>153</v>
      </c>
      <c r="M826" s="248"/>
      <c r="N826" s="248"/>
      <c r="O826" s="248"/>
    </row>
    <row r="827" spans="1:15" hidden="1">
      <c r="A827" s="247">
        <v>45785</v>
      </c>
      <c r="B827" s="248" t="s">
        <v>4839</v>
      </c>
      <c r="C827" s="248" t="s">
        <v>172</v>
      </c>
      <c r="D827" s="249" t="s">
        <v>440</v>
      </c>
      <c r="E827" s="250">
        <v>7000</v>
      </c>
      <c r="F827" s="250">
        <v>12.008743737869025</v>
      </c>
      <c r="G827" s="260">
        <v>579.64599999999996</v>
      </c>
      <c r="H827" s="252" t="s">
        <v>173</v>
      </c>
      <c r="I827" s="252" t="s">
        <v>1643</v>
      </c>
      <c r="J827" s="252" t="s">
        <v>96</v>
      </c>
      <c r="K827" s="268" t="s">
        <v>200</v>
      </c>
      <c r="L827" s="252" t="s">
        <v>153</v>
      </c>
      <c r="M827" s="248"/>
      <c r="N827" s="248"/>
      <c r="O827" s="248"/>
    </row>
    <row r="828" spans="1:15" hidden="1">
      <c r="A828" s="247">
        <v>45785</v>
      </c>
      <c r="B828" s="248" t="s">
        <v>4751</v>
      </c>
      <c r="C828" s="254" t="s">
        <v>175</v>
      </c>
      <c r="D828" s="249" t="s">
        <v>440</v>
      </c>
      <c r="E828" s="250">
        <v>30000</v>
      </c>
      <c r="F828" s="250">
        <v>51.466044590867249</v>
      </c>
      <c r="G828" s="260">
        <v>579.64599999999996</v>
      </c>
      <c r="H828" s="252" t="s">
        <v>321</v>
      </c>
      <c r="I828" s="252" t="s">
        <v>1668</v>
      </c>
      <c r="J828" s="252" t="s">
        <v>96</v>
      </c>
      <c r="K828" s="268" t="s">
        <v>200</v>
      </c>
      <c r="L828" s="252" t="s">
        <v>153</v>
      </c>
      <c r="M828" s="248"/>
      <c r="N828" s="248"/>
      <c r="O828" s="248"/>
    </row>
    <row r="829" spans="1:15" hidden="1">
      <c r="A829" s="247">
        <v>45785</v>
      </c>
      <c r="B829" s="248" t="s">
        <v>4752</v>
      </c>
      <c r="C829" s="248" t="s">
        <v>172</v>
      </c>
      <c r="D829" s="249" t="s">
        <v>440</v>
      </c>
      <c r="E829" s="250">
        <v>10000</v>
      </c>
      <c r="F829" s="250">
        <v>17.15534819695575</v>
      </c>
      <c r="G829" s="260">
        <v>579.64599999999996</v>
      </c>
      <c r="H829" s="252" t="s">
        <v>321</v>
      </c>
      <c r="I829" s="252" t="s">
        <v>1669</v>
      </c>
      <c r="J829" s="252" t="s">
        <v>96</v>
      </c>
      <c r="K829" s="268" t="s">
        <v>200</v>
      </c>
      <c r="L829" s="252" t="s">
        <v>153</v>
      </c>
      <c r="M829" s="248"/>
      <c r="N829" s="248"/>
      <c r="O829" s="248"/>
    </row>
    <row r="830" spans="1:15" hidden="1">
      <c r="A830" s="247">
        <v>45785</v>
      </c>
      <c r="B830" s="248" t="s">
        <v>4840</v>
      </c>
      <c r="C830" s="248" t="s">
        <v>172</v>
      </c>
      <c r="D830" s="249" t="s">
        <v>440</v>
      </c>
      <c r="E830" s="250">
        <v>4000</v>
      </c>
      <c r="F830" s="250">
        <v>6.8621392787823003</v>
      </c>
      <c r="G830" s="260">
        <v>579.64599999999996</v>
      </c>
      <c r="H830" s="252" t="s">
        <v>321</v>
      </c>
      <c r="I830" s="252" t="s">
        <v>1670</v>
      </c>
      <c r="J830" s="252" t="s">
        <v>96</v>
      </c>
      <c r="K830" s="268" t="s">
        <v>200</v>
      </c>
      <c r="L830" s="252" t="s">
        <v>153</v>
      </c>
      <c r="M830" s="248"/>
      <c r="N830" s="248"/>
      <c r="O830" s="248"/>
    </row>
    <row r="831" spans="1:15" hidden="1">
      <c r="A831" s="247">
        <v>45786</v>
      </c>
      <c r="B831" s="248" t="s">
        <v>1473</v>
      </c>
      <c r="C831" s="248" t="s">
        <v>121</v>
      </c>
      <c r="D831" s="249" t="s">
        <v>115</v>
      </c>
      <c r="E831" s="250">
        <v>150000</v>
      </c>
      <c r="F831" s="250">
        <v>257.33022295433625</v>
      </c>
      <c r="G831" s="260">
        <v>579.64599999999996</v>
      </c>
      <c r="H831" s="252" t="s">
        <v>146</v>
      </c>
      <c r="I831" s="252" t="s">
        <v>1881</v>
      </c>
      <c r="J831" s="252" t="s">
        <v>96</v>
      </c>
      <c r="K831" s="268" t="s">
        <v>200</v>
      </c>
      <c r="L831" s="252" t="s">
        <v>153</v>
      </c>
      <c r="M831" s="248"/>
      <c r="N831" s="248"/>
      <c r="O831" s="248"/>
    </row>
    <row r="832" spans="1:15" hidden="1">
      <c r="A832" s="247">
        <v>45786</v>
      </c>
      <c r="B832" s="248" t="s">
        <v>4758</v>
      </c>
      <c r="C832" s="248" t="s">
        <v>172</v>
      </c>
      <c r="D832" s="249" t="s">
        <v>440</v>
      </c>
      <c r="E832" s="250">
        <v>10000</v>
      </c>
      <c r="F832" s="250">
        <v>17.15534819695575</v>
      </c>
      <c r="G832" s="260">
        <v>579.64599999999996</v>
      </c>
      <c r="H832" s="252" t="s">
        <v>182</v>
      </c>
      <c r="I832" s="253" t="s">
        <v>1614</v>
      </c>
      <c r="J832" s="252" t="s">
        <v>96</v>
      </c>
      <c r="K832" s="268" t="s">
        <v>200</v>
      </c>
      <c r="L832" s="252" t="s">
        <v>153</v>
      </c>
      <c r="M832" s="248"/>
      <c r="N832" s="248"/>
      <c r="O832" s="248"/>
    </row>
    <row r="833" spans="1:15" hidden="1">
      <c r="A833" s="247">
        <v>45786</v>
      </c>
      <c r="B833" s="248" t="s">
        <v>1542</v>
      </c>
      <c r="C833" s="255" t="s">
        <v>2090</v>
      </c>
      <c r="D833" s="248" t="s">
        <v>116</v>
      </c>
      <c r="E833" s="250">
        <v>3270</v>
      </c>
      <c r="F833" s="250">
        <v>5.6097988604045304</v>
      </c>
      <c r="G833" s="260">
        <v>579.64599999999996</v>
      </c>
      <c r="H833" s="252" t="s">
        <v>191</v>
      </c>
      <c r="I833" s="252" t="s">
        <v>1779</v>
      </c>
      <c r="J833" s="252" t="s">
        <v>96</v>
      </c>
      <c r="K833" s="268" t="s">
        <v>200</v>
      </c>
      <c r="L833" s="252" t="s">
        <v>153</v>
      </c>
      <c r="M833" s="248"/>
      <c r="N833" s="248"/>
      <c r="O833" s="248"/>
    </row>
    <row r="834" spans="1:15" hidden="1">
      <c r="A834" s="247">
        <v>45786</v>
      </c>
      <c r="B834" s="248" t="s">
        <v>1543</v>
      </c>
      <c r="C834" s="254" t="s">
        <v>124</v>
      </c>
      <c r="D834" s="248" t="s">
        <v>116</v>
      </c>
      <c r="E834" s="250">
        <v>68737</v>
      </c>
      <c r="F834" s="250">
        <v>117.92071690141474</v>
      </c>
      <c r="G834" s="260">
        <v>579.64599999999996</v>
      </c>
      <c r="H834" s="252" t="s">
        <v>191</v>
      </c>
      <c r="I834" s="252" t="s">
        <v>1780</v>
      </c>
      <c r="J834" s="252" t="s">
        <v>96</v>
      </c>
      <c r="K834" s="268" t="s">
        <v>200</v>
      </c>
      <c r="L834" s="252" t="s">
        <v>153</v>
      </c>
      <c r="M834" s="248"/>
      <c r="N834" s="248"/>
      <c r="O834" s="248"/>
    </row>
    <row r="835" spans="1:15" hidden="1">
      <c r="A835" s="247">
        <v>45786</v>
      </c>
      <c r="B835" s="248" t="s">
        <v>1803</v>
      </c>
      <c r="C835" s="248" t="s">
        <v>194</v>
      </c>
      <c r="D835" s="249" t="s">
        <v>115</v>
      </c>
      <c r="E835" s="250">
        <v>10000</v>
      </c>
      <c r="F835" s="250">
        <v>17.15534819695575</v>
      </c>
      <c r="G835" s="260">
        <v>579.64599999999996</v>
      </c>
      <c r="H835" s="252" t="s">
        <v>195</v>
      </c>
      <c r="I835" s="252" t="s">
        <v>1804</v>
      </c>
      <c r="J835" s="252" t="s">
        <v>96</v>
      </c>
      <c r="K835" s="268" t="s">
        <v>200</v>
      </c>
      <c r="L835" s="252" t="s">
        <v>153</v>
      </c>
      <c r="M835" s="248"/>
      <c r="N835" s="248"/>
      <c r="O835" s="248"/>
    </row>
    <row r="836" spans="1:15" hidden="1">
      <c r="A836" s="247">
        <v>45786</v>
      </c>
      <c r="B836" s="248" t="s">
        <v>1857</v>
      </c>
      <c r="C836" s="248" t="s">
        <v>1815</v>
      </c>
      <c r="D836" s="249" t="s">
        <v>115</v>
      </c>
      <c r="E836" s="250">
        <v>20000</v>
      </c>
      <c r="F836" s="250">
        <v>34.310696393911499</v>
      </c>
      <c r="G836" s="260">
        <v>579.64599999999996</v>
      </c>
      <c r="H836" s="252" t="s">
        <v>185</v>
      </c>
      <c r="I836" s="252" t="s">
        <v>1858</v>
      </c>
      <c r="J836" s="252" t="s">
        <v>96</v>
      </c>
      <c r="K836" s="268" t="s">
        <v>200</v>
      </c>
      <c r="L836" s="252" t="s">
        <v>153</v>
      </c>
      <c r="M836" s="248"/>
      <c r="N836" s="248"/>
      <c r="O836" s="248"/>
    </row>
    <row r="837" spans="1:15" hidden="1">
      <c r="A837" s="247">
        <v>45786</v>
      </c>
      <c r="B837" s="248" t="s">
        <v>1859</v>
      </c>
      <c r="C837" s="248" t="s">
        <v>172</v>
      </c>
      <c r="D837" s="249" t="s">
        <v>115</v>
      </c>
      <c r="E837" s="250">
        <v>10000</v>
      </c>
      <c r="F837" s="250">
        <v>17.15534819695575</v>
      </c>
      <c r="G837" s="260">
        <v>579.64599999999996</v>
      </c>
      <c r="H837" s="252" t="s">
        <v>185</v>
      </c>
      <c r="I837" s="252" t="s">
        <v>1860</v>
      </c>
      <c r="J837" s="252" t="s">
        <v>96</v>
      </c>
      <c r="K837" s="268" t="s">
        <v>200</v>
      </c>
      <c r="L837" s="252" t="s">
        <v>153</v>
      </c>
      <c r="M837" s="248"/>
      <c r="N837" s="248"/>
      <c r="O837" s="248"/>
    </row>
    <row r="838" spans="1:15" hidden="1">
      <c r="A838" s="247">
        <v>45787</v>
      </c>
      <c r="B838" s="248" t="s">
        <v>4759</v>
      </c>
      <c r="C838" s="254" t="s">
        <v>175</v>
      </c>
      <c r="D838" s="249" t="s">
        <v>440</v>
      </c>
      <c r="E838" s="250">
        <v>30000</v>
      </c>
      <c r="F838" s="250">
        <v>51.466044590867249</v>
      </c>
      <c r="G838" s="260">
        <v>579.64599999999996</v>
      </c>
      <c r="H838" s="252" t="s">
        <v>182</v>
      </c>
      <c r="I838" s="253" t="s">
        <v>1615</v>
      </c>
      <c r="J838" s="252" t="s">
        <v>96</v>
      </c>
      <c r="K838" s="268" t="s">
        <v>200</v>
      </c>
      <c r="L838" s="252" t="s">
        <v>153</v>
      </c>
      <c r="M838" s="248"/>
      <c r="N838" s="248"/>
      <c r="O838" s="248"/>
    </row>
    <row r="839" spans="1:15" hidden="1">
      <c r="A839" s="247">
        <v>45787</v>
      </c>
      <c r="B839" s="248" t="s">
        <v>4754</v>
      </c>
      <c r="C839" s="254" t="s">
        <v>175</v>
      </c>
      <c r="D839" s="249" t="s">
        <v>440</v>
      </c>
      <c r="E839" s="250">
        <v>30000</v>
      </c>
      <c r="F839" s="250">
        <v>51.466044590867249</v>
      </c>
      <c r="G839" s="260">
        <v>579.64599999999996</v>
      </c>
      <c r="H839" s="252" t="s">
        <v>173</v>
      </c>
      <c r="I839" s="252" t="s">
        <v>1644</v>
      </c>
      <c r="J839" s="252" t="s">
        <v>96</v>
      </c>
      <c r="K839" s="268" t="s">
        <v>200</v>
      </c>
      <c r="L839" s="252" t="s">
        <v>153</v>
      </c>
      <c r="M839" s="248"/>
      <c r="N839" s="248"/>
      <c r="O839" s="248"/>
    </row>
    <row r="840" spans="1:15" hidden="1">
      <c r="A840" s="247">
        <v>45787</v>
      </c>
      <c r="B840" s="248" t="s">
        <v>4833</v>
      </c>
      <c r="C840" s="248" t="s">
        <v>172</v>
      </c>
      <c r="D840" s="249" t="s">
        <v>440</v>
      </c>
      <c r="E840" s="250">
        <v>12000</v>
      </c>
      <c r="F840" s="250">
        <v>20.5864178363469</v>
      </c>
      <c r="G840" s="260">
        <v>579.64599999999996</v>
      </c>
      <c r="H840" s="252" t="s">
        <v>173</v>
      </c>
      <c r="I840" s="252" t="s">
        <v>1645</v>
      </c>
      <c r="J840" s="252" t="s">
        <v>96</v>
      </c>
      <c r="K840" s="268" t="s">
        <v>200</v>
      </c>
      <c r="L840" s="252" t="s">
        <v>153</v>
      </c>
      <c r="M840" s="248"/>
      <c r="N840" s="248"/>
      <c r="O840" s="248"/>
    </row>
    <row r="841" spans="1:15" hidden="1">
      <c r="A841" s="247">
        <v>45787</v>
      </c>
      <c r="B841" s="248" t="s">
        <v>4835</v>
      </c>
      <c r="C841" s="254" t="s">
        <v>175</v>
      </c>
      <c r="D841" s="249" t="s">
        <v>440</v>
      </c>
      <c r="E841" s="250">
        <v>30000</v>
      </c>
      <c r="F841" s="250">
        <v>51.466044590867249</v>
      </c>
      <c r="G841" s="260">
        <v>579.64599999999996</v>
      </c>
      <c r="H841" s="252" t="s">
        <v>321</v>
      </c>
      <c r="I841" s="252" t="s">
        <v>1671</v>
      </c>
      <c r="J841" s="252" t="s">
        <v>96</v>
      </c>
      <c r="K841" s="268" t="s">
        <v>200</v>
      </c>
      <c r="L841" s="252" t="s">
        <v>153</v>
      </c>
      <c r="M841" s="248"/>
      <c r="N841" s="248"/>
      <c r="O841" s="248"/>
    </row>
    <row r="842" spans="1:15" hidden="1">
      <c r="A842" s="247">
        <v>45787</v>
      </c>
      <c r="B842" s="248" t="s">
        <v>4752</v>
      </c>
      <c r="C842" s="248" t="s">
        <v>172</v>
      </c>
      <c r="D842" s="249" t="s">
        <v>440</v>
      </c>
      <c r="E842" s="250">
        <v>7000</v>
      </c>
      <c r="F842" s="250">
        <v>12.008743737869025</v>
      </c>
      <c r="G842" s="260">
        <v>579.64599999999996</v>
      </c>
      <c r="H842" s="252" t="s">
        <v>321</v>
      </c>
      <c r="I842" s="252" t="s">
        <v>1672</v>
      </c>
      <c r="J842" s="252" t="s">
        <v>96</v>
      </c>
      <c r="K842" s="268" t="s">
        <v>200</v>
      </c>
      <c r="L842" s="252" t="s">
        <v>153</v>
      </c>
      <c r="M842" s="248"/>
      <c r="N842" s="248"/>
      <c r="O842" s="248"/>
    </row>
    <row r="843" spans="1:15" hidden="1">
      <c r="A843" s="247">
        <v>45787</v>
      </c>
      <c r="B843" s="248" t="s">
        <v>1805</v>
      </c>
      <c r="C843" s="254" t="s">
        <v>175</v>
      </c>
      <c r="D843" s="249" t="s">
        <v>115</v>
      </c>
      <c r="E843" s="250">
        <v>45000</v>
      </c>
      <c r="F843" s="250">
        <v>77.199066886300869</v>
      </c>
      <c r="G843" s="260">
        <v>579.64599999999996</v>
      </c>
      <c r="H843" s="252" t="s">
        <v>195</v>
      </c>
      <c r="I843" s="252" t="s">
        <v>1806</v>
      </c>
      <c r="J843" s="252" t="s">
        <v>96</v>
      </c>
      <c r="K843" s="268" t="s">
        <v>200</v>
      </c>
      <c r="L843" s="252" t="s">
        <v>153</v>
      </c>
      <c r="M843" s="248"/>
      <c r="N843" s="248"/>
      <c r="O843" s="248"/>
    </row>
    <row r="844" spans="1:15" hidden="1">
      <c r="A844" s="247">
        <v>45787</v>
      </c>
      <c r="B844" s="248" t="s">
        <v>1861</v>
      </c>
      <c r="C844" s="254" t="s">
        <v>175</v>
      </c>
      <c r="D844" s="249" t="s">
        <v>115</v>
      </c>
      <c r="E844" s="250">
        <v>45000</v>
      </c>
      <c r="F844" s="250">
        <v>77.199066886300869</v>
      </c>
      <c r="G844" s="260">
        <v>579.64599999999996</v>
      </c>
      <c r="H844" s="252" t="s">
        <v>185</v>
      </c>
      <c r="I844" s="252" t="s">
        <v>1862</v>
      </c>
      <c r="J844" s="252" t="s">
        <v>96</v>
      </c>
      <c r="K844" s="268" t="s">
        <v>200</v>
      </c>
      <c r="L844" s="252" t="s">
        <v>153</v>
      </c>
      <c r="M844" s="248"/>
      <c r="N844" s="248"/>
      <c r="O844" s="248"/>
    </row>
    <row r="845" spans="1:15" hidden="1">
      <c r="A845" s="247">
        <v>45789</v>
      </c>
      <c r="B845" s="248" t="s">
        <v>1544</v>
      </c>
      <c r="C845" s="248" t="s">
        <v>302</v>
      </c>
      <c r="D845" s="248" t="s">
        <v>116</v>
      </c>
      <c r="E845" s="250">
        <v>25000</v>
      </c>
      <c r="F845" s="250">
        <v>42.888370492389377</v>
      </c>
      <c r="G845" s="260">
        <v>579.64599999999996</v>
      </c>
      <c r="H845" s="252" t="s">
        <v>151</v>
      </c>
      <c r="I845" s="271" t="s">
        <v>1903</v>
      </c>
      <c r="J845" s="252" t="s">
        <v>96</v>
      </c>
      <c r="K845" s="268" t="s">
        <v>200</v>
      </c>
      <c r="L845" s="252" t="s">
        <v>153</v>
      </c>
      <c r="M845" s="248"/>
      <c r="N845" s="248"/>
      <c r="O845" s="248"/>
    </row>
    <row r="846" spans="1:15" hidden="1">
      <c r="A846" s="247">
        <v>45789</v>
      </c>
      <c r="B846" s="248" t="s">
        <v>548</v>
      </c>
      <c r="C846" s="254" t="s">
        <v>1168</v>
      </c>
      <c r="D846" s="248" t="s">
        <v>116</v>
      </c>
      <c r="E846" s="250">
        <v>25000</v>
      </c>
      <c r="F846" s="250">
        <v>42.888370492389377</v>
      </c>
      <c r="G846" s="260">
        <v>579.64599999999996</v>
      </c>
      <c r="H846" s="252" t="s">
        <v>188</v>
      </c>
      <c r="I846" s="252" t="s">
        <v>1752</v>
      </c>
      <c r="J846" s="252" t="s">
        <v>96</v>
      </c>
      <c r="K846" s="268" t="s">
        <v>200</v>
      </c>
      <c r="L846" s="252" t="s">
        <v>153</v>
      </c>
      <c r="M846" s="248"/>
      <c r="N846" s="248"/>
      <c r="O846" s="248"/>
    </row>
    <row r="847" spans="1:15" hidden="1">
      <c r="A847" s="247">
        <v>45791</v>
      </c>
      <c r="B847" s="248" t="s">
        <v>1533</v>
      </c>
      <c r="C847" s="248" t="s">
        <v>121</v>
      </c>
      <c r="D847" s="249" t="s">
        <v>115</v>
      </c>
      <c r="E847" s="250">
        <v>500000</v>
      </c>
      <c r="F847" s="250">
        <v>857.76740984778746</v>
      </c>
      <c r="G847" s="260">
        <v>579.64599999999996</v>
      </c>
      <c r="H847" s="252" t="s">
        <v>146</v>
      </c>
      <c r="I847" s="252" t="s">
        <v>1882</v>
      </c>
      <c r="J847" s="252" t="s">
        <v>96</v>
      </c>
      <c r="K847" s="268" t="s">
        <v>200</v>
      </c>
      <c r="L847" s="252" t="s">
        <v>153</v>
      </c>
      <c r="M847" s="248"/>
      <c r="N847" s="248"/>
      <c r="O847" s="248"/>
    </row>
    <row r="848" spans="1:15" hidden="1">
      <c r="A848" s="247">
        <v>45792</v>
      </c>
      <c r="B848" s="248" t="s">
        <v>4758</v>
      </c>
      <c r="C848" s="248" t="s">
        <v>172</v>
      </c>
      <c r="D848" s="249" t="s">
        <v>440</v>
      </c>
      <c r="E848" s="250">
        <v>33000</v>
      </c>
      <c r="F848" s="250">
        <v>56.612649049953973</v>
      </c>
      <c r="G848" s="260">
        <v>579.64599999999996</v>
      </c>
      <c r="H848" s="252" t="s">
        <v>182</v>
      </c>
      <c r="I848" s="253" t="s">
        <v>1616</v>
      </c>
      <c r="J848" s="252" t="s">
        <v>96</v>
      </c>
      <c r="K848" s="268" t="s">
        <v>200</v>
      </c>
      <c r="L848" s="252" t="s">
        <v>153</v>
      </c>
      <c r="M848" s="248"/>
      <c r="N848" s="248"/>
      <c r="O848" s="248"/>
    </row>
    <row r="849" spans="1:15" hidden="1">
      <c r="A849" s="247">
        <v>45792</v>
      </c>
      <c r="B849" s="248" t="s">
        <v>4831</v>
      </c>
      <c r="C849" s="248" t="s">
        <v>172</v>
      </c>
      <c r="D849" s="249" t="s">
        <v>440</v>
      </c>
      <c r="E849" s="250">
        <v>33000</v>
      </c>
      <c r="F849" s="250">
        <v>56.612649049953973</v>
      </c>
      <c r="G849" s="260">
        <v>579.64599999999996</v>
      </c>
      <c r="H849" s="252" t="s">
        <v>173</v>
      </c>
      <c r="I849" s="252" t="s">
        <v>1646</v>
      </c>
      <c r="J849" s="252" t="s">
        <v>96</v>
      </c>
      <c r="K849" s="268" t="s">
        <v>200</v>
      </c>
      <c r="L849" s="252" t="s">
        <v>153</v>
      </c>
      <c r="M849" s="248"/>
      <c r="N849" s="248"/>
      <c r="O849" s="248"/>
    </row>
    <row r="850" spans="1:15" hidden="1">
      <c r="A850" s="247">
        <v>45792</v>
      </c>
      <c r="B850" s="248" t="s">
        <v>4752</v>
      </c>
      <c r="C850" s="248" t="s">
        <v>172</v>
      </c>
      <c r="D850" s="249" t="s">
        <v>440</v>
      </c>
      <c r="E850" s="250">
        <v>10000</v>
      </c>
      <c r="F850" s="250">
        <v>17.15534819695575</v>
      </c>
      <c r="G850" s="260">
        <v>579.64599999999996</v>
      </c>
      <c r="H850" s="252" t="s">
        <v>321</v>
      </c>
      <c r="I850" s="252" t="s">
        <v>1673</v>
      </c>
      <c r="J850" s="252" t="s">
        <v>96</v>
      </c>
      <c r="K850" s="268" t="s">
        <v>200</v>
      </c>
      <c r="L850" s="252" t="s">
        <v>153</v>
      </c>
      <c r="M850" s="248"/>
      <c r="N850" s="248"/>
      <c r="O850" s="248"/>
    </row>
    <row r="851" spans="1:15" hidden="1">
      <c r="A851" s="247">
        <v>45792</v>
      </c>
      <c r="B851" s="248" t="s">
        <v>1702</v>
      </c>
      <c r="C851" s="248" t="s">
        <v>172</v>
      </c>
      <c r="D851" s="249" t="s">
        <v>115</v>
      </c>
      <c r="E851" s="250">
        <v>33000</v>
      </c>
      <c r="F851" s="250">
        <v>56.612649049953973</v>
      </c>
      <c r="G851" s="260">
        <v>579.64599999999996</v>
      </c>
      <c r="H851" s="252" t="s">
        <v>198</v>
      </c>
      <c r="I851" s="253" t="s">
        <v>1703</v>
      </c>
      <c r="J851" s="252" t="s">
        <v>96</v>
      </c>
      <c r="K851" s="268" t="s">
        <v>200</v>
      </c>
      <c r="L851" s="252" t="s">
        <v>153</v>
      </c>
      <c r="M851" s="248"/>
      <c r="N851" s="248"/>
      <c r="O851" s="248"/>
    </row>
    <row r="852" spans="1:15" hidden="1">
      <c r="A852" s="247">
        <v>45792</v>
      </c>
      <c r="B852" s="248" t="s">
        <v>1807</v>
      </c>
      <c r="C852" s="248" t="s">
        <v>194</v>
      </c>
      <c r="D852" s="249" t="s">
        <v>115</v>
      </c>
      <c r="E852" s="250">
        <v>33000</v>
      </c>
      <c r="F852" s="250">
        <v>56.612649049953973</v>
      </c>
      <c r="G852" s="260">
        <v>579.64599999999996</v>
      </c>
      <c r="H852" s="252" t="s">
        <v>195</v>
      </c>
      <c r="I852" s="252" t="s">
        <v>1808</v>
      </c>
      <c r="J852" s="252" t="s">
        <v>96</v>
      </c>
      <c r="K852" s="268" t="s">
        <v>200</v>
      </c>
      <c r="L852" s="252" t="s">
        <v>153</v>
      </c>
      <c r="M852" s="248"/>
      <c r="N852" s="248"/>
      <c r="O852" s="248"/>
    </row>
    <row r="853" spans="1:15" hidden="1">
      <c r="A853" s="277">
        <v>45792</v>
      </c>
      <c r="B853" s="248" t="s">
        <v>1531</v>
      </c>
      <c r="C853" s="248" t="s">
        <v>123</v>
      </c>
      <c r="D853" s="248"/>
      <c r="E853" s="248"/>
      <c r="F853" s="286"/>
      <c r="G853" s="280">
        <f>+M853/N853</f>
        <v>560.94248000000005</v>
      </c>
      <c r="H853" s="248" t="s">
        <v>146</v>
      </c>
      <c r="I853" s="248" t="s">
        <v>1883</v>
      </c>
      <c r="J853" s="287" t="s">
        <v>96</v>
      </c>
      <c r="K853" s="288" t="s">
        <v>1906</v>
      </c>
      <c r="L853" s="287" t="s">
        <v>153</v>
      </c>
      <c r="M853" s="248">
        <v>14023562</v>
      </c>
      <c r="N853" s="248">
        <v>25000</v>
      </c>
      <c r="O853" s="248"/>
    </row>
    <row r="854" spans="1:15" hidden="1">
      <c r="A854" s="247">
        <v>45792</v>
      </c>
      <c r="B854" s="248" t="s">
        <v>1578</v>
      </c>
      <c r="C854" s="248" t="s">
        <v>150</v>
      </c>
      <c r="D854" s="249" t="s">
        <v>115</v>
      </c>
      <c r="E854" s="250">
        <v>10000</v>
      </c>
      <c r="F854" s="250">
        <v>17.15534819695575</v>
      </c>
      <c r="G854" s="260">
        <v>579.64599999999996</v>
      </c>
      <c r="H854" s="252" t="s">
        <v>151</v>
      </c>
      <c r="I854" s="271" t="s">
        <v>1694</v>
      </c>
      <c r="J854" s="252" t="s">
        <v>96</v>
      </c>
      <c r="K854" s="268" t="s">
        <v>200</v>
      </c>
      <c r="L854" s="252" t="s">
        <v>153</v>
      </c>
      <c r="M854" s="248"/>
      <c r="N854" s="248"/>
      <c r="O854" s="248"/>
    </row>
    <row r="855" spans="1:15" hidden="1">
      <c r="A855" s="247">
        <v>45792</v>
      </c>
      <c r="B855" s="248" t="s">
        <v>1704</v>
      </c>
      <c r="C855" s="254" t="s">
        <v>175</v>
      </c>
      <c r="D855" s="249" t="s">
        <v>115</v>
      </c>
      <c r="E855" s="250">
        <v>200000</v>
      </c>
      <c r="F855" s="250">
        <v>343.10696393911502</v>
      </c>
      <c r="G855" s="260">
        <v>579.64599999999996</v>
      </c>
      <c r="H855" s="252" t="s">
        <v>198</v>
      </c>
      <c r="I855" s="253" t="s">
        <v>1705</v>
      </c>
      <c r="J855" s="252" t="s">
        <v>96</v>
      </c>
      <c r="K855" s="268" t="s">
        <v>200</v>
      </c>
      <c r="L855" s="252" t="s">
        <v>153</v>
      </c>
      <c r="M855" s="248"/>
      <c r="N855" s="248"/>
      <c r="O855" s="248"/>
    </row>
    <row r="856" spans="1:15" hidden="1">
      <c r="A856" s="247">
        <v>45792</v>
      </c>
      <c r="B856" s="248" t="s">
        <v>1575</v>
      </c>
      <c r="C856" s="248" t="s">
        <v>150</v>
      </c>
      <c r="D856" s="249" t="s">
        <v>115</v>
      </c>
      <c r="E856" s="250">
        <v>5000</v>
      </c>
      <c r="F856" s="250">
        <v>8.5776740984778748</v>
      </c>
      <c r="G856" s="260">
        <v>579.64599999999996</v>
      </c>
      <c r="H856" s="252" t="s">
        <v>198</v>
      </c>
      <c r="I856" s="253" t="s">
        <v>1706</v>
      </c>
      <c r="J856" s="252" t="s">
        <v>96</v>
      </c>
      <c r="K856" s="268" t="s">
        <v>200</v>
      </c>
      <c r="L856" s="252" t="s">
        <v>153</v>
      </c>
      <c r="M856" s="248"/>
      <c r="N856" s="248"/>
      <c r="O856" s="248"/>
    </row>
    <row r="857" spans="1:15" hidden="1">
      <c r="A857" s="247">
        <v>45792</v>
      </c>
      <c r="B857" s="248" t="s">
        <v>1576</v>
      </c>
      <c r="C857" s="248" t="s">
        <v>150</v>
      </c>
      <c r="D857" s="249" t="s">
        <v>115</v>
      </c>
      <c r="E857" s="250">
        <v>5000</v>
      </c>
      <c r="F857" s="250">
        <v>8.5776740984778748</v>
      </c>
      <c r="G857" s="260">
        <v>579.64599999999996</v>
      </c>
      <c r="H857" s="252" t="s">
        <v>198</v>
      </c>
      <c r="I857" s="253" t="s">
        <v>1707</v>
      </c>
      <c r="J857" s="252" t="s">
        <v>96</v>
      </c>
      <c r="K857" s="268" t="s">
        <v>200</v>
      </c>
      <c r="L857" s="252" t="s">
        <v>153</v>
      </c>
      <c r="M857" s="248"/>
      <c r="N857" s="248"/>
      <c r="O857" s="248"/>
    </row>
    <row r="858" spans="1:15" hidden="1">
      <c r="A858" s="247">
        <v>45792</v>
      </c>
      <c r="B858" s="248" t="s">
        <v>1579</v>
      </c>
      <c r="C858" s="248" t="s">
        <v>150</v>
      </c>
      <c r="D858" s="249" t="s">
        <v>115</v>
      </c>
      <c r="E858" s="250">
        <v>10000</v>
      </c>
      <c r="F858" s="250">
        <v>17.15534819695575</v>
      </c>
      <c r="G858" s="260">
        <v>579.64599999999996</v>
      </c>
      <c r="H858" s="252" t="s">
        <v>581</v>
      </c>
      <c r="I858" s="252" t="s">
        <v>1746</v>
      </c>
      <c r="J858" s="252" t="s">
        <v>96</v>
      </c>
      <c r="K858" s="268" t="s">
        <v>200</v>
      </c>
      <c r="L858" s="252" t="s">
        <v>153</v>
      </c>
      <c r="M858" s="248"/>
      <c r="N858" s="248"/>
      <c r="O858" s="248"/>
    </row>
    <row r="859" spans="1:15" hidden="1">
      <c r="A859" s="247">
        <v>45792</v>
      </c>
      <c r="B859" s="248" t="s">
        <v>4841</v>
      </c>
      <c r="C859" s="254" t="s">
        <v>175</v>
      </c>
      <c r="D859" s="249" t="s">
        <v>440</v>
      </c>
      <c r="E859" s="250">
        <v>210000</v>
      </c>
      <c r="F859" s="250">
        <v>360.26231213607076</v>
      </c>
      <c r="G859" s="260">
        <v>579.64599999999996</v>
      </c>
      <c r="H859" s="252" t="s">
        <v>182</v>
      </c>
      <c r="I859" s="253" t="s">
        <v>1617</v>
      </c>
      <c r="J859" s="252" t="s">
        <v>96</v>
      </c>
      <c r="K859" s="268" t="s">
        <v>200</v>
      </c>
      <c r="L859" s="252" t="s">
        <v>153</v>
      </c>
      <c r="M859" s="248"/>
      <c r="N859" s="248"/>
      <c r="O859" s="248"/>
    </row>
    <row r="860" spans="1:15" hidden="1">
      <c r="A860" s="247">
        <v>45792</v>
      </c>
      <c r="B860" s="248" t="s">
        <v>1574</v>
      </c>
      <c r="C860" s="248" t="s">
        <v>150</v>
      </c>
      <c r="D860" s="249" t="s">
        <v>440</v>
      </c>
      <c r="E860" s="250">
        <v>10000</v>
      </c>
      <c r="F860" s="250">
        <v>17.15534819695575</v>
      </c>
      <c r="G860" s="260">
        <v>579.64599999999996</v>
      </c>
      <c r="H860" s="252" t="s">
        <v>182</v>
      </c>
      <c r="I860" s="253" t="s">
        <v>1634</v>
      </c>
      <c r="J860" s="252" t="s">
        <v>96</v>
      </c>
      <c r="K860" s="268" t="s">
        <v>200</v>
      </c>
      <c r="L860" s="252" t="s">
        <v>153</v>
      </c>
      <c r="M860" s="248"/>
      <c r="N860" s="248"/>
      <c r="O860" s="248"/>
    </row>
    <row r="861" spans="1:15" hidden="1">
      <c r="A861" s="247">
        <v>45792</v>
      </c>
      <c r="B861" s="248" t="s">
        <v>1577</v>
      </c>
      <c r="C861" s="248" t="s">
        <v>150</v>
      </c>
      <c r="D861" s="249" t="s">
        <v>440</v>
      </c>
      <c r="E861" s="250">
        <v>5000</v>
      </c>
      <c r="F861" s="250">
        <v>8.5776740984778748</v>
      </c>
      <c r="G861" s="260">
        <v>579.64599999999996</v>
      </c>
      <c r="H861" s="252" t="s">
        <v>182</v>
      </c>
      <c r="I861" s="253" t="s">
        <v>1635</v>
      </c>
      <c r="J861" s="252" t="s">
        <v>96</v>
      </c>
      <c r="K861" s="268" t="s">
        <v>200</v>
      </c>
      <c r="L861" s="252" t="s">
        <v>153</v>
      </c>
      <c r="M861" s="248"/>
      <c r="N861" s="248"/>
      <c r="O861" s="248"/>
    </row>
    <row r="862" spans="1:15" hidden="1">
      <c r="A862" s="247">
        <v>45792</v>
      </c>
      <c r="B862" s="248" t="s">
        <v>4832</v>
      </c>
      <c r="C862" s="254" t="s">
        <v>175</v>
      </c>
      <c r="D862" s="249" t="s">
        <v>440</v>
      </c>
      <c r="E862" s="250">
        <v>210000</v>
      </c>
      <c r="F862" s="250">
        <v>360.26231213607076</v>
      </c>
      <c r="G862" s="260">
        <v>579.64599999999996</v>
      </c>
      <c r="H862" s="252" t="s">
        <v>173</v>
      </c>
      <c r="I862" s="252" t="s">
        <v>1647</v>
      </c>
      <c r="J862" s="252" t="s">
        <v>96</v>
      </c>
      <c r="K862" s="268" t="s">
        <v>200</v>
      </c>
      <c r="L862" s="252" t="s">
        <v>153</v>
      </c>
      <c r="M862" s="248"/>
      <c r="N862" s="248"/>
      <c r="O862" s="248"/>
    </row>
    <row r="863" spans="1:15" hidden="1">
      <c r="A863" s="247">
        <v>45792</v>
      </c>
      <c r="B863" s="248" t="s">
        <v>4754</v>
      </c>
      <c r="C863" s="254" t="s">
        <v>175</v>
      </c>
      <c r="D863" s="249" t="s">
        <v>440</v>
      </c>
      <c r="E863" s="250">
        <v>15000</v>
      </c>
      <c r="F863" s="250">
        <v>25.733022295433624</v>
      </c>
      <c r="G863" s="260">
        <v>579.64599999999996</v>
      </c>
      <c r="H863" s="252" t="s">
        <v>173</v>
      </c>
      <c r="I863" s="252" t="s">
        <v>1648</v>
      </c>
      <c r="J863" s="252" t="s">
        <v>96</v>
      </c>
      <c r="K863" s="268" t="s">
        <v>200</v>
      </c>
      <c r="L863" s="252" t="s">
        <v>153</v>
      </c>
      <c r="M863" s="248"/>
      <c r="N863" s="248"/>
      <c r="O863" s="248"/>
    </row>
    <row r="864" spans="1:15" hidden="1">
      <c r="A864" s="247">
        <v>45792</v>
      </c>
      <c r="B864" s="248" t="s">
        <v>1574</v>
      </c>
      <c r="C864" s="248" t="s">
        <v>150</v>
      </c>
      <c r="D864" s="249" t="s">
        <v>440</v>
      </c>
      <c r="E864" s="250">
        <v>15000</v>
      </c>
      <c r="F864" s="250">
        <v>25.733022295433624</v>
      </c>
      <c r="G864" s="260">
        <v>579.64599999999996</v>
      </c>
      <c r="H864" s="252" t="s">
        <v>173</v>
      </c>
      <c r="I864" s="252" t="s">
        <v>1661</v>
      </c>
      <c r="J864" s="252" t="s">
        <v>96</v>
      </c>
      <c r="K864" s="268" t="s">
        <v>200</v>
      </c>
      <c r="L864" s="252" t="s">
        <v>153</v>
      </c>
      <c r="M864" s="248"/>
      <c r="N864" s="248"/>
      <c r="O864" s="248"/>
    </row>
    <row r="865" spans="1:15" hidden="1">
      <c r="A865" s="247">
        <v>45792</v>
      </c>
      <c r="B865" s="248" t="s">
        <v>4836</v>
      </c>
      <c r="C865" s="254" t="s">
        <v>175</v>
      </c>
      <c r="D865" s="249" t="s">
        <v>440</v>
      </c>
      <c r="E865" s="250">
        <v>80000</v>
      </c>
      <c r="F865" s="250">
        <v>137.242785575646</v>
      </c>
      <c r="G865" s="260">
        <v>579.64599999999996</v>
      </c>
      <c r="H865" s="252" t="s">
        <v>321</v>
      </c>
      <c r="I865" s="252" t="s">
        <v>1674</v>
      </c>
      <c r="J865" s="252" t="s">
        <v>96</v>
      </c>
      <c r="K865" s="268" t="s">
        <v>200</v>
      </c>
      <c r="L865" s="252" t="s">
        <v>153</v>
      </c>
      <c r="M865" s="248"/>
      <c r="N865" s="248"/>
      <c r="O865" s="248"/>
    </row>
    <row r="866" spans="1:15" hidden="1">
      <c r="A866" s="247">
        <v>45792</v>
      </c>
      <c r="B866" s="248" t="s">
        <v>1574</v>
      </c>
      <c r="C866" s="248" t="s">
        <v>150</v>
      </c>
      <c r="D866" s="249" t="s">
        <v>440</v>
      </c>
      <c r="E866" s="250">
        <v>5000</v>
      </c>
      <c r="F866" s="250">
        <v>8.5776740984778748</v>
      </c>
      <c r="G866" s="260">
        <v>579.64599999999996</v>
      </c>
      <c r="H866" s="252" t="s">
        <v>321</v>
      </c>
      <c r="I866" s="252" t="s">
        <v>1688</v>
      </c>
      <c r="J866" s="252" t="s">
        <v>96</v>
      </c>
      <c r="K866" s="268" t="s">
        <v>200</v>
      </c>
      <c r="L866" s="252" t="s">
        <v>153</v>
      </c>
      <c r="M866" s="248"/>
      <c r="N866" s="248"/>
      <c r="O866" s="248"/>
    </row>
    <row r="867" spans="1:15" hidden="1">
      <c r="A867" s="247">
        <v>45792</v>
      </c>
      <c r="B867" s="248" t="s">
        <v>1577</v>
      </c>
      <c r="C867" s="248" t="s">
        <v>150</v>
      </c>
      <c r="D867" s="249" t="s">
        <v>440</v>
      </c>
      <c r="E867" s="250">
        <v>10000</v>
      </c>
      <c r="F867" s="250">
        <v>17.15534819695575</v>
      </c>
      <c r="G867" s="260">
        <v>579.64599999999996</v>
      </c>
      <c r="H867" s="252" t="s">
        <v>321</v>
      </c>
      <c r="I867" s="252" t="s">
        <v>1689</v>
      </c>
      <c r="J867" s="252" t="s">
        <v>96</v>
      </c>
      <c r="K867" s="268" t="s">
        <v>200</v>
      </c>
      <c r="L867" s="252" t="s">
        <v>153</v>
      </c>
      <c r="M867" s="248"/>
      <c r="N867" s="248"/>
      <c r="O867" s="248"/>
    </row>
    <row r="868" spans="1:15" hidden="1">
      <c r="A868" s="247">
        <v>45792</v>
      </c>
      <c r="B868" s="248" t="s">
        <v>1575</v>
      </c>
      <c r="C868" s="248" t="s">
        <v>150</v>
      </c>
      <c r="D868" s="249" t="s">
        <v>115</v>
      </c>
      <c r="E868" s="250">
        <v>5000</v>
      </c>
      <c r="F868" s="250">
        <v>8.5776740984778748</v>
      </c>
      <c r="G868" s="260">
        <v>579.64599999999996</v>
      </c>
      <c r="H868" s="252" t="s">
        <v>188</v>
      </c>
      <c r="I868" s="252" t="s">
        <v>1759</v>
      </c>
      <c r="J868" s="252" t="s">
        <v>96</v>
      </c>
      <c r="K868" s="268" t="s">
        <v>200</v>
      </c>
      <c r="L868" s="252" t="s">
        <v>153</v>
      </c>
      <c r="M868" s="248"/>
      <c r="N868" s="248"/>
      <c r="O868" s="248"/>
    </row>
    <row r="869" spans="1:15" hidden="1">
      <c r="A869" s="247">
        <v>45792</v>
      </c>
      <c r="B869" s="248" t="s">
        <v>1576</v>
      </c>
      <c r="C869" s="248" t="s">
        <v>150</v>
      </c>
      <c r="D869" s="249" t="s">
        <v>115</v>
      </c>
      <c r="E869" s="250">
        <v>5000</v>
      </c>
      <c r="F869" s="250">
        <v>8.5776740984778748</v>
      </c>
      <c r="G869" s="260">
        <v>579.64599999999996</v>
      </c>
      <c r="H869" s="252" t="s">
        <v>188</v>
      </c>
      <c r="I869" s="252" t="s">
        <v>1760</v>
      </c>
      <c r="J869" s="252" t="s">
        <v>96</v>
      </c>
      <c r="K869" s="268" t="s">
        <v>200</v>
      </c>
      <c r="L869" s="252" t="s">
        <v>153</v>
      </c>
      <c r="M869" s="248"/>
      <c r="N869" s="248"/>
      <c r="O869" s="248"/>
    </row>
    <row r="870" spans="1:15" hidden="1">
      <c r="A870" s="247">
        <v>45792</v>
      </c>
      <c r="B870" s="248" t="s">
        <v>1575</v>
      </c>
      <c r="C870" s="248" t="s">
        <v>150</v>
      </c>
      <c r="D870" s="249" t="s">
        <v>115</v>
      </c>
      <c r="E870" s="250">
        <v>10000</v>
      </c>
      <c r="F870" s="250">
        <v>17.15534819695575</v>
      </c>
      <c r="G870" s="260">
        <v>579.64599999999996</v>
      </c>
      <c r="H870" s="252" t="s">
        <v>191</v>
      </c>
      <c r="I870" s="252" t="s">
        <v>1783</v>
      </c>
      <c r="J870" s="252" t="s">
        <v>96</v>
      </c>
      <c r="K870" s="268" t="s">
        <v>200</v>
      </c>
      <c r="L870" s="252" t="s">
        <v>153</v>
      </c>
      <c r="M870" s="248"/>
      <c r="N870" s="248"/>
      <c r="O870" s="248"/>
    </row>
    <row r="871" spans="1:15" hidden="1">
      <c r="A871" s="247">
        <v>45792</v>
      </c>
      <c r="B871" s="248" t="s">
        <v>1809</v>
      </c>
      <c r="C871" s="254" t="s">
        <v>175</v>
      </c>
      <c r="D871" s="249" t="s">
        <v>115</v>
      </c>
      <c r="E871" s="250">
        <v>200000</v>
      </c>
      <c r="F871" s="250">
        <v>343.10696393911502</v>
      </c>
      <c r="G871" s="260">
        <v>579.64599999999996</v>
      </c>
      <c r="H871" s="252" t="s">
        <v>195</v>
      </c>
      <c r="I871" s="252" t="s">
        <v>1810</v>
      </c>
      <c r="J871" s="252" t="s">
        <v>96</v>
      </c>
      <c r="K871" s="268" t="s">
        <v>200</v>
      </c>
      <c r="L871" s="252" t="s">
        <v>153</v>
      </c>
      <c r="M871" s="248"/>
      <c r="N871" s="248"/>
      <c r="O871" s="248"/>
    </row>
    <row r="872" spans="1:15" hidden="1">
      <c r="A872" s="247">
        <v>45792</v>
      </c>
      <c r="B872" s="248" t="s">
        <v>1575</v>
      </c>
      <c r="C872" s="248" t="s">
        <v>150</v>
      </c>
      <c r="D872" s="249" t="s">
        <v>115</v>
      </c>
      <c r="E872" s="250">
        <v>10000</v>
      </c>
      <c r="F872" s="250">
        <v>17.15534819695575</v>
      </c>
      <c r="G872" s="260">
        <v>579.64599999999996</v>
      </c>
      <c r="H872" s="252" t="s">
        <v>195</v>
      </c>
      <c r="I872" s="252" t="s">
        <v>1811</v>
      </c>
      <c r="J872" s="252" t="s">
        <v>96</v>
      </c>
      <c r="K872" s="268" t="s">
        <v>200</v>
      </c>
      <c r="L872" s="252" t="s">
        <v>153</v>
      </c>
      <c r="M872" s="248"/>
      <c r="N872" s="248"/>
      <c r="O872" s="248"/>
    </row>
    <row r="873" spans="1:15" hidden="1">
      <c r="A873" s="247">
        <v>45792</v>
      </c>
      <c r="B873" s="248" t="s">
        <v>1575</v>
      </c>
      <c r="C873" s="248" t="s">
        <v>150</v>
      </c>
      <c r="D873" s="249" t="s">
        <v>115</v>
      </c>
      <c r="E873" s="250">
        <v>10000</v>
      </c>
      <c r="F873" s="250">
        <v>17.15534819695575</v>
      </c>
      <c r="G873" s="260">
        <v>579.64599999999996</v>
      </c>
      <c r="H873" s="252" t="s">
        <v>185</v>
      </c>
      <c r="I873" s="252" t="s">
        <v>1863</v>
      </c>
      <c r="J873" s="252" t="s">
        <v>96</v>
      </c>
      <c r="K873" s="268" t="s">
        <v>200</v>
      </c>
      <c r="L873" s="252" t="s">
        <v>153</v>
      </c>
      <c r="M873" s="248"/>
      <c r="N873" s="248"/>
      <c r="O873" s="248"/>
    </row>
    <row r="874" spans="1:15" hidden="1">
      <c r="A874" s="247">
        <v>45793</v>
      </c>
      <c r="B874" s="248" t="s">
        <v>1708</v>
      </c>
      <c r="C874" s="254" t="s">
        <v>175</v>
      </c>
      <c r="D874" s="249" t="s">
        <v>115</v>
      </c>
      <c r="E874" s="250">
        <v>15000</v>
      </c>
      <c r="F874" s="250">
        <v>25.733022295433624</v>
      </c>
      <c r="G874" s="260">
        <v>579.64599999999996</v>
      </c>
      <c r="H874" s="252" t="s">
        <v>198</v>
      </c>
      <c r="I874" s="253" t="s">
        <v>1709</v>
      </c>
      <c r="J874" s="252" t="s">
        <v>96</v>
      </c>
      <c r="K874" s="268" t="s">
        <v>200</v>
      </c>
      <c r="L874" s="252" t="s">
        <v>153</v>
      </c>
      <c r="M874" s="248"/>
      <c r="N874" s="248"/>
      <c r="O874" s="248"/>
    </row>
    <row r="875" spans="1:15" hidden="1">
      <c r="A875" s="247">
        <v>45793</v>
      </c>
      <c r="B875" s="248" t="s">
        <v>4759</v>
      </c>
      <c r="C875" s="254" t="s">
        <v>175</v>
      </c>
      <c r="D875" s="249" t="s">
        <v>440</v>
      </c>
      <c r="E875" s="250">
        <v>15000</v>
      </c>
      <c r="F875" s="250">
        <v>25.733022295433624</v>
      </c>
      <c r="G875" s="260">
        <v>579.64599999999996</v>
      </c>
      <c r="H875" s="252" t="s">
        <v>182</v>
      </c>
      <c r="I875" s="253" t="s">
        <v>1618</v>
      </c>
      <c r="J875" s="252" t="s">
        <v>96</v>
      </c>
      <c r="K875" s="268" t="s">
        <v>200</v>
      </c>
      <c r="L875" s="252" t="s">
        <v>153</v>
      </c>
      <c r="M875" s="248"/>
      <c r="N875" s="248"/>
      <c r="O875" s="248"/>
    </row>
    <row r="876" spans="1:15" hidden="1">
      <c r="A876" s="247">
        <v>45793</v>
      </c>
      <c r="B876" s="248" t="s">
        <v>1812</v>
      </c>
      <c r="C876" s="254" t="s">
        <v>175</v>
      </c>
      <c r="D876" s="249" t="s">
        <v>115</v>
      </c>
      <c r="E876" s="250">
        <v>15000</v>
      </c>
      <c r="F876" s="250">
        <v>25.733022295433624</v>
      </c>
      <c r="G876" s="260">
        <v>579.64599999999996</v>
      </c>
      <c r="H876" s="252" t="s">
        <v>195</v>
      </c>
      <c r="I876" s="252" t="s">
        <v>1813</v>
      </c>
      <c r="J876" s="252" t="s">
        <v>96</v>
      </c>
      <c r="K876" s="268" t="s">
        <v>200</v>
      </c>
      <c r="L876" s="252" t="s">
        <v>153</v>
      </c>
      <c r="M876" s="248"/>
      <c r="N876" s="248"/>
      <c r="O876" s="248"/>
    </row>
    <row r="877" spans="1:15" hidden="1">
      <c r="A877" s="247">
        <v>45796</v>
      </c>
      <c r="B877" s="248" t="s">
        <v>4754</v>
      </c>
      <c r="C877" s="254" t="s">
        <v>175</v>
      </c>
      <c r="D877" s="249" t="s">
        <v>440</v>
      </c>
      <c r="E877" s="250">
        <v>45000</v>
      </c>
      <c r="F877" s="250">
        <v>77.199066886300869</v>
      </c>
      <c r="G877" s="260">
        <v>579.64599999999996</v>
      </c>
      <c r="H877" s="252" t="s">
        <v>173</v>
      </c>
      <c r="I877" s="252" t="s">
        <v>1649</v>
      </c>
      <c r="J877" s="252" t="s">
        <v>96</v>
      </c>
      <c r="K877" s="268" t="s">
        <v>200</v>
      </c>
      <c r="L877" s="252" t="s">
        <v>153</v>
      </c>
      <c r="M877" s="248"/>
      <c r="N877" s="248"/>
      <c r="O877" s="248"/>
    </row>
    <row r="878" spans="1:15" hidden="1">
      <c r="A878" s="247">
        <v>45796</v>
      </c>
      <c r="B878" s="248" t="s">
        <v>4838</v>
      </c>
      <c r="C878" s="254" t="s">
        <v>175</v>
      </c>
      <c r="D878" s="249" t="s">
        <v>440</v>
      </c>
      <c r="E878" s="250">
        <v>60000</v>
      </c>
      <c r="F878" s="250">
        <v>102.9320891817345</v>
      </c>
      <c r="G878" s="260">
        <v>579.64599999999996</v>
      </c>
      <c r="H878" s="252" t="s">
        <v>321</v>
      </c>
      <c r="I878" s="252" t="s">
        <v>1675</v>
      </c>
      <c r="J878" s="252" t="s">
        <v>96</v>
      </c>
      <c r="K878" s="268" t="s">
        <v>200</v>
      </c>
      <c r="L878" s="252" t="s">
        <v>153</v>
      </c>
      <c r="M878" s="248"/>
      <c r="N878" s="248"/>
      <c r="O878" s="248"/>
    </row>
    <row r="879" spans="1:15" hidden="1">
      <c r="A879" s="247">
        <v>45796</v>
      </c>
      <c r="B879" s="248" t="s">
        <v>4809</v>
      </c>
      <c r="C879" s="248" t="s">
        <v>172</v>
      </c>
      <c r="D879" s="249" t="s">
        <v>440</v>
      </c>
      <c r="E879" s="250">
        <v>7000</v>
      </c>
      <c r="F879" s="250">
        <v>12.008743737869025</v>
      </c>
      <c r="G879" s="260">
        <v>579.64599999999996</v>
      </c>
      <c r="H879" s="252" t="s">
        <v>321</v>
      </c>
      <c r="I879" s="252" t="s">
        <v>1676</v>
      </c>
      <c r="J879" s="252" t="s">
        <v>96</v>
      </c>
      <c r="K879" s="268" t="s">
        <v>200</v>
      </c>
      <c r="L879" s="252" t="s">
        <v>153</v>
      </c>
      <c r="M879" s="248"/>
      <c r="N879" s="248"/>
      <c r="O879" s="248"/>
    </row>
    <row r="880" spans="1:15" hidden="1">
      <c r="A880" s="247">
        <v>45796</v>
      </c>
      <c r="B880" s="248" t="s">
        <v>1545</v>
      </c>
      <c r="C880" s="255" t="s">
        <v>2090</v>
      </c>
      <c r="D880" s="248" t="s">
        <v>116</v>
      </c>
      <c r="E880" s="250">
        <v>23970</v>
      </c>
      <c r="F880" s="250">
        <v>41.121369628102933</v>
      </c>
      <c r="G880" s="260">
        <v>579.64599999999996</v>
      </c>
      <c r="H880" s="252" t="s">
        <v>188</v>
      </c>
      <c r="I880" s="252" t="s">
        <v>1753</v>
      </c>
      <c r="J880" s="252" t="s">
        <v>96</v>
      </c>
      <c r="K880" s="268" t="s">
        <v>200</v>
      </c>
      <c r="L880" s="252" t="s">
        <v>153</v>
      </c>
      <c r="M880" s="248"/>
      <c r="N880" s="248"/>
      <c r="O880" s="248"/>
    </row>
    <row r="881" spans="1:15" hidden="1">
      <c r="A881" s="247">
        <v>45796</v>
      </c>
      <c r="B881" s="248" t="s">
        <v>1546</v>
      </c>
      <c r="C881" s="254" t="s">
        <v>1547</v>
      </c>
      <c r="D881" s="248" t="s">
        <v>116</v>
      </c>
      <c r="E881" s="250">
        <v>42000</v>
      </c>
      <c r="F881" s="250">
        <v>72.052462427214152</v>
      </c>
      <c r="G881" s="260">
        <v>579.64599999999996</v>
      </c>
      <c r="H881" s="252" t="s">
        <v>185</v>
      </c>
      <c r="I881" s="252" t="s">
        <v>1775</v>
      </c>
      <c r="J881" s="252" t="s">
        <v>96</v>
      </c>
      <c r="K881" s="268" t="s">
        <v>200</v>
      </c>
      <c r="L881" s="252" t="s">
        <v>153</v>
      </c>
      <c r="M881" s="248"/>
      <c r="N881" s="248"/>
      <c r="O881" s="248"/>
    </row>
    <row r="882" spans="1:15" hidden="1">
      <c r="A882" s="247">
        <v>45797</v>
      </c>
      <c r="B882" s="248" t="s">
        <v>4758</v>
      </c>
      <c r="C882" s="248" t="s">
        <v>172</v>
      </c>
      <c r="D882" s="249" t="s">
        <v>440</v>
      </c>
      <c r="E882" s="250">
        <v>10000</v>
      </c>
      <c r="F882" s="250">
        <v>17.15534819695575</v>
      </c>
      <c r="G882" s="260">
        <v>579.64599999999996</v>
      </c>
      <c r="H882" s="252" t="s">
        <v>182</v>
      </c>
      <c r="I882" s="253" t="s">
        <v>1619</v>
      </c>
      <c r="J882" s="252" t="s">
        <v>96</v>
      </c>
      <c r="K882" s="268" t="s">
        <v>200</v>
      </c>
      <c r="L882" s="252" t="s">
        <v>153</v>
      </c>
      <c r="M882" s="248"/>
      <c r="N882" s="248"/>
      <c r="O882" s="248"/>
    </row>
    <row r="883" spans="1:15" hidden="1">
      <c r="A883" s="247">
        <v>45797</v>
      </c>
      <c r="B883" s="248" t="s">
        <v>4758</v>
      </c>
      <c r="C883" s="248" t="s">
        <v>172</v>
      </c>
      <c r="D883" s="249" t="s">
        <v>440</v>
      </c>
      <c r="E883" s="250">
        <v>10000</v>
      </c>
      <c r="F883" s="250">
        <v>17.15534819695575</v>
      </c>
      <c r="G883" s="260">
        <v>579.64599999999996</v>
      </c>
      <c r="H883" s="252" t="s">
        <v>182</v>
      </c>
      <c r="I883" s="253" t="s">
        <v>1620</v>
      </c>
      <c r="J883" s="252" t="s">
        <v>96</v>
      </c>
      <c r="K883" s="268" t="s">
        <v>200</v>
      </c>
      <c r="L883" s="252" t="s">
        <v>153</v>
      </c>
      <c r="M883" s="248"/>
      <c r="N883" s="248"/>
      <c r="O883" s="248"/>
    </row>
    <row r="884" spans="1:15" hidden="1">
      <c r="A884" s="247">
        <v>45797</v>
      </c>
      <c r="B884" s="248" t="s">
        <v>4831</v>
      </c>
      <c r="C884" s="248" t="s">
        <v>1011</v>
      </c>
      <c r="D884" s="249" t="s">
        <v>440</v>
      </c>
      <c r="E884" s="250">
        <v>10000</v>
      </c>
      <c r="F884" s="250">
        <v>17.15534819695575</v>
      </c>
      <c r="G884" s="260">
        <v>579.64599999999996</v>
      </c>
      <c r="H884" s="252" t="s">
        <v>173</v>
      </c>
      <c r="I884" s="252" t="s">
        <v>1650</v>
      </c>
      <c r="J884" s="252" t="s">
        <v>96</v>
      </c>
      <c r="K884" s="268" t="s">
        <v>200</v>
      </c>
      <c r="L884" s="252" t="s">
        <v>153</v>
      </c>
      <c r="M884" s="248"/>
      <c r="N884" s="248"/>
      <c r="O884" s="248"/>
    </row>
    <row r="885" spans="1:15" hidden="1">
      <c r="A885" s="247">
        <v>45797</v>
      </c>
      <c r="B885" s="248" t="s">
        <v>4749</v>
      </c>
      <c r="C885" s="248" t="s">
        <v>172</v>
      </c>
      <c r="D885" s="249" t="s">
        <v>440</v>
      </c>
      <c r="E885" s="250">
        <v>9000</v>
      </c>
      <c r="F885" s="250">
        <v>15.439813377260174</v>
      </c>
      <c r="G885" s="260">
        <v>579.64599999999996</v>
      </c>
      <c r="H885" s="252" t="s">
        <v>315</v>
      </c>
      <c r="I885" s="252" t="s">
        <v>1592</v>
      </c>
      <c r="J885" s="252" t="s">
        <v>96</v>
      </c>
      <c r="K885" s="268" t="s">
        <v>200</v>
      </c>
      <c r="L885" s="252" t="s">
        <v>153</v>
      </c>
      <c r="M885" s="248"/>
      <c r="N885" s="248"/>
      <c r="O885" s="248"/>
    </row>
    <row r="886" spans="1:15" hidden="1">
      <c r="A886" s="247">
        <v>45797</v>
      </c>
      <c r="B886" s="248" t="s">
        <v>1573</v>
      </c>
      <c r="C886" s="248" t="s">
        <v>150</v>
      </c>
      <c r="D886" s="249" t="s">
        <v>440</v>
      </c>
      <c r="E886" s="250">
        <v>10000</v>
      </c>
      <c r="F886" s="250">
        <v>17.827139780891613</v>
      </c>
      <c r="G886" s="260">
        <v>579.64599999999996</v>
      </c>
      <c r="H886" s="252" t="s">
        <v>315</v>
      </c>
      <c r="I886" s="252" t="s">
        <v>1606</v>
      </c>
      <c r="J886" s="252" t="s">
        <v>96</v>
      </c>
      <c r="K886" s="268" t="s">
        <v>200</v>
      </c>
      <c r="L886" s="252" t="s">
        <v>153</v>
      </c>
      <c r="M886" s="248"/>
      <c r="N886" s="248"/>
      <c r="O886" s="248"/>
    </row>
    <row r="887" spans="1:15" hidden="1">
      <c r="A887" s="247">
        <v>45797</v>
      </c>
      <c r="B887" s="248" t="s">
        <v>1761</v>
      </c>
      <c r="C887" s="248" t="s">
        <v>172</v>
      </c>
      <c r="D887" s="249" t="s">
        <v>115</v>
      </c>
      <c r="E887" s="250">
        <v>10000</v>
      </c>
      <c r="F887" s="250">
        <v>17.827139780891613</v>
      </c>
      <c r="G887" s="260">
        <v>579.64599999999996</v>
      </c>
      <c r="H887" s="252" t="s">
        <v>188</v>
      </c>
      <c r="I887" s="252" t="s">
        <v>1762</v>
      </c>
      <c r="J887" s="252" t="s">
        <v>96</v>
      </c>
      <c r="K887" s="268" t="s">
        <v>200</v>
      </c>
      <c r="L887" s="252" t="s">
        <v>153</v>
      </c>
      <c r="M887" s="248"/>
      <c r="N887" s="248"/>
      <c r="O887" s="248"/>
    </row>
    <row r="888" spans="1:15" hidden="1">
      <c r="A888" s="247">
        <v>45797</v>
      </c>
      <c r="B888" s="248" t="s">
        <v>1850</v>
      </c>
      <c r="C888" s="248" t="s">
        <v>172</v>
      </c>
      <c r="D888" s="249" t="s">
        <v>115</v>
      </c>
      <c r="E888" s="250">
        <v>29000</v>
      </c>
      <c r="F888" s="250">
        <v>51.698705364585685</v>
      </c>
      <c r="G888" s="260">
        <v>579.64599999999996</v>
      </c>
      <c r="H888" s="252" t="s">
        <v>188</v>
      </c>
      <c r="I888" s="252" t="s">
        <v>1846</v>
      </c>
      <c r="J888" s="252" t="s">
        <v>96</v>
      </c>
      <c r="K888" s="268" t="s">
        <v>200</v>
      </c>
      <c r="L888" s="252" t="s">
        <v>153</v>
      </c>
      <c r="M888" s="248"/>
      <c r="N888" s="248"/>
      <c r="O888" s="248"/>
    </row>
    <row r="889" spans="1:15" hidden="1">
      <c r="A889" s="247">
        <v>45797</v>
      </c>
      <c r="B889" s="248" t="s">
        <v>1851</v>
      </c>
      <c r="C889" s="254" t="s">
        <v>175</v>
      </c>
      <c r="D889" s="249" t="s">
        <v>115</v>
      </c>
      <c r="E889" s="250">
        <v>50000</v>
      </c>
      <c r="F889" s="250">
        <v>89.135698904458081</v>
      </c>
      <c r="G889" s="260">
        <v>579.64599999999996</v>
      </c>
      <c r="H889" s="252" t="s">
        <v>188</v>
      </c>
      <c r="I889" s="252" t="s">
        <v>1847</v>
      </c>
      <c r="J889" s="252" t="s">
        <v>96</v>
      </c>
      <c r="K889" s="268" t="s">
        <v>200</v>
      </c>
      <c r="L889" s="252" t="s">
        <v>153</v>
      </c>
      <c r="M889" s="248"/>
      <c r="N889" s="248"/>
      <c r="O889" s="248"/>
    </row>
    <row r="890" spans="1:15" hidden="1">
      <c r="A890" s="247">
        <v>45797</v>
      </c>
      <c r="B890" s="248" t="s">
        <v>1784</v>
      </c>
      <c r="C890" s="248" t="s">
        <v>172</v>
      </c>
      <c r="D890" s="249" t="s">
        <v>115</v>
      </c>
      <c r="E890" s="250">
        <v>8000</v>
      </c>
      <c r="F890" s="250">
        <v>14.261711824713291</v>
      </c>
      <c r="G890" s="260">
        <v>579.64599999999996</v>
      </c>
      <c r="H890" s="252" t="s">
        <v>191</v>
      </c>
      <c r="I890" s="252" t="s">
        <v>1785</v>
      </c>
      <c r="J890" s="252" t="s">
        <v>96</v>
      </c>
      <c r="K890" s="268" t="s">
        <v>200</v>
      </c>
      <c r="L890" s="252" t="s">
        <v>153</v>
      </c>
      <c r="M890" s="248"/>
      <c r="N890" s="248"/>
      <c r="O890" s="248"/>
    </row>
    <row r="891" spans="1:15" hidden="1">
      <c r="A891" s="247">
        <v>45797</v>
      </c>
      <c r="B891" s="248" t="s">
        <v>1548</v>
      </c>
      <c r="C891" s="248" t="s">
        <v>125</v>
      </c>
      <c r="D891" s="248" t="s">
        <v>118</v>
      </c>
      <c r="E891" s="250">
        <v>30000</v>
      </c>
      <c r="F891" s="250">
        <v>53.481419342674847</v>
      </c>
      <c r="G891" s="251">
        <v>560.94248000000005</v>
      </c>
      <c r="H891" s="252" t="s">
        <v>211</v>
      </c>
      <c r="I891" s="257" t="s">
        <v>1828</v>
      </c>
      <c r="J891" s="252" t="s">
        <v>96</v>
      </c>
      <c r="K891" s="265" t="s">
        <v>1906</v>
      </c>
      <c r="L891" s="270" t="s">
        <v>153</v>
      </c>
      <c r="M891" s="248"/>
      <c r="N891" s="248"/>
      <c r="O891" s="248"/>
    </row>
    <row r="892" spans="1:15" hidden="1">
      <c r="A892" s="247">
        <v>45797</v>
      </c>
      <c r="B892" s="248" t="s">
        <v>1572</v>
      </c>
      <c r="C892" s="248" t="s">
        <v>150</v>
      </c>
      <c r="D892" s="248" t="s">
        <v>118</v>
      </c>
      <c r="E892" s="250">
        <v>10000</v>
      </c>
      <c r="F892" s="250">
        <v>17.827139780891613</v>
      </c>
      <c r="G892" s="260">
        <v>579.64599999999996</v>
      </c>
      <c r="H892" s="252" t="s">
        <v>211</v>
      </c>
      <c r="I892" s="252" t="s">
        <v>1840</v>
      </c>
      <c r="J892" s="252" t="s">
        <v>96</v>
      </c>
      <c r="K892" s="268" t="s">
        <v>200</v>
      </c>
      <c r="L892" s="252" t="s">
        <v>153</v>
      </c>
      <c r="M892" s="248"/>
      <c r="N892" s="248"/>
      <c r="O892" s="248"/>
    </row>
    <row r="893" spans="1:15" hidden="1">
      <c r="A893" s="247">
        <v>45797</v>
      </c>
      <c r="B893" s="248" t="s">
        <v>1864</v>
      </c>
      <c r="C893" s="248" t="s">
        <v>172</v>
      </c>
      <c r="D893" s="249" t="s">
        <v>115</v>
      </c>
      <c r="E893" s="250">
        <v>7000</v>
      </c>
      <c r="F893" s="250">
        <v>12.47899784662413</v>
      </c>
      <c r="G893" s="260">
        <v>579.64599999999996</v>
      </c>
      <c r="H893" s="252" t="s">
        <v>185</v>
      </c>
      <c r="I893" s="252" t="s">
        <v>1865</v>
      </c>
      <c r="J893" s="252" t="s">
        <v>96</v>
      </c>
      <c r="K893" s="268" t="s">
        <v>200</v>
      </c>
      <c r="L893" s="252" t="s">
        <v>153</v>
      </c>
      <c r="M893" s="248"/>
      <c r="N893" s="248"/>
      <c r="O893" s="248"/>
    </row>
    <row r="894" spans="1:15" hidden="1">
      <c r="A894" s="247">
        <v>45798</v>
      </c>
      <c r="B894" s="248" t="s">
        <v>1549</v>
      </c>
      <c r="C894" s="254" t="s">
        <v>1547</v>
      </c>
      <c r="D894" s="248" t="s">
        <v>116</v>
      </c>
      <c r="E894" s="250">
        <v>80000</v>
      </c>
      <c r="F894" s="250">
        <v>142.61711824713291</v>
      </c>
      <c r="G894" s="260">
        <v>579.64599999999996</v>
      </c>
      <c r="H894" s="252" t="s">
        <v>581</v>
      </c>
      <c r="I894" s="252" t="s">
        <v>1733</v>
      </c>
      <c r="J894" s="252" t="s">
        <v>96</v>
      </c>
      <c r="K894" s="268" t="s">
        <v>200</v>
      </c>
      <c r="L894" s="252" t="s">
        <v>153</v>
      </c>
      <c r="M894" s="248"/>
      <c r="N894" s="248"/>
      <c r="O894" s="248"/>
    </row>
    <row r="895" spans="1:15" hidden="1">
      <c r="A895" s="247">
        <v>45798</v>
      </c>
      <c r="B895" s="248" t="s">
        <v>1651</v>
      </c>
      <c r="C895" s="248" t="s">
        <v>366</v>
      </c>
      <c r="D895" s="249" t="s">
        <v>440</v>
      </c>
      <c r="E895" s="250">
        <v>23000</v>
      </c>
      <c r="F895" s="250">
        <v>41.002421496050715</v>
      </c>
      <c r="G895" s="260">
        <v>579.64599999999996</v>
      </c>
      <c r="H895" s="252" t="s">
        <v>173</v>
      </c>
      <c r="I895" s="252" t="s">
        <v>1652</v>
      </c>
      <c r="J895" s="252" t="s">
        <v>96</v>
      </c>
      <c r="K895" s="268" t="s">
        <v>200</v>
      </c>
      <c r="L895" s="252" t="s">
        <v>153</v>
      </c>
      <c r="M895" s="248"/>
      <c r="N895" s="248"/>
      <c r="O895" s="248"/>
    </row>
    <row r="896" spans="1:15" hidden="1">
      <c r="A896" s="247">
        <v>45798</v>
      </c>
      <c r="B896" s="248" t="s">
        <v>4842</v>
      </c>
      <c r="C896" s="254" t="s">
        <v>175</v>
      </c>
      <c r="D896" s="249" t="s">
        <v>440</v>
      </c>
      <c r="E896" s="250">
        <v>80000</v>
      </c>
      <c r="F896" s="250">
        <v>142.61711824713291</v>
      </c>
      <c r="G896" s="260">
        <v>579.64599999999996</v>
      </c>
      <c r="H896" s="252" t="s">
        <v>315</v>
      </c>
      <c r="I896" s="252" t="s">
        <v>1593</v>
      </c>
      <c r="J896" s="252" t="s">
        <v>96</v>
      </c>
      <c r="K896" s="268" t="s">
        <v>200</v>
      </c>
      <c r="L896" s="252" t="s">
        <v>153</v>
      </c>
      <c r="M896" s="248"/>
      <c r="N896" s="248"/>
      <c r="O896" s="248"/>
    </row>
    <row r="897" spans="1:15" hidden="1">
      <c r="A897" s="247">
        <v>45798</v>
      </c>
      <c r="B897" s="248" t="s">
        <v>4838</v>
      </c>
      <c r="C897" s="254" t="s">
        <v>175</v>
      </c>
      <c r="D897" s="249" t="s">
        <v>440</v>
      </c>
      <c r="E897" s="250">
        <v>30000</v>
      </c>
      <c r="F897" s="250">
        <v>53.481419342674847</v>
      </c>
      <c r="G897" s="260">
        <v>579.64599999999996</v>
      </c>
      <c r="H897" s="252" t="s">
        <v>321</v>
      </c>
      <c r="I897" s="252" t="s">
        <v>1677</v>
      </c>
      <c r="J897" s="252" t="s">
        <v>96</v>
      </c>
      <c r="K897" s="268" t="s">
        <v>200</v>
      </c>
      <c r="L897" s="252" t="s">
        <v>153</v>
      </c>
      <c r="M897" s="248"/>
      <c r="N897" s="248"/>
      <c r="O897" s="248"/>
    </row>
    <row r="898" spans="1:15" hidden="1">
      <c r="A898" s="247">
        <v>45798</v>
      </c>
      <c r="B898" s="248" t="s">
        <v>4745</v>
      </c>
      <c r="C898" s="248" t="s">
        <v>172</v>
      </c>
      <c r="D898" s="249" t="s">
        <v>440</v>
      </c>
      <c r="E898" s="250">
        <v>7000</v>
      </c>
      <c r="F898" s="250">
        <v>12.47899784662413</v>
      </c>
      <c r="G898" s="260">
        <v>579.64599999999996</v>
      </c>
      <c r="H898" s="252" t="s">
        <v>321</v>
      </c>
      <c r="I898" s="252" t="s">
        <v>1678</v>
      </c>
      <c r="J898" s="252" t="s">
        <v>96</v>
      </c>
      <c r="K898" s="268" t="s">
        <v>200</v>
      </c>
      <c r="L898" s="252" t="s">
        <v>153</v>
      </c>
      <c r="M898" s="248"/>
      <c r="N898" s="248"/>
      <c r="O898" s="248"/>
    </row>
    <row r="899" spans="1:15" hidden="1">
      <c r="A899" s="247">
        <v>45798</v>
      </c>
      <c r="B899" s="248" t="s">
        <v>1763</v>
      </c>
      <c r="C899" s="254" t="s">
        <v>175</v>
      </c>
      <c r="D899" s="249" t="s">
        <v>115</v>
      </c>
      <c r="E899" s="250">
        <v>20000</v>
      </c>
      <c r="F899" s="250">
        <v>35.654279561783227</v>
      </c>
      <c r="G899" s="260">
        <v>579.64599999999996</v>
      </c>
      <c r="H899" s="252" t="s">
        <v>188</v>
      </c>
      <c r="I899" s="252" t="s">
        <v>1764</v>
      </c>
      <c r="J899" s="252" t="s">
        <v>96</v>
      </c>
      <c r="K899" s="268" t="s">
        <v>200</v>
      </c>
      <c r="L899" s="252" t="s">
        <v>153</v>
      </c>
      <c r="M899" s="248"/>
      <c r="N899" s="248"/>
      <c r="O899" s="248"/>
    </row>
    <row r="900" spans="1:15" hidden="1">
      <c r="A900" s="247">
        <v>45798</v>
      </c>
      <c r="B900" s="248" t="s">
        <v>1354</v>
      </c>
      <c r="C900" s="248" t="s">
        <v>172</v>
      </c>
      <c r="D900" s="249" t="s">
        <v>115</v>
      </c>
      <c r="E900" s="250">
        <v>4000</v>
      </c>
      <c r="F900" s="250">
        <v>7.1308559123566457</v>
      </c>
      <c r="G900" s="260">
        <v>579.64599999999996</v>
      </c>
      <c r="H900" s="252" t="s">
        <v>191</v>
      </c>
      <c r="I900" s="252" t="s">
        <v>1786</v>
      </c>
      <c r="J900" s="252" t="s">
        <v>96</v>
      </c>
      <c r="K900" s="268" t="s">
        <v>200</v>
      </c>
      <c r="L900" s="252" t="s">
        <v>153</v>
      </c>
      <c r="M900" s="248"/>
      <c r="N900" s="248"/>
      <c r="O900" s="248"/>
    </row>
    <row r="901" spans="1:15" hidden="1">
      <c r="A901" s="247">
        <v>45798</v>
      </c>
      <c r="B901" s="248" t="s">
        <v>1787</v>
      </c>
      <c r="C901" s="254" t="s">
        <v>175</v>
      </c>
      <c r="D901" s="249" t="s">
        <v>115</v>
      </c>
      <c r="E901" s="250">
        <v>20000</v>
      </c>
      <c r="F901" s="250">
        <v>35.654279561783227</v>
      </c>
      <c r="G901" s="260">
        <v>579.64599999999996</v>
      </c>
      <c r="H901" s="252" t="s">
        <v>191</v>
      </c>
      <c r="I901" s="252" t="s">
        <v>1788</v>
      </c>
      <c r="J901" s="252" t="s">
        <v>96</v>
      </c>
      <c r="K901" s="268" t="s">
        <v>200</v>
      </c>
      <c r="L901" s="252" t="s">
        <v>153</v>
      </c>
      <c r="M901" s="248"/>
      <c r="N901" s="248"/>
      <c r="O901" s="248"/>
    </row>
    <row r="902" spans="1:15" hidden="1">
      <c r="A902" s="247">
        <v>45798</v>
      </c>
      <c r="B902" s="248" t="s">
        <v>1829</v>
      </c>
      <c r="C902" s="248" t="s">
        <v>172</v>
      </c>
      <c r="D902" s="248" t="s">
        <v>118</v>
      </c>
      <c r="E902" s="250">
        <v>33000</v>
      </c>
      <c r="F902" s="250">
        <v>58.829561276942329</v>
      </c>
      <c r="G902" s="260">
        <v>579.64599999999996</v>
      </c>
      <c r="H902" s="252" t="s">
        <v>211</v>
      </c>
      <c r="I902" s="252" t="s">
        <v>1830</v>
      </c>
      <c r="J902" s="252" t="s">
        <v>96</v>
      </c>
      <c r="K902" s="268" t="s">
        <v>200</v>
      </c>
      <c r="L902" s="252" t="s">
        <v>153</v>
      </c>
      <c r="M902" s="248"/>
      <c r="N902" s="248"/>
      <c r="O902" s="248"/>
    </row>
    <row r="903" spans="1:15" hidden="1">
      <c r="A903" s="247">
        <v>45798</v>
      </c>
      <c r="B903" s="248" t="s">
        <v>1866</v>
      </c>
      <c r="C903" s="254" t="s">
        <v>175</v>
      </c>
      <c r="D903" s="249" t="s">
        <v>115</v>
      </c>
      <c r="E903" s="250">
        <v>20000</v>
      </c>
      <c r="F903" s="250">
        <v>35.654279561783227</v>
      </c>
      <c r="G903" s="260">
        <v>579.64599999999996</v>
      </c>
      <c r="H903" s="252" t="s">
        <v>185</v>
      </c>
      <c r="I903" s="252" t="s">
        <v>1867</v>
      </c>
      <c r="J903" s="252" t="s">
        <v>96</v>
      </c>
      <c r="K903" s="268" t="s">
        <v>200</v>
      </c>
      <c r="L903" s="252" t="s">
        <v>153</v>
      </c>
      <c r="M903" s="248"/>
      <c r="N903" s="248"/>
      <c r="O903" s="248"/>
    </row>
    <row r="904" spans="1:15" hidden="1">
      <c r="A904" s="247">
        <v>45799</v>
      </c>
      <c r="B904" s="248" t="s">
        <v>4753</v>
      </c>
      <c r="C904" s="254" t="s">
        <v>175</v>
      </c>
      <c r="D904" s="249" t="s">
        <v>440</v>
      </c>
      <c r="E904" s="250">
        <v>30000</v>
      </c>
      <c r="F904" s="250">
        <v>53.481419342674847</v>
      </c>
      <c r="G904" s="260">
        <v>579.64599999999996</v>
      </c>
      <c r="H904" s="252" t="s">
        <v>173</v>
      </c>
      <c r="I904" s="252" t="s">
        <v>1653</v>
      </c>
      <c r="J904" s="252" t="s">
        <v>96</v>
      </c>
      <c r="K904" s="268" t="s">
        <v>200</v>
      </c>
      <c r="L904" s="252" t="s">
        <v>153</v>
      </c>
      <c r="M904" s="248"/>
      <c r="N904" s="248"/>
      <c r="O904" s="248"/>
    </row>
    <row r="905" spans="1:15" hidden="1">
      <c r="A905" s="247">
        <v>45799</v>
      </c>
      <c r="B905" s="248" t="s">
        <v>1550</v>
      </c>
      <c r="C905" s="248" t="s">
        <v>302</v>
      </c>
      <c r="D905" s="248" t="s">
        <v>116</v>
      </c>
      <c r="E905" s="250">
        <v>10000</v>
      </c>
      <c r="F905" s="250">
        <v>17.827139780891613</v>
      </c>
      <c r="G905" s="260">
        <v>579.64599999999996</v>
      </c>
      <c r="H905" s="252" t="s">
        <v>581</v>
      </c>
      <c r="I905" s="252" t="s">
        <v>1734</v>
      </c>
      <c r="J905" s="252" t="s">
        <v>96</v>
      </c>
      <c r="K905" s="268" t="s">
        <v>200</v>
      </c>
      <c r="L905" s="252" t="s">
        <v>153</v>
      </c>
      <c r="M905" s="248"/>
      <c r="N905" s="248"/>
      <c r="O905" s="248"/>
    </row>
    <row r="906" spans="1:15" hidden="1">
      <c r="A906" s="247">
        <v>45799</v>
      </c>
      <c r="B906" s="248" t="s">
        <v>4831</v>
      </c>
      <c r="C906" s="248" t="s">
        <v>172</v>
      </c>
      <c r="D906" s="249" t="s">
        <v>440</v>
      </c>
      <c r="E906" s="250">
        <v>10000</v>
      </c>
      <c r="F906" s="250">
        <v>17.827139780891613</v>
      </c>
      <c r="G906" s="260">
        <v>579.64599999999996</v>
      </c>
      <c r="H906" s="252" t="s">
        <v>173</v>
      </c>
      <c r="I906" s="252" t="s">
        <v>1654</v>
      </c>
      <c r="J906" s="252" t="s">
        <v>96</v>
      </c>
      <c r="K906" s="268" t="s">
        <v>200</v>
      </c>
      <c r="L906" s="252" t="s">
        <v>153</v>
      </c>
      <c r="M906" s="248"/>
      <c r="N906" s="248"/>
      <c r="O906" s="248"/>
    </row>
    <row r="907" spans="1:15" hidden="1">
      <c r="A907" s="247">
        <v>45799</v>
      </c>
      <c r="B907" s="248" t="s">
        <v>4843</v>
      </c>
      <c r="C907" s="254" t="s">
        <v>175</v>
      </c>
      <c r="D907" s="249" t="s">
        <v>440</v>
      </c>
      <c r="E907" s="250">
        <v>15000</v>
      </c>
      <c r="F907" s="250">
        <v>26.740709671337424</v>
      </c>
      <c r="G907" s="260">
        <v>579.64599999999996</v>
      </c>
      <c r="H907" s="252" t="s">
        <v>315</v>
      </c>
      <c r="I907" s="252" t="s">
        <v>1594</v>
      </c>
      <c r="J907" s="252" t="s">
        <v>96</v>
      </c>
      <c r="K907" s="268" t="s">
        <v>200</v>
      </c>
      <c r="L907" s="252" t="s">
        <v>153</v>
      </c>
      <c r="M907" s="248"/>
      <c r="N907" s="248"/>
      <c r="O907" s="248"/>
    </row>
    <row r="908" spans="1:15" hidden="1">
      <c r="A908" s="247">
        <v>45799</v>
      </c>
      <c r="B908" s="248" t="s">
        <v>4749</v>
      </c>
      <c r="C908" s="248" t="s">
        <v>172</v>
      </c>
      <c r="D908" s="249" t="s">
        <v>440</v>
      </c>
      <c r="E908" s="250">
        <v>8000</v>
      </c>
      <c r="F908" s="250">
        <v>14.261711824713291</v>
      </c>
      <c r="G908" s="260">
        <v>579.64599999999996</v>
      </c>
      <c r="H908" s="252" t="s">
        <v>315</v>
      </c>
      <c r="I908" s="252" t="s">
        <v>1595</v>
      </c>
      <c r="J908" s="252" t="s">
        <v>96</v>
      </c>
      <c r="K908" s="268" t="s">
        <v>200</v>
      </c>
      <c r="L908" s="252" t="s">
        <v>153</v>
      </c>
      <c r="M908" s="248"/>
      <c r="N908" s="248"/>
      <c r="O908" s="248"/>
    </row>
    <row r="909" spans="1:15" hidden="1">
      <c r="A909" s="247">
        <v>45799</v>
      </c>
      <c r="B909" s="248" t="s">
        <v>4745</v>
      </c>
      <c r="C909" s="248" t="s">
        <v>172</v>
      </c>
      <c r="D909" s="249" t="s">
        <v>440</v>
      </c>
      <c r="E909" s="250">
        <v>3000</v>
      </c>
      <c r="F909" s="250">
        <v>5.3481419342674847</v>
      </c>
      <c r="G909" s="260">
        <v>579.64599999999996</v>
      </c>
      <c r="H909" s="252" t="s">
        <v>321</v>
      </c>
      <c r="I909" s="252" t="s">
        <v>1679</v>
      </c>
      <c r="J909" s="252" t="s">
        <v>96</v>
      </c>
      <c r="K909" s="268" t="s">
        <v>200</v>
      </c>
      <c r="L909" s="252" t="s">
        <v>153</v>
      </c>
      <c r="M909" s="248"/>
      <c r="N909" s="248"/>
      <c r="O909" s="248"/>
    </row>
    <row r="910" spans="1:15" hidden="1">
      <c r="A910" s="247">
        <v>45799</v>
      </c>
      <c r="B910" s="248" t="s">
        <v>4844</v>
      </c>
      <c r="C910" s="248" t="s">
        <v>172</v>
      </c>
      <c r="D910" s="249" t="s">
        <v>440</v>
      </c>
      <c r="E910" s="250">
        <v>3000</v>
      </c>
      <c r="F910" s="250">
        <v>5.3481419342674847</v>
      </c>
      <c r="G910" s="260">
        <v>579.64599999999996</v>
      </c>
      <c r="H910" s="252" t="s">
        <v>321</v>
      </c>
      <c r="I910" s="252" t="s">
        <v>1680</v>
      </c>
      <c r="J910" s="252" t="s">
        <v>96</v>
      </c>
      <c r="K910" s="268" t="s">
        <v>200</v>
      </c>
      <c r="L910" s="252" t="s">
        <v>153</v>
      </c>
      <c r="M910" s="248"/>
      <c r="N910" s="248"/>
      <c r="O910" s="248"/>
    </row>
    <row r="911" spans="1:15" hidden="1">
      <c r="A911" s="247">
        <v>45799</v>
      </c>
      <c r="B911" s="248" t="s">
        <v>4752</v>
      </c>
      <c r="C911" s="248" t="s">
        <v>172</v>
      </c>
      <c r="D911" s="249" t="s">
        <v>440</v>
      </c>
      <c r="E911" s="250">
        <v>10000</v>
      </c>
      <c r="F911" s="250">
        <v>17.827139780891613</v>
      </c>
      <c r="G911" s="260">
        <v>579.64599999999996</v>
      </c>
      <c r="H911" s="252" t="s">
        <v>321</v>
      </c>
      <c r="I911" s="252" t="s">
        <v>1681</v>
      </c>
      <c r="J911" s="252" t="s">
        <v>96</v>
      </c>
      <c r="K911" s="268" t="s">
        <v>200</v>
      </c>
      <c r="L911" s="252" t="s">
        <v>153</v>
      </c>
      <c r="M911" s="248"/>
      <c r="N911" s="248"/>
      <c r="O911" s="248"/>
    </row>
    <row r="912" spans="1:15" hidden="1">
      <c r="A912" s="247">
        <v>45799</v>
      </c>
      <c r="B912" s="248" t="s">
        <v>1767</v>
      </c>
      <c r="C912" s="248" t="s">
        <v>311</v>
      </c>
      <c r="D912" s="249" t="s">
        <v>115</v>
      </c>
      <c r="E912" s="250">
        <v>27000</v>
      </c>
      <c r="F912" s="250">
        <v>48.133277408407359</v>
      </c>
      <c r="G912" s="260">
        <v>579.64599999999996</v>
      </c>
      <c r="H912" s="252" t="s">
        <v>188</v>
      </c>
      <c r="I912" s="252" t="s">
        <v>1768</v>
      </c>
      <c r="J912" s="252" t="s">
        <v>96</v>
      </c>
      <c r="K912" s="268" t="s">
        <v>200</v>
      </c>
      <c r="L912" s="252" t="s">
        <v>153</v>
      </c>
      <c r="M912" s="248"/>
      <c r="N912" s="248"/>
      <c r="O912" s="248"/>
    </row>
    <row r="913" spans="1:15" hidden="1">
      <c r="A913" s="247">
        <v>45799</v>
      </c>
      <c r="B913" s="248" t="s">
        <v>1789</v>
      </c>
      <c r="C913" s="248" t="s">
        <v>311</v>
      </c>
      <c r="D913" s="249" t="s">
        <v>115</v>
      </c>
      <c r="E913" s="250">
        <v>9000</v>
      </c>
      <c r="F913" s="250">
        <v>16.044425802802454</v>
      </c>
      <c r="G913" s="260">
        <v>579.64599999999996</v>
      </c>
      <c r="H913" s="252" t="s">
        <v>191</v>
      </c>
      <c r="I913" s="252" t="s">
        <v>1790</v>
      </c>
      <c r="J913" s="252" t="s">
        <v>96</v>
      </c>
      <c r="K913" s="268" t="s">
        <v>200</v>
      </c>
      <c r="L913" s="252" t="s">
        <v>153</v>
      </c>
      <c r="M913" s="248"/>
      <c r="N913" s="248"/>
      <c r="O913" s="248"/>
    </row>
    <row r="914" spans="1:15" hidden="1">
      <c r="A914" s="247">
        <v>45799</v>
      </c>
      <c r="B914" s="248" t="s">
        <v>1831</v>
      </c>
      <c r="C914" s="254" t="s">
        <v>175</v>
      </c>
      <c r="D914" s="248" t="s">
        <v>118</v>
      </c>
      <c r="E914" s="250">
        <v>130000</v>
      </c>
      <c r="F914" s="250">
        <v>231.75281715159099</v>
      </c>
      <c r="G914" s="260">
        <v>579.64599999999996</v>
      </c>
      <c r="H914" s="252" t="s">
        <v>211</v>
      </c>
      <c r="I914" s="252" t="s">
        <v>1832</v>
      </c>
      <c r="J914" s="252" t="s">
        <v>96</v>
      </c>
      <c r="K914" s="268" t="s">
        <v>200</v>
      </c>
      <c r="L914" s="252" t="s">
        <v>153</v>
      </c>
      <c r="M914" s="248"/>
      <c r="N914" s="248"/>
      <c r="O914" s="248"/>
    </row>
    <row r="915" spans="1:15" hidden="1">
      <c r="A915" s="247">
        <v>45799</v>
      </c>
      <c r="B915" s="248" t="s">
        <v>1868</v>
      </c>
      <c r="C915" s="248" t="s">
        <v>172</v>
      </c>
      <c r="D915" s="249" t="s">
        <v>115</v>
      </c>
      <c r="E915" s="250">
        <v>7000</v>
      </c>
      <c r="F915" s="250">
        <v>12.47899784662413</v>
      </c>
      <c r="G915" s="260">
        <v>579.64599999999996</v>
      </c>
      <c r="H915" s="252" t="s">
        <v>185</v>
      </c>
      <c r="I915" s="252" t="s">
        <v>1869</v>
      </c>
      <c r="J915" s="252" t="s">
        <v>96</v>
      </c>
      <c r="K915" s="268" t="s">
        <v>200</v>
      </c>
      <c r="L915" s="252" t="s">
        <v>153</v>
      </c>
      <c r="M915" s="248"/>
      <c r="N915" s="248"/>
      <c r="O915" s="248"/>
    </row>
    <row r="916" spans="1:15" hidden="1">
      <c r="A916" s="247">
        <v>45799</v>
      </c>
      <c r="B916" s="248" t="s">
        <v>1870</v>
      </c>
      <c r="C916" s="248" t="s">
        <v>311</v>
      </c>
      <c r="D916" s="249" t="s">
        <v>115</v>
      </c>
      <c r="E916" s="250">
        <v>43500</v>
      </c>
      <c r="F916" s="250">
        <v>77.548058046878523</v>
      </c>
      <c r="G916" s="260">
        <v>579.64599999999996</v>
      </c>
      <c r="H916" s="252" t="s">
        <v>185</v>
      </c>
      <c r="I916" s="252" t="s">
        <v>1871</v>
      </c>
      <c r="J916" s="252" t="s">
        <v>96</v>
      </c>
      <c r="K916" s="268" t="s">
        <v>200</v>
      </c>
      <c r="L916" s="252" t="s">
        <v>153</v>
      </c>
      <c r="M916" s="248"/>
      <c r="N916" s="248"/>
      <c r="O916" s="248"/>
    </row>
    <row r="917" spans="1:15" hidden="1">
      <c r="A917" s="247">
        <v>45800</v>
      </c>
      <c r="B917" s="248" t="s">
        <v>1765</v>
      </c>
      <c r="C917" s="248" t="s">
        <v>172</v>
      </c>
      <c r="D917" s="249" t="s">
        <v>115</v>
      </c>
      <c r="E917" s="250">
        <v>10000</v>
      </c>
      <c r="F917" s="250">
        <v>17.827139780891613</v>
      </c>
      <c r="G917" s="260">
        <v>579.64599999999996</v>
      </c>
      <c r="H917" s="252" t="s">
        <v>188</v>
      </c>
      <c r="I917" s="252" t="s">
        <v>1766</v>
      </c>
      <c r="J917" s="252" t="s">
        <v>96</v>
      </c>
      <c r="K917" s="268" t="s">
        <v>200</v>
      </c>
      <c r="L917" s="252" t="s">
        <v>153</v>
      </c>
      <c r="M917" s="248"/>
      <c r="N917" s="248"/>
      <c r="O917" s="248"/>
    </row>
    <row r="918" spans="1:15" hidden="1">
      <c r="A918" s="247">
        <v>45800</v>
      </c>
      <c r="B918" s="248" t="s">
        <v>1545</v>
      </c>
      <c r="C918" s="255" t="s">
        <v>2090</v>
      </c>
      <c r="D918" s="248" t="s">
        <v>116</v>
      </c>
      <c r="E918" s="250">
        <v>42960</v>
      </c>
      <c r="F918" s="250">
        <v>76.585392498710377</v>
      </c>
      <c r="G918" s="260">
        <v>579.64599999999996</v>
      </c>
      <c r="H918" s="252" t="s">
        <v>581</v>
      </c>
      <c r="I918" s="252" t="s">
        <v>1735</v>
      </c>
      <c r="J918" s="252" t="s">
        <v>96</v>
      </c>
      <c r="K918" s="268" t="s">
        <v>200</v>
      </c>
      <c r="L918" s="252" t="s">
        <v>153</v>
      </c>
      <c r="M918" s="248"/>
      <c r="N918" s="248"/>
      <c r="O918" s="248"/>
    </row>
    <row r="919" spans="1:15" hidden="1">
      <c r="A919" s="247">
        <v>45800</v>
      </c>
      <c r="B919" s="248" t="s">
        <v>1551</v>
      </c>
      <c r="C919" s="255" t="s">
        <v>2090</v>
      </c>
      <c r="D919" s="248" t="s">
        <v>116</v>
      </c>
      <c r="E919" s="250">
        <v>4750</v>
      </c>
      <c r="F919" s="250">
        <v>8.4678913959235178</v>
      </c>
      <c r="G919" s="260">
        <v>579.64599999999996</v>
      </c>
      <c r="H919" s="252" t="s">
        <v>581</v>
      </c>
      <c r="I919" s="252" t="s">
        <v>1736</v>
      </c>
      <c r="J919" s="252" t="s">
        <v>96</v>
      </c>
      <c r="K919" s="268" t="s">
        <v>200</v>
      </c>
      <c r="L919" s="252" t="s">
        <v>153</v>
      </c>
      <c r="M919" s="248"/>
      <c r="N919" s="248"/>
      <c r="O919" s="248"/>
    </row>
    <row r="920" spans="1:15" hidden="1">
      <c r="A920" s="247">
        <v>45800</v>
      </c>
      <c r="B920" s="248" t="s">
        <v>4758</v>
      </c>
      <c r="C920" s="248" t="s">
        <v>172</v>
      </c>
      <c r="D920" s="249" t="s">
        <v>440</v>
      </c>
      <c r="E920" s="250">
        <v>10000</v>
      </c>
      <c r="F920" s="250">
        <v>17.827139780891613</v>
      </c>
      <c r="G920" s="260">
        <v>579.64599999999996</v>
      </c>
      <c r="H920" s="252" t="s">
        <v>182</v>
      </c>
      <c r="I920" s="253" t="s">
        <v>1621</v>
      </c>
      <c r="J920" s="252" t="s">
        <v>96</v>
      </c>
      <c r="K920" s="268" t="s">
        <v>200</v>
      </c>
      <c r="L920" s="252" t="s">
        <v>153</v>
      </c>
      <c r="M920" s="248"/>
      <c r="N920" s="248"/>
      <c r="O920" s="248"/>
    </row>
    <row r="921" spans="1:15" hidden="1">
      <c r="A921" s="247">
        <v>45800</v>
      </c>
      <c r="B921" s="248" t="s">
        <v>4758</v>
      </c>
      <c r="C921" s="248" t="s">
        <v>172</v>
      </c>
      <c r="D921" s="249" t="s">
        <v>440</v>
      </c>
      <c r="E921" s="250">
        <v>10000</v>
      </c>
      <c r="F921" s="250">
        <v>17.827139780891613</v>
      </c>
      <c r="G921" s="260">
        <v>579.64599999999996</v>
      </c>
      <c r="H921" s="252" t="s">
        <v>182</v>
      </c>
      <c r="I921" s="253" t="s">
        <v>1622</v>
      </c>
      <c r="J921" s="252" t="s">
        <v>96</v>
      </c>
      <c r="K921" s="268" t="s">
        <v>200</v>
      </c>
      <c r="L921" s="252" t="s">
        <v>153</v>
      </c>
      <c r="M921" s="248"/>
      <c r="N921" s="248"/>
      <c r="O921" s="248"/>
    </row>
    <row r="922" spans="1:15" hidden="1">
      <c r="A922" s="247">
        <v>45800</v>
      </c>
      <c r="B922" s="248" t="s">
        <v>4831</v>
      </c>
      <c r="C922" s="248" t="s">
        <v>172</v>
      </c>
      <c r="D922" s="249" t="s">
        <v>440</v>
      </c>
      <c r="E922" s="250">
        <v>10000</v>
      </c>
      <c r="F922" s="250">
        <v>17.827139780891613</v>
      </c>
      <c r="G922" s="260">
        <v>579.64599999999996</v>
      </c>
      <c r="H922" s="252" t="s">
        <v>173</v>
      </c>
      <c r="I922" s="252" t="s">
        <v>1655</v>
      </c>
      <c r="J922" s="252" t="s">
        <v>96</v>
      </c>
      <c r="K922" s="268" t="s">
        <v>200</v>
      </c>
      <c r="L922" s="252" t="s">
        <v>153</v>
      </c>
      <c r="M922" s="248"/>
      <c r="N922" s="248"/>
      <c r="O922" s="248"/>
    </row>
    <row r="923" spans="1:15" hidden="1">
      <c r="A923" s="247">
        <v>45800</v>
      </c>
      <c r="B923" s="248" t="s">
        <v>4831</v>
      </c>
      <c r="C923" s="248" t="s">
        <v>172</v>
      </c>
      <c r="D923" s="249" t="s">
        <v>440</v>
      </c>
      <c r="E923" s="250">
        <v>10000</v>
      </c>
      <c r="F923" s="250">
        <v>17.827139780891613</v>
      </c>
      <c r="G923" s="260">
        <v>579.64599999999996</v>
      </c>
      <c r="H923" s="252" t="s">
        <v>173</v>
      </c>
      <c r="I923" s="252" t="s">
        <v>1656</v>
      </c>
      <c r="J923" s="252" t="s">
        <v>96</v>
      </c>
      <c r="K923" s="268" t="s">
        <v>200</v>
      </c>
      <c r="L923" s="252" t="s">
        <v>153</v>
      </c>
      <c r="M923" s="248"/>
      <c r="N923" s="248"/>
      <c r="O923" s="248"/>
    </row>
    <row r="924" spans="1:15" hidden="1">
      <c r="A924" s="247">
        <v>45800</v>
      </c>
      <c r="B924" s="248" t="s">
        <v>4838</v>
      </c>
      <c r="C924" s="254" t="s">
        <v>175</v>
      </c>
      <c r="D924" s="249" t="s">
        <v>440</v>
      </c>
      <c r="E924" s="250">
        <v>30000</v>
      </c>
      <c r="F924" s="250">
        <v>53.481419342674847</v>
      </c>
      <c r="G924" s="260">
        <v>579.64599999999996</v>
      </c>
      <c r="H924" s="252" t="s">
        <v>321</v>
      </c>
      <c r="I924" s="252" t="s">
        <v>1682</v>
      </c>
      <c r="J924" s="252" t="s">
        <v>96</v>
      </c>
      <c r="K924" s="268" t="s">
        <v>200</v>
      </c>
      <c r="L924" s="252" t="s">
        <v>153</v>
      </c>
      <c r="M924" s="248"/>
      <c r="N924" s="248"/>
      <c r="O924" s="248"/>
    </row>
    <row r="925" spans="1:15" hidden="1">
      <c r="A925" s="247">
        <v>45800</v>
      </c>
      <c r="B925" s="248" t="s">
        <v>1769</v>
      </c>
      <c r="C925" s="254" t="s">
        <v>175</v>
      </c>
      <c r="D925" s="249" t="s">
        <v>115</v>
      </c>
      <c r="E925" s="250">
        <v>30000</v>
      </c>
      <c r="F925" s="250">
        <v>53.481419342674847</v>
      </c>
      <c r="G925" s="260">
        <v>579.64599999999996</v>
      </c>
      <c r="H925" s="252" t="s">
        <v>188</v>
      </c>
      <c r="I925" s="252" t="s">
        <v>1757</v>
      </c>
      <c r="J925" s="252" t="s">
        <v>96</v>
      </c>
      <c r="K925" s="268" t="s">
        <v>200</v>
      </c>
      <c r="L925" s="252" t="s">
        <v>153</v>
      </c>
      <c r="M925" s="248"/>
      <c r="N925" s="248"/>
      <c r="O925" s="248"/>
    </row>
    <row r="926" spans="1:15" hidden="1">
      <c r="A926" s="247">
        <v>45800</v>
      </c>
      <c r="B926" s="248" t="s">
        <v>1791</v>
      </c>
      <c r="C926" s="254" t="s">
        <v>175</v>
      </c>
      <c r="D926" s="249" t="s">
        <v>115</v>
      </c>
      <c r="E926" s="250">
        <v>30000</v>
      </c>
      <c r="F926" s="250">
        <v>53.481419342674847</v>
      </c>
      <c r="G926" s="260">
        <v>579.64599999999996</v>
      </c>
      <c r="H926" s="252" t="s">
        <v>191</v>
      </c>
      <c r="I926" s="252" t="s">
        <v>1792</v>
      </c>
      <c r="J926" s="252" t="s">
        <v>96</v>
      </c>
      <c r="K926" s="268" t="s">
        <v>200</v>
      </c>
      <c r="L926" s="252" t="s">
        <v>153</v>
      </c>
      <c r="M926" s="248"/>
      <c r="N926" s="248"/>
      <c r="O926" s="248"/>
    </row>
    <row r="927" spans="1:15" hidden="1">
      <c r="A927" s="247">
        <v>45800</v>
      </c>
      <c r="B927" s="248" t="s">
        <v>1360</v>
      </c>
      <c r="C927" s="248" t="s">
        <v>172</v>
      </c>
      <c r="D927" s="249" t="s">
        <v>115</v>
      </c>
      <c r="E927" s="250">
        <v>5000</v>
      </c>
      <c r="F927" s="250">
        <v>8.9135698904458067</v>
      </c>
      <c r="G927" s="260">
        <v>579.64599999999996</v>
      </c>
      <c r="H927" s="252" t="s">
        <v>191</v>
      </c>
      <c r="I927" s="252" t="s">
        <v>1793</v>
      </c>
      <c r="J927" s="252" t="s">
        <v>96</v>
      </c>
      <c r="K927" s="268" t="s">
        <v>200</v>
      </c>
      <c r="L927" s="252" t="s">
        <v>153</v>
      </c>
      <c r="M927" s="248"/>
      <c r="N927" s="248"/>
      <c r="O927" s="248"/>
    </row>
    <row r="928" spans="1:15" hidden="1">
      <c r="A928" s="247">
        <v>45800</v>
      </c>
      <c r="B928" s="248" t="s">
        <v>1794</v>
      </c>
      <c r="C928" s="248" t="s">
        <v>172</v>
      </c>
      <c r="D928" s="249" t="s">
        <v>115</v>
      </c>
      <c r="E928" s="250">
        <v>7000</v>
      </c>
      <c r="F928" s="250">
        <v>12.47899784662413</v>
      </c>
      <c r="G928" s="260">
        <v>579.64599999999996</v>
      </c>
      <c r="H928" s="252" t="s">
        <v>191</v>
      </c>
      <c r="I928" s="252" t="s">
        <v>1795</v>
      </c>
      <c r="J928" s="252" t="s">
        <v>96</v>
      </c>
      <c r="K928" s="268" t="s">
        <v>200</v>
      </c>
      <c r="L928" s="252" t="s">
        <v>153</v>
      </c>
      <c r="M928" s="248"/>
      <c r="N928" s="248"/>
      <c r="O928" s="248"/>
    </row>
    <row r="929" spans="1:15" hidden="1">
      <c r="A929" s="247">
        <v>45800</v>
      </c>
      <c r="B929" s="248" t="s">
        <v>1833</v>
      </c>
      <c r="C929" s="254" t="s">
        <v>175</v>
      </c>
      <c r="D929" s="248" t="s">
        <v>118</v>
      </c>
      <c r="E929" s="250">
        <v>15000</v>
      </c>
      <c r="F929" s="250">
        <v>26.740709671337424</v>
      </c>
      <c r="G929" s="260">
        <v>579.64599999999996</v>
      </c>
      <c r="H929" s="252" t="s">
        <v>211</v>
      </c>
      <c r="I929" s="252" t="s">
        <v>1834</v>
      </c>
      <c r="J929" s="252" t="s">
        <v>96</v>
      </c>
      <c r="K929" s="268" t="s">
        <v>200</v>
      </c>
      <c r="L929" s="252" t="s">
        <v>153</v>
      </c>
      <c r="M929" s="248"/>
      <c r="N929" s="248"/>
      <c r="O929" s="248"/>
    </row>
    <row r="930" spans="1:15" hidden="1">
      <c r="A930" s="247">
        <v>45800</v>
      </c>
      <c r="B930" s="248" t="s">
        <v>1872</v>
      </c>
      <c r="C930" s="254" t="s">
        <v>175</v>
      </c>
      <c r="D930" s="249" t="s">
        <v>115</v>
      </c>
      <c r="E930" s="250">
        <v>30000</v>
      </c>
      <c r="F930" s="250">
        <v>53.481419342674847</v>
      </c>
      <c r="G930" s="260">
        <v>579.64599999999996</v>
      </c>
      <c r="H930" s="252" t="s">
        <v>185</v>
      </c>
      <c r="I930" s="252" t="s">
        <v>1873</v>
      </c>
      <c r="J930" s="252" t="s">
        <v>96</v>
      </c>
      <c r="K930" s="268" t="s">
        <v>200</v>
      </c>
      <c r="L930" s="252" t="s">
        <v>153</v>
      </c>
      <c r="M930" s="248"/>
      <c r="N930" s="248"/>
      <c r="O930" s="248"/>
    </row>
    <row r="931" spans="1:15" hidden="1">
      <c r="A931" s="247">
        <v>45801</v>
      </c>
      <c r="B931" s="248" t="s">
        <v>1835</v>
      </c>
      <c r="C931" s="254" t="s">
        <v>175</v>
      </c>
      <c r="D931" s="248" t="s">
        <v>118</v>
      </c>
      <c r="E931" s="250">
        <v>15000</v>
      </c>
      <c r="F931" s="250">
        <v>26.740709671337424</v>
      </c>
      <c r="G931" s="260">
        <v>579.64599999999996</v>
      </c>
      <c r="H931" s="252" t="s">
        <v>211</v>
      </c>
      <c r="I931" s="252" t="s">
        <v>1836</v>
      </c>
      <c r="J931" s="252" t="s">
        <v>96</v>
      </c>
      <c r="K931" s="268" t="s">
        <v>200</v>
      </c>
      <c r="L931" s="252" t="s">
        <v>153</v>
      </c>
      <c r="M931" s="248"/>
      <c r="N931" s="248"/>
      <c r="O931" s="248"/>
    </row>
    <row r="932" spans="1:15" hidden="1">
      <c r="A932" s="247">
        <v>45802</v>
      </c>
      <c r="B932" s="248" t="s">
        <v>1710</v>
      </c>
      <c r="C932" s="254" t="s">
        <v>175</v>
      </c>
      <c r="D932" s="248" t="s">
        <v>2091</v>
      </c>
      <c r="E932" s="250">
        <v>150000</v>
      </c>
      <c r="F932" s="250">
        <v>267.40709671337424</v>
      </c>
      <c r="G932" s="260">
        <v>579.64599999999996</v>
      </c>
      <c r="H932" s="252" t="s">
        <v>198</v>
      </c>
      <c r="I932" s="253" t="s">
        <v>1711</v>
      </c>
      <c r="J932" s="252" t="s">
        <v>96</v>
      </c>
      <c r="K932" s="268" t="s">
        <v>200</v>
      </c>
      <c r="L932" s="252" t="s">
        <v>153</v>
      </c>
      <c r="M932" s="248"/>
      <c r="N932" s="248"/>
      <c r="O932" s="248"/>
    </row>
    <row r="933" spans="1:15" hidden="1">
      <c r="A933" s="247">
        <v>45803</v>
      </c>
      <c r="B933" s="248" t="s">
        <v>1521</v>
      </c>
      <c r="C933" s="248" t="s">
        <v>125</v>
      </c>
      <c r="D933" s="248" t="s">
        <v>117</v>
      </c>
      <c r="E933" s="250">
        <v>1311000</v>
      </c>
      <c r="F933" s="250">
        <v>2337.1380252748909</v>
      </c>
      <c r="G933" s="251">
        <v>560.94248000000005</v>
      </c>
      <c r="H933" s="252" t="s">
        <v>146</v>
      </c>
      <c r="I933" s="252" t="s">
        <v>1884</v>
      </c>
      <c r="J933" s="252" t="s">
        <v>96</v>
      </c>
      <c r="K933" s="265" t="s">
        <v>1906</v>
      </c>
      <c r="L933" s="270" t="s">
        <v>153</v>
      </c>
      <c r="M933" s="248"/>
      <c r="N933" s="248"/>
      <c r="O933" s="248"/>
    </row>
    <row r="934" spans="1:15" hidden="1">
      <c r="A934" s="247">
        <v>45803</v>
      </c>
      <c r="B934" s="248" t="s">
        <v>1522</v>
      </c>
      <c r="C934" s="248" t="s">
        <v>125</v>
      </c>
      <c r="D934" s="248" t="s">
        <v>116</v>
      </c>
      <c r="E934" s="250">
        <v>230000</v>
      </c>
      <c r="F934" s="250">
        <v>410.02421496050715</v>
      </c>
      <c r="G934" s="251">
        <v>560.94248000000005</v>
      </c>
      <c r="H934" s="252" t="s">
        <v>146</v>
      </c>
      <c r="I934" s="252" t="s">
        <v>1885</v>
      </c>
      <c r="J934" s="252" t="s">
        <v>96</v>
      </c>
      <c r="K934" s="265" t="s">
        <v>1906</v>
      </c>
      <c r="L934" s="270" t="s">
        <v>153</v>
      </c>
      <c r="M934" s="248"/>
      <c r="N934" s="248"/>
      <c r="O934" s="248"/>
    </row>
    <row r="935" spans="1:15" hidden="1">
      <c r="A935" s="247">
        <v>45803</v>
      </c>
      <c r="B935" s="248" t="s">
        <v>1523</v>
      </c>
      <c r="C935" s="248" t="s">
        <v>125</v>
      </c>
      <c r="D935" s="249" t="s">
        <v>115</v>
      </c>
      <c r="E935" s="250">
        <v>200000</v>
      </c>
      <c r="F935" s="250">
        <v>356.54279561783233</v>
      </c>
      <c r="G935" s="251">
        <v>560.94248000000005</v>
      </c>
      <c r="H935" s="252" t="s">
        <v>146</v>
      </c>
      <c r="I935" s="252" t="s">
        <v>1886</v>
      </c>
      <c r="J935" s="252" t="s">
        <v>96</v>
      </c>
      <c r="K935" s="265" t="s">
        <v>1906</v>
      </c>
      <c r="L935" s="270" t="s">
        <v>153</v>
      </c>
      <c r="M935" s="248"/>
      <c r="N935" s="248"/>
      <c r="O935" s="248"/>
    </row>
    <row r="936" spans="1:15" hidden="1">
      <c r="A936" s="247">
        <v>45803</v>
      </c>
      <c r="B936" s="248" t="s">
        <v>1524</v>
      </c>
      <c r="C936" s="248" t="s">
        <v>125</v>
      </c>
      <c r="D936" s="249" t="s">
        <v>115</v>
      </c>
      <c r="E936" s="250">
        <v>200000</v>
      </c>
      <c r="F936" s="250">
        <v>356.54279561783233</v>
      </c>
      <c r="G936" s="251">
        <v>560.94248000000005</v>
      </c>
      <c r="H936" s="252" t="s">
        <v>146</v>
      </c>
      <c r="I936" s="252" t="s">
        <v>1887</v>
      </c>
      <c r="J936" s="252" t="s">
        <v>96</v>
      </c>
      <c r="K936" s="265" t="s">
        <v>1906</v>
      </c>
      <c r="L936" s="270" t="s">
        <v>153</v>
      </c>
      <c r="M936" s="248"/>
      <c r="N936" s="248"/>
      <c r="O936" s="248"/>
    </row>
    <row r="937" spans="1:15" hidden="1">
      <c r="A937" s="247">
        <v>45803</v>
      </c>
      <c r="B937" s="248" t="s">
        <v>1525</v>
      </c>
      <c r="C937" s="248" t="s">
        <v>125</v>
      </c>
      <c r="D937" s="249" t="s">
        <v>115</v>
      </c>
      <c r="E937" s="250">
        <v>200000</v>
      </c>
      <c r="F937" s="250">
        <v>356.54279561783233</v>
      </c>
      <c r="G937" s="251">
        <v>560.94248000000005</v>
      </c>
      <c r="H937" s="252" t="s">
        <v>146</v>
      </c>
      <c r="I937" s="252" t="s">
        <v>1888</v>
      </c>
      <c r="J937" s="252" t="s">
        <v>96</v>
      </c>
      <c r="K937" s="265" t="s">
        <v>1906</v>
      </c>
      <c r="L937" s="270" t="s">
        <v>153</v>
      </c>
      <c r="M937" s="248"/>
      <c r="N937" s="248"/>
      <c r="O937" s="248"/>
    </row>
    <row r="938" spans="1:15" hidden="1">
      <c r="A938" s="247">
        <v>45803</v>
      </c>
      <c r="B938" s="248" t="s">
        <v>1526</v>
      </c>
      <c r="C938" s="248" t="s">
        <v>125</v>
      </c>
      <c r="D938" s="249" t="s">
        <v>115</v>
      </c>
      <c r="E938" s="250">
        <v>551482</v>
      </c>
      <c r="F938" s="250">
        <v>983.13467006456699</v>
      </c>
      <c r="G938" s="251">
        <v>560.94248000000005</v>
      </c>
      <c r="H938" s="252" t="s">
        <v>146</v>
      </c>
      <c r="I938" s="252" t="s">
        <v>1889</v>
      </c>
      <c r="J938" s="252" t="s">
        <v>96</v>
      </c>
      <c r="K938" s="265" t="s">
        <v>1906</v>
      </c>
      <c r="L938" s="270" t="s">
        <v>153</v>
      </c>
      <c r="M938" s="248"/>
      <c r="N938" s="248"/>
      <c r="O938" s="248"/>
    </row>
    <row r="939" spans="1:15" hidden="1">
      <c r="A939" s="247">
        <v>45803</v>
      </c>
      <c r="B939" s="248" t="s">
        <v>1527</v>
      </c>
      <c r="C939" s="248" t="s">
        <v>125</v>
      </c>
      <c r="D939" s="248" t="s">
        <v>118</v>
      </c>
      <c r="E939" s="250">
        <v>89773</v>
      </c>
      <c r="F939" s="250">
        <v>160.03958195499828</v>
      </c>
      <c r="G939" s="251">
        <v>560.94248000000005</v>
      </c>
      <c r="H939" s="252" t="s">
        <v>146</v>
      </c>
      <c r="I939" s="252" t="s">
        <v>1890</v>
      </c>
      <c r="J939" s="252" t="s">
        <v>96</v>
      </c>
      <c r="K939" s="265" t="s">
        <v>1906</v>
      </c>
      <c r="L939" s="270" t="s">
        <v>153</v>
      </c>
      <c r="M939" s="248"/>
      <c r="N939" s="248"/>
      <c r="O939" s="248"/>
    </row>
    <row r="940" spans="1:15" hidden="1">
      <c r="A940" s="247">
        <v>45803</v>
      </c>
      <c r="B940" s="248" t="s">
        <v>1528</v>
      </c>
      <c r="C940" s="248" t="s">
        <v>125</v>
      </c>
      <c r="D940" s="249" t="s">
        <v>115</v>
      </c>
      <c r="E940" s="250">
        <v>300000</v>
      </c>
      <c r="F940" s="250">
        <v>534.81419342674849</v>
      </c>
      <c r="G940" s="251">
        <v>560.94248000000005</v>
      </c>
      <c r="H940" s="252" t="s">
        <v>146</v>
      </c>
      <c r="I940" s="252" t="s">
        <v>1891</v>
      </c>
      <c r="J940" s="252" t="s">
        <v>96</v>
      </c>
      <c r="K940" s="265" t="s">
        <v>1906</v>
      </c>
      <c r="L940" s="270" t="s">
        <v>153</v>
      </c>
      <c r="M940" s="248"/>
      <c r="N940" s="248"/>
      <c r="O940" s="248"/>
    </row>
    <row r="941" spans="1:15" hidden="1">
      <c r="A941" s="247">
        <v>45803</v>
      </c>
      <c r="B941" s="248" t="s">
        <v>1553</v>
      </c>
      <c r="C941" s="254" t="s">
        <v>1168</v>
      </c>
      <c r="D941" s="248" t="s">
        <v>116</v>
      </c>
      <c r="E941" s="250">
        <v>300000</v>
      </c>
      <c r="F941" s="250">
        <v>534.81419342674849</v>
      </c>
      <c r="G941" s="260">
        <v>579.64599999999996</v>
      </c>
      <c r="H941" s="252" t="s">
        <v>581</v>
      </c>
      <c r="I941" s="252" t="s">
        <v>1737</v>
      </c>
      <c r="J941" s="252" t="s">
        <v>96</v>
      </c>
      <c r="K941" s="268" t="s">
        <v>200</v>
      </c>
      <c r="L941" s="252" t="s">
        <v>153</v>
      </c>
      <c r="M941" s="248"/>
      <c r="N941" s="248"/>
      <c r="O941" s="248"/>
    </row>
    <row r="942" spans="1:15" hidden="1">
      <c r="A942" s="247">
        <v>45803</v>
      </c>
      <c r="B942" s="248" t="s">
        <v>4759</v>
      </c>
      <c r="C942" s="254" t="s">
        <v>175</v>
      </c>
      <c r="D942" s="249" t="s">
        <v>440</v>
      </c>
      <c r="E942" s="250">
        <v>150000</v>
      </c>
      <c r="F942" s="250">
        <v>267.40709671337424</v>
      </c>
      <c r="G942" s="260">
        <v>579.64599999999996</v>
      </c>
      <c r="H942" s="252" t="s">
        <v>182</v>
      </c>
      <c r="I942" s="253" t="s">
        <v>1623</v>
      </c>
      <c r="J942" s="252" t="s">
        <v>96</v>
      </c>
      <c r="K942" s="268" t="s">
        <v>200</v>
      </c>
      <c r="L942" s="252" t="s">
        <v>153</v>
      </c>
      <c r="M942" s="248"/>
      <c r="N942" s="248"/>
      <c r="O942" s="248"/>
    </row>
    <row r="943" spans="1:15" hidden="1">
      <c r="A943" s="247">
        <v>45803</v>
      </c>
      <c r="B943" s="248" t="s">
        <v>1624</v>
      </c>
      <c r="C943" s="248" t="s">
        <v>172</v>
      </c>
      <c r="D943" s="249" t="s">
        <v>440</v>
      </c>
      <c r="E943" s="250">
        <v>94900</v>
      </c>
      <c r="F943" s="250">
        <v>169.17955652066144</v>
      </c>
      <c r="G943" s="260">
        <v>579.64599999999996</v>
      </c>
      <c r="H943" s="252" t="s">
        <v>182</v>
      </c>
      <c r="I943" s="253" t="s">
        <v>1625</v>
      </c>
      <c r="J943" s="252" t="s">
        <v>96</v>
      </c>
      <c r="K943" s="268" t="s">
        <v>200</v>
      </c>
      <c r="L943" s="252" t="s">
        <v>153</v>
      </c>
      <c r="M943" s="248"/>
      <c r="N943" s="248"/>
      <c r="O943" s="248"/>
    </row>
    <row r="944" spans="1:15" hidden="1">
      <c r="A944" s="247">
        <v>45803</v>
      </c>
      <c r="B944" s="248" t="s">
        <v>4762</v>
      </c>
      <c r="C944" s="254" t="s">
        <v>175</v>
      </c>
      <c r="D944" s="249" t="s">
        <v>440</v>
      </c>
      <c r="E944" s="250">
        <v>60000</v>
      </c>
      <c r="F944" s="250">
        <v>106.96283868534969</v>
      </c>
      <c r="G944" s="260">
        <v>579.64599999999996</v>
      </c>
      <c r="H944" s="252" t="s">
        <v>315</v>
      </c>
      <c r="I944" s="252" t="s">
        <v>1596</v>
      </c>
      <c r="J944" s="252" t="s">
        <v>96</v>
      </c>
      <c r="K944" s="268" t="s">
        <v>200</v>
      </c>
      <c r="L944" s="252" t="s">
        <v>153</v>
      </c>
      <c r="M944" s="248"/>
      <c r="N944" s="248"/>
      <c r="O944" s="248"/>
    </row>
    <row r="945" spans="1:15" hidden="1">
      <c r="A945" s="247">
        <v>45803</v>
      </c>
      <c r="B945" s="248" t="s">
        <v>4749</v>
      </c>
      <c r="C945" s="248" t="s">
        <v>172</v>
      </c>
      <c r="D945" s="249" t="s">
        <v>440</v>
      </c>
      <c r="E945" s="250">
        <v>5000</v>
      </c>
      <c r="F945" s="250">
        <v>8.9135698904458067</v>
      </c>
      <c r="G945" s="260">
        <v>579.64599999999996</v>
      </c>
      <c r="H945" s="252" t="s">
        <v>315</v>
      </c>
      <c r="I945" s="252" t="s">
        <v>1597</v>
      </c>
      <c r="J945" s="252" t="s">
        <v>96</v>
      </c>
      <c r="K945" s="268" t="s">
        <v>200</v>
      </c>
      <c r="L945" s="252" t="s">
        <v>153</v>
      </c>
      <c r="M945" s="248"/>
      <c r="N945" s="248"/>
      <c r="O945" s="248"/>
    </row>
    <row r="946" spans="1:15" hidden="1">
      <c r="A946" s="247">
        <v>45803</v>
      </c>
      <c r="B946" s="248" t="s">
        <v>1598</v>
      </c>
      <c r="C946" s="248" t="s">
        <v>363</v>
      </c>
      <c r="D946" s="249" t="s">
        <v>440</v>
      </c>
      <c r="E946" s="250">
        <v>12000</v>
      </c>
      <c r="F946" s="250">
        <v>21.392567737069939</v>
      </c>
      <c r="G946" s="260">
        <v>579.64599999999996</v>
      </c>
      <c r="H946" s="252" t="s">
        <v>315</v>
      </c>
      <c r="I946" s="252" t="s">
        <v>1599</v>
      </c>
      <c r="J946" s="252" t="s">
        <v>96</v>
      </c>
      <c r="K946" s="268" t="s">
        <v>200</v>
      </c>
      <c r="L946" s="252" t="s">
        <v>153</v>
      </c>
      <c r="M946" s="248"/>
      <c r="N946" s="248"/>
      <c r="O946" s="248"/>
    </row>
    <row r="947" spans="1:15" hidden="1">
      <c r="A947" s="247">
        <v>45803</v>
      </c>
      <c r="B947" s="248" t="s">
        <v>1552</v>
      </c>
      <c r="C947" s="255" t="s">
        <v>2090</v>
      </c>
      <c r="D947" s="248" t="s">
        <v>116</v>
      </c>
      <c r="E947" s="250">
        <v>3800</v>
      </c>
      <c r="F947" s="250">
        <v>6.7743131167388135</v>
      </c>
      <c r="G947" s="260">
        <v>579.64599999999996</v>
      </c>
      <c r="H947" s="252" t="s">
        <v>188</v>
      </c>
      <c r="I947" s="252" t="s">
        <v>1754</v>
      </c>
      <c r="J947" s="252" t="s">
        <v>96</v>
      </c>
      <c r="K947" s="268" t="s">
        <v>200</v>
      </c>
      <c r="L947" s="252" t="s">
        <v>153</v>
      </c>
      <c r="M947" s="248"/>
      <c r="N947" s="248"/>
      <c r="O947" s="248"/>
    </row>
    <row r="948" spans="1:15" hidden="1">
      <c r="A948" s="247">
        <v>45803</v>
      </c>
      <c r="B948" s="248" t="s">
        <v>1814</v>
      </c>
      <c r="C948" s="248" t="s">
        <v>1815</v>
      </c>
      <c r="D948" s="249" t="s">
        <v>115</v>
      </c>
      <c r="E948" s="250">
        <v>1400</v>
      </c>
      <c r="F948" s="250">
        <v>2.4957995693248263</v>
      </c>
      <c r="G948" s="260">
        <v>579.64599999999996</v>
      </c>
      <c r="H948" s="252" t="s">
        <v>195</v>
      </c>
      <c r="I948" s="252" t="s">
        <v>1816</v>
      </c>
      <c r="J948" s="252" t="s">
        <v>96</v>
      </c>
      <c r="K948" s="268" t="s">
        <v>200</v>
      </c>
      <c r="L948" s="252" t="s">
        <v>153</v>
      </c>
      <c r="M948" s="248"/>
      <c r="N948" s="248"/>
      <c r="O948" s="248"/>
    </row>
    <row r="949" spans="1:15" hidden="1">
      <c r="A949" s="247">
        <v>45803</v>
      </c>
      <c r="B949" s="248" t="s">
        <v>1554</v>
      </c>
      <c r="C949" s="254" t="s">
        <v>1168</v>
      </c>
      <c r="D949" s="248" t="s">
        <v>116</v>
      </c>
      <c r="E949" s="250">
        <v>20000</v>
      </c>
      <c r="F949" s="250">
        <v>35.654279561783227</v>
      </c>
      <c r="G949" s="260">
        <v>579.64599999999996</v>
      </c>
      <c r="H949" s="252" t="s">
        <v>185</v>
      </c>
      <c r="I949" s="252" t="s">
        <v>1776</v>
      </c>
      <c r="J949" s="252" t="s">
        <v>96</v>
      </c>
      <c r="K949" s="268" t="s">
        <v>200</v>
      </c>
      <c r="L949" s="252" t="s">
        <v>153</v>
      </c>
      <c r="M949" s="248"/>
      <c r="N949" s="248"/>
      <c r="O949" s="248"/>
    </row>
    <row r="950" spans="1:15" hidden="1">
      <c r="A950" s="247">
        <v>45804</v>
      </c>
      <c r="B950" s="248" t="s">
        <v>1712</v>
      </c>
      <c r="C950" s="254" t="s">
        <v>175</v>
      </c>
      <c r="D950" s="248" t="s">
        <v>2091</v>
      </c>
      <c r="E950" s="250">
        <v>10000</v>
      </c>
      <c r="F950" s="250">
        <v>17.827139780891613</v>
      </c>
      <c r="G950" s="260">
        <v>579.64599999999996</v>
      </c>
      <c r="H950" s="252" t="s">
        <v>198</v>
      </c>
      <c r="I950" s="253" t="s">
        <v>1713</v>
      </c>
      <c r="J950" s="252" t="s">
        <v>96</v>
      </c>
      <c r="K950" s="268" t="s">
        <v>200</v>
      </c>
      <c r="L950" s="252" t="s">
        <v>153</v>
      </c>
      <c r="M950" s="248"/>
      <c r="N950" s="248"/>
      <c r="O950" s="248"/>
    </row>
    <row r="951" spans="1:15" hidden="1">
      <c r="A951" s="247">
        <v>45804</v>
      </c>
      <c r="B951" s="248" t="s">
        <v>1714</v>
      </c>
      <c r="C951" s="254" t="s">
        <v>175</v>
      </c>
      <c r="D951" s="248" t="s">
        <v>2091</v>
      </c>
      <c r="E951" s="250">
        <v>15000</v>
      </c>
      <c r="F951" s="250">
        <v>26.740709671337424</v>
      </c>
      <c r="G951" s="260">
        <v>579.64599999999996</v>
      </c>
      <c r="H951" s="252" t="s">
        <v>198</v>
      </c>
      <c r="I951" s="253" t="s">
        <v>1715</v>
      </c>
      <c r="J951" s="252" t="s">
        <v>96</v>
      </c>
      <c r="K951" s="268" t="s">
        <v>200</v>
      </c>
      <c r="L951" s="252" t="s">
        <v>153</v>
      </c>
      <c r="M951" s="248"/>
      <c r="N951" s="248"/>
      <c r="O951" s="248"/>
    </row>
    <row r="952" spans="1:15" hidden="1">
      <c r="A952" s="247">
        <v>45804</v>
      </c>
      <c r="B952" s="248" t="s">
        <v>1716</v>
      </c>
      <c r="C952" s="254" t="s">
        <v>175</v>
      </c>
      <c r="D952" s="248" t="s">
        <v>2091</v>
      </c>
      <c r="E952" s="250">
        <v>13000</v>
      </c>
      <c r="F952" s="250">
        <v>23.175281715159098</v>
      </c>
      <c r="G952" s="260">
        <v>579.64599999999996</v>
      </c>
      <c r="H952" s="252" t="s">
        <v>198</v>
      </c>
      <c r="I952" s="253" t="s">
        <v>1717</v>
      </c>
      <c r="J952" s="252" t="s">
        <v>96</v>
      </c>
      <c r="K952" s="268" t="s">
        <v>200</v>
      </c>
      <c r="L952" s="252" t="s">
        <v>153</v>
      </c>
      <c r="M952" s="248"/>
      <c r="N952" s="248"/>
      <c r="O952" s="248"/>
    </row>
    <row r="953" spans="1:15" hidden="1">
      <c r="A953" s="247">
        <v>45804</v>
      </c>
      <c r="B953" s="248" t="s">
        <v>1718</v>
      </c>
      <c r="C953" s="248" t="s">
        <v>172</v>
      </c>
      <c r="D953" s="248" t="s">
        <v>2091</v>
      </c>
      <c r="E953" s="250">
        <v>100000</v>
      </c>
      <c r="F953" s="250">
        <v>178.27139780891616</v>
      </c>
      <c r="G953" s="260">
        <v>579.64599999999996</v>
      </c>
      <c r="H953" s="252" t="s">
        <v>198</v>
      </c>
      <c r="I953" s="253" t="s">
        <v>1713</v>
      </c>
      <c r="J953" s="252" t="s">
        <v>96</v>
      </c>
      <c r="K953" s="268" t="s">
        <v>200</v>
      </c>
      <c r="L953" s="252" t="s">
        <v>153</v>
      </c>
      <c r="M953" s="248"/>
      <c r="N953" s="248"/>
      <c r="O953" s="248"/>
    </row>
    <row r="954" spans="1:15" hidden="1">
      <c r="A954" s="247">
        <v>45804</v>
      </c>
      <c r="B954" s="248" t="s">
        <v>1719</v>
      </c>
      <c r="C954" s="254" t="s">
        <v>175</v>
      </c>
      <c r="D954" s="248" t="s">
        <v>2091</v>
      </c>
      <c r="E954" s="250">
        <v>15000</v>
      </c>
      <c r="F954" s="250">
        <v>26.740709671337424</v>
      </c>
      <c r="G954" s="260">
        <v>579.64599999999996</v>
      </c>
      <c r="H954" s="252" t="s">
        <v>198</v>
      </c>
      <c r="I954" s="253" t="s">
        <v>1715</v>
      </c>
      <c r="J954" s="252" t="s">
        <v>96</v>
      </c>
      <c r="K954" s="268" t="s">
        <v>200</v>
      </c>
      <c r="L954" s="252" t="s">
        <v>153</v>
      </c>
      <c r="M954" s="248"/>
      <c r="N954" s="248"/>
      <c r="O954" s="248"/>
    </row>
    <row r="955" spans="1:15" hidden="1">
      <c r="A955" s="247">
        <v>45804</v>
      </c>
      <c r="B955" s="248" t="s">
        <v>1555</v>
      </c>
      <c r="C955" s="255" t="s">
        <v>2090</v>
      </c>
      <c r="D955" s="248" t="s">
        <v>116</v>
      </c>
      <c r="E955" s="250">
        <v>2625</v>
      </c>
      <c r="F955" s="250">
        <v>4.6796241924840487</v>
      </c>
      <c r="G955" s="260">
        <v>579.64599999999996</v>
      </c>
      <c r="H955" s="252" t="s">
        <v>581</v>
      </c>
      <c r="I955" s="252" t="s">
        <v>1738</v>
      </c>
      <c r="J955" s="252" t="s">
        <v>96</v>
      </c>
      <c r="K955" s="268" t="s">
        <v>200</v>
      </c>
      <c r="L955" s="252" t="s">
        <v>153</v>
      </c>
      <c r="M955" s="248"/>
      <c r="N955" s="248"/>
      <c r="O955" s="248"/>
    </row>
    <row r="956" spans="1:15" hidden="1">
      <c r="A956" s="247">
        <v>45804</v>
      </c>
      <c r="B956" s="248" t="s">
        <v>1556</v>
      </c>
      <c r="C956" s="248" t="s">
        <v>302</v>
      </c>
      <c r="D956" s="248" t="s">
        <v>116</v>
      </c>
      <c r="E956" s="250">
        <v>20000</v>
      </c>
      <c r="F956" s="250">
        <v>35.654279561783227</v>
      </c>
      <c r="G956" s="260">
        <v>579.64599999999996</v>
      </c>
      <c r="H956" s="252" t="s">
        <v>581</v>
      </c>
      <c r="I956" s="252" t="s">
        <v>1739</v>
      </c>
      <c r="J956" s="252" t="s">
        <v>96</v>
      </c>
      <c r="K956" s="268" t="s">
        <v>200</v>
      </c>
      <c r="L956" s="252" t="s">
        <v>153</v>
      </c>
      <c r="M956" s="248"/>
      <c r="N956" s="248"/>
      <c r="O956" s="248"/>
    </row>
    <row r="957" spans="1:15" hidden="1">
      <c r="A957" s="247">
        <v>45804</v>
      </c>
      <c r="B957" s="248" t="s">
        <v>4825</v>
      </c>
      <c r="C957" s="248" t="s">
        <v>172</v>
      </c>
      <c r="D957" s="249" t="s">
        <v>440</v>
      </c>
      <c r="E957" s="250">
        <v>315000</v>
      </c>
      <c r="F957" s="250">
        <v>561.5549030980859</v>
      </c>
      <c r="G957" s="260">
        <v>579.64599999999996</v>
      </c>
      <c r="H957" s="252" t="s">
        <v>182</v>
      </c>
      <c r="I957" s="253" t="s">
        <v>1626</v>
      </c>
      <c r="J957" s="252" t="s">
        <v>96</v>
      </c>
      <c r="K957" s="268" t="s">
        <v>200</v>
      </c>
      <c r="L957" s="252" t="s">
        <v>153</v>
      </c>
      <c r="M957" s="248"/>
      <c r="N957" s="248"/>
      <c r="O957" s="248"/>
    </row>
    <row r="958" spans="1:15" hidden="1">
      <c r="A958" s="247">
        <v>45804</v>
      </c>
      <c r="B958" s="248" t="s">
        <v>1627</v>
      </c>
      <c r="C958" s="248" t="s">
        <v>366</v>
      </c>
      <c r="D958" s="249" t="s">
        <v>440</v>
      </c>
      <c r="E958" s="250">
        <v>64100</v>
      </c>
      <c r="F958" s="250">
        <v>114.27196599551526</v>
      </c>
      <c r="G958" s="260">
        <v>579.64599999999996</v>
      </c>
      <c r="H958" s="252" t="s">
        <v>182</v>
      </c>
      <c r="I958" s="253" t="s">
        <v>1628</v>
      </c>
      <c r="J958" s="252" t="s">
        <v>96</v>
      </c>
      <c r="K958" s="268" t="s">
        <v>200</v>
      </c>
      <c r="L958" s="252" t="s">
        <v>153</v>
      </c>
      <c r="M958" s="248"/>
      <c r="N958" s="248"/>
      <c r="O958" s="248"/>
    </row>
    <row r="959" spans="1:15" hidden="1">
      <c r="A959" s="247">
        <v>45804</v>
      </c>
      <c r="B959" s="248" t="s">
        <v>4754</v>
      </c>
      <c r="C959" s="254" t="s">
        <v>175</v>
      </c>
      <c r="D959" s="249" t="s">
        <v>440</v>
      </c>
      <c r="E959" s="250">
        <v>75000</v>
      </c>
      <c r="F959" s="250">
        <v>133.70354835668712</v>
      </c>
      <c r="G959" s="260">
        <v>579.64599999999996</v>
      </c>
      <c r="H959" s="252" t="s">
        <v>173</v>
      </c>
      <c r="I959" s="252" t="s">
        <v>1657</v>
      </c>
      <c r="J959" s="252" t="s">
        <v>96</v>
      </c>
      <c r="K959" s="268" t="s">
        <v>200</v>
      </c>
      <c r="L959" s="252" t="s">
        <v>153</v>
      </c>
      <c r="M959" s="248"/>
      <c r="N959" s="248"/>
      <c r="O959" s="248"/>
    </row>
    <row r="960" spans="1:15" hidden="1">
      <c r="A960" s="247">
        <v>45804</v>
      </c>
      <c r="B960" s="248" t="s">
        <v>1683</v>
      </c>
      <c r="C960" s="248" t="s">
        <v>366</v>
      </c>
      <c r="D960" s="249" t="s">
        <v>440</v>
      </c>
      <c r="E960" s="250">
        <v>14000</v>
      </c>
      <c r="F960" s="250">
        <v>24.957995693248261</v>
      </c>
      <c r="G960" s="260">
        <v>579.64599999999996</v>
      </c>
      <c r="H960" s="252" t="s">
        <v>321</v>
      </c>
      <c r="I960" s="252" t="s">
        <v>1684</v>
      </c>
      <c r="J960" s="252" t="s">
        <v>96</v>
      </c>
      <c r="K960" s="268" t="s">
        <v>200</v>
      </c>
      <c r="L960" s="252" t="s">
        <v>153</v>
      </c>
      <c r="M960" s="248"/>
      <c r="N960" s="248"/>
      <c r="O960" s="248"/>
    </row>
    <row r="961" spans="1:15" hidden="1">
      <c r="A961" s="247">
        <v>45804</v>
      </c>
      <c r="B961" s="248" t="s">
        <v>1557</v>
      </c>
      <c r="C961" s="254" t="s">
        <v>1558</v>
      </c>
      <c r="D961" s="249" t="s">
        <v>440</v>
      </c>
      <c r="E961" s="250">
        <v>60000</v>
      </c>
      <c r="F961" s="250">
        <v>106.96283868534969</v>
      </c>
      <c r="G961" s="260">
        <v>579.64599999999996</v>
      </c>
      <c r="H961" s="252" t="s">
        <v>191</v>
      </c>
      <c r="I961" s="252" t="s">
        <v>1781</v>
      </c>
      <c r="J961" s="252" t="s">
        <v>96</v>
      </c>
      <c r="K961" s="268" t="s">
        <v>200</v>
      </c>
      <c r="L961" s="252" t="s">
        <v>153</v>
      </c>
      <c r="M961" s="248"/>
      <c r="N961" s="248"/>
      <c r="O961" s="248"/>
    </row>
    <row r="962" spans="1:15" hidden="1">
      <c r="A962" s="247">
        <v>45804</v>
      </c>
      <c r="B962" s="248" t="s">
        <v>1094</v>
      </c>
      <c r="C962" s="248" t="s">
        <v>194</v>
      </c>
      <c r="D962" s="248" t="s">
        <v>2091</v>
      </c>
      <c r="E962" s="250">
        <v>25000</v>
      </c>
      <c r="F962" s="250">
        <v>44.567849452229041</v>
      </c>
      <c r="G962" s="260">
        <v>579.64599999999996</v>
      </c>
      <c r="H962" s="252" t="s">
        <v>195</v>
      </c>
      <c r="I962" s="252" t="s">
        <v>1817</v>
      </c>
      <c r="J962" s="252" t="s">
        <v>96</v>
      </c>
      <c r="K962" s="268" t="s">
        <v>200</v>
      </c>
      <c r="L962" s="252" t="s">
        <v>153</v>
      </c>
      <c r="M962" s="248"/>
      <c r="N962" s="248"/>
      <c r="O962" s="248"/>
    </row>
    <row r="963" spans="1:15" hidden="1">
      <c r="A963" s="247">
        <v>45804</v>
      </c>
      <c r="B963" s="248" t="s">
        <v>1818</v>
      </c>
      <c r="C963" s="254" t="s">
        <v>175</v>
      </c>
      <c r="D963" s="249" t="s">
        <v>115</v>
      </c>
      <c r="E963" s="250">
        <v>25200</v>
      </c>
      <c r="F963" s="250">
        <v>44.924392247846868</v>
      </c>
      <c r="G963" s="260">
        <v>579.64599999999996</v>
      </c>
      <c r="H963" s="252" t="s">
        <v>195</v>
      </c>
      <c r="I963" s="252" t="s">
        <v>1819</v>
      </c>
      <c r="J963" s="252" t="s">
        <v>96</v>
      </c>
      <c r="K963" s="268" t="s">
        <v>200</v>
      </c>
      <c r="L963" s="252" t="s">
        <v>153</v>
      </c>
      <c r="M963" s="248"/>
      <c r="N963" s="248"/>
      <c r="O963" s="248"/>
    </row>
    <row r="964" spans="1:15" hidden="1">
      <c r="A964" s="247">
        <v>45804</v>
      </c>
      <c r="B964" s="248" t="s">
        <v>260</v>
      </c>
      <c r="C964" s="254" t="s">
        <v>175</v>
      </c>
      <c r="D964" s="248" t="s">
        <v>118</v>
      </c>
      <c r="E964" s="250">
        <v>10000</v>
      </c>
      <c r="F964" s="250">
        <v>17.827139780891613</v>
      </c>
      <c r="G964" s="260">
        <v>579.64599999999996</v>
      </c>
      <c r="H964" s="252" t="s">
        <v>211</v>
      </c>
      <c r="I964" s="252" t="s">
        <v>1837</v>
      </c>
      <c r="J964" s="252" t="s">
        <v>96</v>
      </c>
      <c r="K964" s="268" t="s">
        <v>200</v>
      </c>
      <c r="L964" s="252" t="s">
        <v>153</v>
      </c>
      <c r="M964" s="248"/>
      <c r="N964" s="248"/>
      <c r="O964" s="248"/>
    </row>
    <row r="965" spans="1:15" hidden="1">
      <c r="A965" s="247">
        <v>45805</v>
      </c>
      <c r="B965" s="248" t="s">
        <v>1534</v>
      </c>
      <c r="C965" s="248" t="s">
        <v>126</v>
      </c>
      <c r="D965" s="248" t="s">
        <v>116</v>
      </c>
      <c r="E965" s="250">
        <v>15166</v>
      </c>
      <c r="F965" s="250">
        <v>27.036640191700222</v>
      </c>
      <c r="G965" s="260">
        <v>579.64599999999996</v>
      </c>
      <c r="H965" s="252" t="s">
        <v>146</v>
      </c>
      <c r="I965" s="252" t="s">
        <v>1892</v>
      </c>
      <c r="J965" s="252" t="s">
        <v>96</v>
      </c>
      <c r="K965" s="268" t="s">
        <v>200</v>
      </c>
      <c r="L965" s="252" t="s">
        <v>153</v>
      </c>
      <c r="M965" s="248"/>
      <c r="N965" s="248"/>
      <c r="O965" s="248"/>
    </row>
    <row r="966" spans="1:15" hidden="1">
      <c r="A966" s="247">
        <v>45805</v>
      </c>
      <c r="B966" s="248" t="s">
        <v>1535</v>
      </c>
      <c r="C966" s="248" t="s">
        <v>126</v>
      </c>
      <c r="D966" s="248" t="s">
        <v>116</v>
      </c>
      <c r="E966" s="250">
        <v>19783</v>
      </c>
      <c r="F966" s="250">
        <v>35.26743062853788</v>
      </c>
      <c r="G966" s="260">
        <v>579.64599999999996</v>
      </c>
      <c r="H966" s="252" t="s">
        <v>146</v>
      </c>
      <c r="I966" s="252" t="s">
        <v>1893</v>
      </c>
      <c r="J966" s="252" t="s">
        <v>96</v>
      </c>
      <c r="K966" s="268" t="s">
        <v>200</v>
      </c>
      <c r="L966" s="252" t="s">
        <v>153</v>
      </c>
      <c r="M966" s="248"/>
      <c r="N966" s="248"/>
      <c r="O966" s="248"/>
    </row>
    <row r="967" spans="1:15" hidden="1">
      <c r="A967" s="247">
        <v>45805</v>
      </c>
      <c r="B967" s="248" t="s">
        <v>1536</v>
      </c>
      <c r="C967" s="248" t="s">
        <v>126</v>
      </c>
      <c r="D967" s="248" t="s">
        <v>116</v>
      </c>
      <c r="E967" s="250">
        <v>17268</v>
      </c>
      <c r="F967" s="250">
        <v>30.78390497364364</v>
      </c>
      <c r="G967" s="260">
        <v>579.64599999999996</v>
      </c>
      <c r="H967" s="252" t="s">
        <v>146</v>
      </c>
      <c r="I967" s="252" t="s">
        <v>1894</v>
      </c>
      <c r="J967" s="252" t="s">
        <v>96</v>
      </c>
      <c r="K967" s="268" t="s">
        <v>200</v>
      </c>
      <c r="L967" s="252" t="s">
        <v>153</v>
      </c>
      <c r="M967" s="248"/>
      <c r="N967" s="248"/>
      <c r="O967" s="248"/>
    </row>
    <row r="968" spans="1:15" hidden="1">
      <c r="A968" s="247">
        <v>45805</v>
      </c>
      <c r="B968" s="248" t="s">
        <v>1720</v>
      </c>
      <c r="C968" s="254" t="s">
        <v>175</v>
      </c>
      <c r="D968" s="249" t="s">
        <v>115</v>
      </c>
      <c r="E968" s="250">
        <v>160000</v>
      </c>
      <c r="F968" s="250">
        <v>285.23423649426582</v>
      </c>
      <c r="G968" s="260">
        <v>579.64599999999996</v>
      </c>
      <c r="H968" s="252" t="s">
        <v>198</v>
      </c>
      <c r="I968" s="253" t="s">
        <v>1721</v>
      </c>
      <c r="J968" s="252" t="s">
        <v>96</v>
      </c>
      <c r="K968" s="268" t="s">
        <v>200</v>
      </c>
      <c r="L968" s="252" t="s">
        <v>153</v>
      </c>
      <c r="M968" s="248"/>
      <c r="N968" s="248"/>
      <c r="O968" s="248"/>
    </row>
    <row r="969" spans="1:15" hidden="1">
      <c r="A969" s="247">
        <v>45805</v>
      </c>
      <c r="B969" s="248" t="s">
        <v>1722</v>
      </c>
      <c r="C969" s="254" t="s">
        <v>175</v>
      </c>
      <c r="D969" s="249" t="s">
        <v>115</v>
      </c>
      <c r="E969" s="250">
        <v>100000</v>
      </c>
      <c r="F969" s="250">
        <v>178.27139780891616</v>
      </c>
      <c r="G969" s="260">
        <v>579.64599999999996</v>
      </c>
      <c r="H969" s="252" t="s">
        <v>198</v>
      </c>
      <c r="I969" s="253" t="s">
        <v>1723</v>
      </c>
      <c r="J969" s="252" t="s">
        <v>96</v>
      </c>
      <c r="K969" s="268" t="s">
        <v>200</v>
      </c>
      <c r="L969" s="252" t="s">
        <v>153</v>
      </c>
      <c r="M969" s="248"/>
      <c r="N969" s="248"/>
      <c r="O969" s="248"/>
    </row>
    <row r="970" spans="1:15" hidden="1">
      <c r="A970" s="247">
        <v>45805</v>
      </c>
      <c r="B970" s="248" t="s">
        <v>1724</v>
      </c>
      <c r="C970" s="254" t="s">
        <v>175</v>
      </c>
      <c r="D970" s="249" t="s">
        <v>115</v>
      </c>
      <c r="E970" s="250">
        <v>20000</v>
      </c>
      <c r="F970" s="250">
        <v>35.654279561783227</v>
      </c>
      <c r="G970" s="260">
        <v>579.64599999999996</v>
      </c>
      <c r="H970" s="252" t="s">
        <v>198</v>
      </c>
      <c r="I970" s="253" t="s">
        <v>1725</v>
      </c>
      <c r="J970" s="252" t="s">
        <v>96</v>
      </c>
      <c r="K970" s="268" t="s">
        <v>200</v>
      </c>
      <c r="L970" s="252" t="s">
        <v>153</v>
      </c>
      <c r="M970" s="248"/>
      <c r="N970" s="248"/>
      <c r="O970" s="248"/>
    </row>
    <row r="971" spans="1:15" hidden="1">
      <c r="A971" s="247">
        <v>45805</v>
      </c>
      <c r="B971" s="248" t="s">
        <v>1559</v>
      </c>
      <c r="C971" s="248" t="s">
        <v>302</v>
      </c>
      <c r="D971" s="248" t="s">
        <v>116</v>
      </c>
      <c r="E971" s="250">
        <v>75625</v>
      </c>
      <c r="F971" s="250">
        <v>134.81774459299285</v>
      </c>
      <c r="G971" s="260">
        <v>579.64599999999996</v>
      </c>
      <c r="H971" s="252" t="s">
        <v>581</v>
      </c>
      <c r="I971" s="252" t="s">
        <v>1740</v>
      </c>
      <c r="J971" s="252" t="s">
        <v>96</v>
      </c>
      <c r="K971" s="268" t="s">
        <v>200</v>
      </c>
      <c r="L971" s="252" t="s">
        <v>153</v>
      </c>
      <c r="M971" s="248"/>
      <c r="N971" s="248"/>
      <c r="O971" s="248"/>
    </row>
    <row r="972" spans="1:15" hidden="1">
      <c r="A972" s="247">
        <v>45805</v>
      </c>
      <c r="B972" s="248" t="s">
        <v>4759</v>
      </c>
      <c r="C972" s="254" t="s">
        <v>175</v>
      </c>
      <c r="D972" s="249" t="s">
        <v>440</v>
      </c>
      <c r="E972" s="250">
        <v>135000</v>
      </c>
      <c r="F972" s="250">
        <v>240.6663870420368</v>
      </c>
      <c r="G972" s="260">
        <v>579.64599999999996</v>
      </c>
      <c r="H972" s="252" t="s">
        <v>182</v>
      </c>
      <c r="I972" s="253" t="s">
        <v>1629</v>
      </c>
      <c r="J972" s="252" t="s">
        <v>96</v>
      </c>
      <c r="K972" s="268" t="s">
        <v>200</v>
      </c>
      <c r="L972" s="252" t="s">
        <v>153</v>
      </c>
      <c r="M972" s="248"/>
      <c r="N972" s="248"/>
      <c r="O972" s="248"/>
    </row>
    <row r="973" spans="1:15" hidden="1">
      <c r="A973" s="247">
        <v>45805</v>
      </c>
      <c r="B973" s="248" t="s">
        <v>4759</v>
      </c>
      <c r="C973" s="254" t="s">
        <v>175</v>
      </c>
      <c r="D973" s="249" t="s">
        <v>440</v>
      </c>
      <c r="E973" s="250">
        <v>135000</v>
      </c>
      <c r="F973" s="250">
        <v>240.6663870420368</v>
      </c>
      <c r="G973" s="260">
        <v>579.64599999999996</v>
      </c>
      <c r="H973" s="252" t="s">
        <v>182</v>
      </c>
      <c r="I973" s="253" t="s">
        <v>1630</v>
      </c>
      <c r="J973" s="252" t="s">
        <v>96</v>
      </c>
      <c r="K973" s="268" t="s">
        <v>200</v>
      </c>
      <c r="L973" s="252" t="s">
        <v>153</v>
      </c>
      <c r="M973" s="248"/>
      <c r="N973" s="248"/>
      <c r="O973" s="248"/>
    </row>
    <row r="974" spans="1:15" hidden="1">
      <c r="A974" s="247">
        <v>45805</v>
      </c>
      <c r="B974" s="248" t="s">
        <v>4760</v>
      </c>
      <c r="C974" s="254" t="s">
        <v>175</v>
      </c>
      <c r="D974" s="249" t="s">
        <v>440</v>
      </c>
      <c r="E974" s="250">
        <v>30000</v>
      </c>
      <c r="F974" s="250">
        <v>53.481419342674847</v>
      </c>
      <c r="G974" s="260">
        <v>579.64599999999996</v>
      </c>
      <c r="H974" s="252" t="s">
        <v>315</v>
      </c>
      <c r="I974" s="252" t="s">
        <v>1600</v>
      </c>
      <c r="J974" s="252" t="s">
        <v>96</v>
      </c>
      <c r="K974" s="268" t="s">
        <v>200</v>
      </c>
      <c r="L974" s="252" t="s">
        <v>153</v>
      </c>
      <c r="M974" s="248"/>
      <c r="N974" s="248"/>
      <c r="O974" s="248"/>
    </row>
    <row r="975" spans="1:15" hidden="1">
      <c r="A975" s="247">
        <v>45805</v>
      </c>
      <c r="B975" s="248" t="s">
        <v>4749</v>
      </c>
      <c r="C975" s="248" t="s">
        <v>172</v>
      </c>
      <c r="D975" s="249" t="s">
        <v>440</v>
      </c>
      <c r="E975" s="250">
        <v>5000</v>
      </c>
      <c r="F975" s="250">
        <v>8.9135698904458067</v>
      </c>
      <c r="G975" s="260">
        <v>579.64599999999996</v>
      </c>
      <c r="H975" s="252" t="s">
        <v>315</v>
      </c>
      <c r="I975" s="252" t="s">
        <v>1601</v>
      </c>
      <c r="J975" s="252" t="s">
        <v>96</v>
      </c>
      <c r="K975" s="268" t="s">
        <v>200</v>
      </c>
      <c r="L975" s="252" t="s">
        <v>153</v>
      </c>
      <c r="M975" s="248"/>
      <c r="N975" s="248"/>
      <c r="O975" s="248"/>
    </row>
    <row r="976" spans="1:15" hidden="1">
      <c r="A976" s="247">
        <v>45805</v>
      </c>
      <c r="B976" s="248" t="s">
        <v>1685</v>
      </c>
      <c r="C976" s="248" t="s">
        <v>172</v>
      </c>
      <c r="D976" s="249" t="s">
        <v>440</v>
      </c>
      <c r="E976" s="250">
        <v>48500</v>
      </c>
      <c r="F976" s="250">
        <v>86.461627937324337</v>
      </c>
      <c r="G976" s="260">
        <v>579.64599999999996</v>
      </c>
      <c r="H976" s="252" t="s">
        <v>321</v>
      </c>
      <c r="I976" s="252" t="s">
        <v>1686</v>
      </c>
      <c r="J976" s="252" t="s">
        <v>96</v>
      </c>
      <c r="K976" s="268" t="s">
        <v>200</v>
      </c>
      <c r="L976" s="252" t="s">
        <v>153</v>
      </c>
      <c r="M976" s="248"/>
      <c r="N976" s="248"/>
      <c r="O976" s="248"/>
    </row>
    <row r="977" spans="1:15" hidden="1">
      <c r="A977" s="247">
        <v>45805</v>
      </c>
      <c r="B977" s="248" t="s">
        <v>1555</v>
      </c>
      <c r="C977" s="255" t="s">
        <v>2090</v>
      </c>
      <c r="D977" s="248" t="s">
        <v>116</v>
      </c>
      <c r="E977" s="250">
        <v>3750</v>
      </c>
      <c r="F977" s="250">
        <v>6.6851774178343559</v>
      </c>
      <c r="G977" s="260">
        <v>579.64599999999996</v>
      </c>
      <c r="H977" s="252" t="s">
        <v>188</v>
      </c>
      <c r="I977" s="252" t="s">
        <v>1755</v>
      </c>
      <c r="J977" s="252" t="s">
        <v>96</v>
      </c>
      <c r="K977" s="268" t="s">
        <v>200</v>
      </c>
      <c r="L977" s="252" t="s">
        <v>153</v>
      </c>
      <c r="M977" s="248"/>
      <c r="N977" s="248"/>
      <c r="O977" s="248"/>
    </row>
    <row r="978" spans="1:15" hidden="1">
      <c r="A978" s="247">
        <v>45806</v>
      </c>
      <c r="B978" s="248" t="s">
        <v>4749</v>
      </c>
      <c r="C978" s="248" t="s">
        <v>172</v>
      </c>
      <c r="D978" s="249" t="s">
        <v>440</v>
      </c>
      <c r="E978" s="250">
        <v>8000</v>
      </c>
      <c r="F978" s="250">
        <v>14.261711824713291</v>
      </c>
      <c r="G978" s="260">
        <v>579.64599999999996</v>
      </c>
      <c r="H978" s="252" t="s">
        <v>315</v>
      </c>
      <c r="I978" s="252" t="s">
        <v>1602</v>
      </c>
      <c r="J978" s="252" t="s">
        <v>96</v>
      </c>
      <c r="K978" s="268" t="s">
        <v>200</v>
      </c>
      <c r="L978" s="252" t="s">
        <v>153</v>
      </c>
      <c r="M978" s="248"/>
      <c r="N978" s="248"/>
      <c r="O978" s="248"/>
    </row>
    <row r="979" spans="1:15" hidden="1">
      <c r="A979" s="247">
        <v>45806</v>
      </c>
      <c r="B979" s="248" t="s">
        <v>4760</v>
      </c>
      <c r="C979" s="254" t="s">
        <v>175</v>
      </c>
      <c r="D979" s="249" t="s">
        <v>440</v>
      </c>
      <c r="E979" s="250">
        <v>15000</v>
      </c>
      <c r="F979" s="250">
        <v>26.740709671337424</v>
      </c>
      <c r="G979" s="260">
        <v>579.64599999999996</v>
      </c>
      <c r="H979" s="252" t="s">
        <v>315</v>
      </c>
      <c r="I979" s="252" t="s">
        <v>1603</v>
      </c>
      <c r="J979" s="252" t="s">
        <v>96</v>
      </c>
      <c r="K979" s="268" t="s">
        <v>200</v>
      </c>
      <c r="L979" s="252" t="s">
        <v>153</v>
      </c>
      <c r="M979" s="248"/>
      <c r="N979" s="248"/>
      <c r="O979" s="248"/>
    </row>
    <row r="980" spans="1:15" hidden="1">
      <c r="A980" s="247">
        <v>45806</v>
      </c>
      <c r="B980" s="248" t="s">
        <v>1604</v>
      </c>
      <c r="C980" s="248" t="s">
        <v>172</v>
      </c>
      <c r="D980" s="249" t="s">
        <v>440</v>
      </c>
      <c r="E980" s="250">
        <v>28700</v>
      </c>
      <c r="F980" s="250">
        <v>51.163891171158937</v>
      </c>
      <c r="G980" s="260">
        <v>579.64599999999996</v>
      </c>
      <c r="H980" s="252" t="s">
        <v>315</v>
      </c>
      <c r="I980" s="252" t="s">
        <v>1605</v>
      </c>
      <c r="J980" s="252" t="s">
        <v>96</v>
      </c>
      <c r="K980" s="268" t="s">
        <v>200</v>
      </c>
      <c r="L980" s="252" t="s">
        <v>153</v>
      </c>
      <c r="M980" s="248"/>
      <c r="N980" s="248"/>
      <c r="O980" s="248"/>
    </row>
    <row r="981" spans="1:15" hidden="1">
      <c r="A981" s="247">
        <v>45807</v>
      </c>
      <c r="B981" s="248" t="s">
        <v>1530</v>
      </c>
      <c r="C981" s="248" t="s">
        <v>125</v>
      </c>
      <c r="D981" s="249" t="s">
        <v>440</v>
      </c>
      <c r="E981" s="250">
        <v>245000</v>
      </c>
      <c r="F981" s="250">
        <v>436.76492463184456</v>
      </c>
      <c r="G981" s="251">
        <v>560.94248000000005</v>
      </c>
      <c r="H981" s="252" t="s">
        <v>146</v>
      </c>
      <c r="I981" s="252" t="s">
        <v>1895</v>
      </c>
      <c r="J981" s="252" t="s">
        <v>96</v>
      </c>
      <c r="K981" s="265" t="s">
        <v>1906</v>
      </c>
      <c r="L981" s="270" t="s">
        <v>153</v>
      </c>
      <c r="M981" s="248"/>
      <c r="N981" s="248"/>
      <c r="O981" s="248"/>
    </row>
    <row r="982" spans="1:15" hidden="1">
      <c r="A982" s="247">
        <v>45807</v>
      </c>
      <c r="B982" s="248" t="s">
        <v>1695</v>
      </c>
      <c r="C982" s="248" t="s">
        <v>172</v>
      </c>
      <c r="D982" s="248" t="s">
        <v>117</v>
      </c>
      <c r="E982" s="250">
        <v>57000</v>
      </c>
      <c r="F982" s="250">
        <v>101.61469675108221</v>
      </c>
      <c r="G982" s="260">
        <v>579.64599999999996</v>
      </c>
      <c r="H982" s="252" t="s">
        <v>151</v>
      </c>
      <c r="I982" s="271" t="s">
        <v>1696</v>
      </c>
      <c r="J982" s="252" t="s">
        <v>96</v>
      </c>
      <c r="K982" s="268" t="s">
        <v>200</v>
      </c>
      <c r="L982" s="252" t="s">
        <v>153</v>
      </c>
      <c r="M982" s="248"/>
      <c r="N982" s="248"/>
      <c r="O982" s="248"/>
    </row>
    <row r="983" spans="1:15" hidden="1">
      <c r="A983" s="247">
        <v>45807</v>
      </c>
      <c r="B983" s="248" t="s">
        <v>1582</v>
      </c>
      <c r="C983" s="248" t="s">
        <v>150</v>
      </c>
      <c r="D983" s="248" t="s">
        <v>117</v>
      </c>
      <c r="E983" s="250">
        <v>21000</v>
      </c>
      <c r="F983" s="250">
        <v>37.43699353987239</v>
      </c>
      <c r="G983" s="260">
        <v>579.64599999999996</v>
      </c>
      <c r="H983" s="252" t="s">
        <v>151</v>
      </c>
      <c r="I983" s="271" t="s">
        <v>1697</v>
      </c>
      <c r="J983" s="252" t="s">
        <v>96</v>
      </c>
      <c r="K983" s="268" t="s">
        <v>200</v>
      </c>
      <c r="L983" s="252" t="s">
        <v>153</v>
      </c>
      <c r="M983" s="248"/>
      <c r="N983" s="248"/>
      <c r="O983" s="248"/>
    </row>
    <row r="984" spans="1:15" hidden="1">
      <c r="A984" s="247">
        <v>45807</v>
      </c>
      <c r="B984" s="248" t="s">
        <v>1726</v>
      </c>
      <c r="C984" s="248" t="s">
        <v>172</v>
      </c>
      <c r="D984" s="249" t="s">
        <v>115</v>
      </c>
      <c r="E984" s="250">
        <v>21500</v>
      </c>
      <c r="F984" s="250">
        <v>38.328350528916971</v>
      </c>
      <c r="G984" s="260">
        <v>579.64599999999996</v>
      </c>
      <c r="H984" s="252" t="s">
        <v>198</v>
      </c>
      <c r="I984" s="253" t="s">
        <v>1727</v>
      </c>
      <c r="J984" s="252" t="s">
        <v>96</v>
      </c>
      <c r="K984" s="268" t="s">
        <v>200</v>
      </c>
      <c r="L984" s="252" t="s">
        <v>153</v>
      </c>
      <c r="M984" s="248"/>
      <c r="N984" s="248"/>
      <c r="O984" s="248"/>
    </row>
    <row r="985" spans="1:15" hidden="1">
      <c r="A985" s="247">
        <v>45807</v>
      </c>
      <c r="B985" s="248" t="s">
        <v>1581</v>
      </c>
      <c r="C985" s="248" t="s">
        <v>150</v>
      </c>
      <c r="D985" s="249" t="s">
        <v>115</v>
      </c>
      <c r="E985" s="250">
        <v>16000</v>
      </c>
      <c r="F985" s="250">
        <v>28.523423649426583</v>
      </c>
      <c r="G985" s="260">
        <v>579.64599999999996</v>
      </c>
      <c r="H985" s="252" t="s">
        <v>198</v>
      </c>
      <c r="I985" s="253" t="s">
        <v>1728</v>
      </c>
      <c r="J985" s="252" t="s">
        <v>96</v>
      </c>
      <c r="K985" s="268" t="s">
        <v>200</v>
      </c>
      <c r="L985" s="252" t="s">
        <v>153</v>
      </c>
      <c r="M985" s="248"/>
      <c r="N985" s="248"/>
      <c r="O985" s="248"/>
    </row>
    <row r="986" spans="1:15" hidden="1">
      <c r="A986" s="247">
        <v>45807</v>
      </c>
      <c r="B986" s="248" t="s">
        <v>1588</v>
      </c>
      <c r="C986" s="248" t="s">
        <v>150</v>
      </c>
      <c r="D986" s="249" t="s">
        <v>115</v>
      </c>
      <c r="E986" s="250">
        <v>5000</v>
      </c>
      <c r="F986" s="250">
        <v>8.9135698904458067</v>
      </c>
      <c r="G986" s="260">
        <v>579.64599999999996</v>
      </c>
      <c r="H986" s="252" t="s">
        <v>198</v>
      </c>
      <c r="I986" s="253" t="s">
        <v>1729</v>
      </c>
      <c r="J986" s="252" t="s">
        <v>96</v>
      </c>
      <c r="K986" s="268" t="s">
        <v>200</v>
      </c>
      <c r="L986" s="252" t="s">
        <v>153</v>
      </c>
      <c r="M986" s="248"/>
      <c r="N986" s="248"/>
      <c r="O986" s="248"/>
    </row>
    <row r="987" spans="1:15" hidden="1">
      <c r="A987" s="247">
        <v>45807</v>
      </c>
      <c r="B987" s="248" t="s">
        <v>1747</v>
      </c>
      <c r="C987" s="248" t="s">
        <v>172</v>
      </c>
      <c r="D987" s="248" t="s">
        <v>116</v>
      </c>
      <c r="E987" s="250">
        <v>38500</v>
      </c>
      <c r="F987" s="250">
        <v>68.634488156432724</v>
      </c>
      <c r="G987" s="260">
        <v>579.64599999999996</v>
      </c>
      <c r="H987" s="252" t="s">
        <v>581</v>
      </c>
      <c r="I987" s="252" t="s">
        <v>1748</v>
      </c>
      <c r="J987" s="252" t="s">
        <v>96</v>
      </c>
      <c r="K987" s="268" t="s">
        <v>200</v>
      </c>
      <c r="L987" s="252" t="s">
        <v>153</v>
      </c>
      <c r="M987" s="248"/>
      <c r="N987" s="248"/>
      <c r="O987" s="248"/>
    </row>
    <row r="988" spans="1:15" hidden="1">
      <c r="A988" s="247">
        <v>45807</v>
      </c>
      <c r="B988" s="248" t="s">
        <v>1560</v>
      </c>
      <c r="C988" s="254" t="s">
        <v>124</v>
      </c>
      <c r="D988" s="248" t="s">
        <v>116</v>
      </c>
      <c r="E988" s="250">
        <v>10000</v>
      </c>
      <c r="F988" s="250">
        <v>17.827139780891613</v>
      </c>
      <c r="G988" s="260">
        <v>579.64599999999996</v>
      </c>
      <c r="H988" s="252" t="s">
        <v>581</v>
      </c>
      <c r="I988" s="252" t="s">
        <v>1741</v>
      </c>
      <c r="J988" s="252" t="s">
        <v>96</v>
      </c>
      <c r="K988" s="268" t="s">
        <v>200</v>
      </c>
      <c r="L988" s="252" t="s">
        <v>153</v>
      </c>
      <c r="M988" s="248"/>
      <c r="N988" s="248"/>
      <c r="O988" s="248"/>
    </row>
    <row r="989" spans="1:15" hidden="1">
      <c r="A989" s="247">
        <v>45807</v>
      </c>
      <c r="B989" s="248" t="s">
        <v>1561</v>
      </c>
      <c r="C989" s="248" t="s">
        <v>624</v>
      </c>
      <c r="D989" s="248" t="s">
        <v>116</v>
      </c>
      <c r="E989" s="250">
        <v>45050</v>
      </c>
      <c r="F989" s="250">
        <v>80.311264712916724</v>
      </c>
      <c r="G989" s="260">
        <v>579.64599999999996</v>
      </c>
      <c r="H989" s="252" t="s">
        <v>581</v>
      </c>
      <c r="I989" s="252" t="s">
        <v>1742</v>
      </c>
      <c r="J989" s="252" t="s">
        <v>96</v>
      </c>
      <c r="K989" s="268" t="s">
        <v>200</v>
      </c>
      <c r="L989" s="252" t="s">
        <v>153</v>
      </c>
      <c r="M989" s="248"/>
      <c r="N989" s="248"/>
      <c r="O989" s="248"/>
    </row>
    <row r="990" spans="1:15" hidden="1">
      <c r="A990" s="247">
        <v>45807</v>
      </c>
      <c r="B990" s="248" t="s">
        <v>1563</v>
      </c>
      <c r="C990" s="255" t="s">
        <v>2090</v>
      </c>
      <c r="D990" s="248" t="s">
        <v>116</v>
      </c>
      <c r="E990" s="250">
        <v>11200</v>
      </c>
      <c r="F990" s="250">
        <v>19.96639655459861</v>
      </c>
      <c r="G990" s="260">
        <v>579.64599999999996</v>
      </c>
      <c r="H990" s="252" t="s">
        <v>581</v>
      </c>
      <c r="I990" s="252" t="s">
        <v>1743</v>
      </c>
      <c r="J990" s="252" t="s">
        <v>96</v>
      </c>
      <c r="K990" s="268" t="s">
        <v>200</v>
      </c>
      <c r="L990" s="252" t="s">
        <v>153</v>
      </c>
      <c r="M990" s="248"/>
      <c r="N990" s="248"/>
      <c r="O990" s="248"/>
    </row>
    <row r="991" spans="1:15" hidden="1">
      <c r="A991" s="247">
        <v>45807</v>
      </c>
      <c r="B991" s="248" t="s">
        <v>1583</v>
      </c>
      <c r="C991" s="248" t="s">
        <v>150</v>
      </c>
      <c r="D991" s="248" t="s">
        <v>1571</v>
      </c>
      <c r="E991" s="250">
        <v>21000</v>
      </c>
      <c r="F991" s="250">
        <v>37.43699353987239</v>
      </c>
      <c r="G991" s="260">
        <v>579.64599999999996</v>
      </c>
      <c r="H991" s="252" t="s">
        <v>581</v>
      </c>
      <c r="I991" s="252" t="s">
        <v>1749</v>
      </c>
      <c r="J991" s="252" t="s">
        <v>96</v>
      </c>
      <c r="K991" s="268" t="s">
        <v>200</v>
      </c>
      <c r="L991" s="252" t="s">
        <v>153</v>
      </c>
      <c r="M991" s="248"/>
      <c r="N991" s="248"/>
      <c r="O991" s="248"/>
    </row>
    <row r="992" spans="1:15" hidden="1">
      <c r="A992" s="247">
        <v>45807</v>
      </c>
      <c r="B992" s="248" t="s">
        <v>1580</v>
      </c>
      <c r="C992" s="248" t="s">
        <v>150</v>
      </c>
      <c r="D992" s="249" t="s">
        <v>440</v>
      </c>
      <c r="E992" s="250">
        <v>10000</v>
      </c>
      <c r="F992" s="250">
        <v>17.827139780891613</v>
      </c>
      <c r="G992" s="260">
        <v>579.64599999999996</v>
      </c>
      <c r="H992" s="252" t="s">
        <v>182</v>
      </c>
      <c r="I992" s="253" t="s">
        <v>1636</v>
      </c>
      <c r="J992" s="252" t="s">
        <v>96</v>
      </c>
      <c r="K992" s="268" t="s">
        <v>200</v>
      </c>
      <c r="L992" s="252" t="s">
        <v>153</v>
      </c>
      <c r="M992" s="248"/>
      <c r="N992" s="248"/>
      <c r="O992" s="248"/>
    </row>
    <row r="993" spans="1:15" hidden="1">
      <c r="A993" s="247">
        <v>45807</v>
      </c>
      <c r="B993" s="248" t="s">
        <v>1589</v>
      </c>
      <c r="C993" s="248" t="s">
        <v>150</v>
      </c>
      <c r="D993" s="249" t="s">
        <v>440</v>
      </c>
      <c r="E993" s="250">
        <v>16000</v>
      </c>
      <c r="F993" s="250">
        <v>28.523423649426583</v>
      </c>
      <c r="G993" s="260">
        <v>579.64599999999996</v>
      </c>
      <c r="H993" s="252" t="s">
        <v>182</v>
      </c>
      <c r="I993" s="253" t="s">
        <v>1637</v>
      </c>
      <c r="J993" s="252" t="s">
        <v>96</v>
      </c>
      <c r="K993" s="268" t="s">
        <v>200</v>
      </c>
      <c r="L993" s="252" t="s">
        <v>153</v>
      </c>
      <c r="M993" s="248"/>
      <c r="N993" s="248"/>
      <c r="O993" s="248"/>
    </row>
    <row r="994" spans="1:15" hidden="1">
      <c r="A994" s="247">
        <v>45807</v>
      </c>
      <c r="B994" s="248" t="s">
        <v>1580</v>
      </c>
      <c r="C994" s="248" t="s">
        <v>150</v>
      </c>
      <c r="D994" s="249" t="s">
        <v>440</v>
      </c>
      <c r="E994" s="250">
        <v>26000</v>
      </c>
      <c r="F994" s="250">
        <v>46.350563430318196</v>
      </c>
      <c r="G994" s="260">
        <v>579.64599999999996</v>
      </c>
      <c r="H994" s="252" t="s">
        <v>173</v>
      </c>
      <c r="I994" s="252" t="s">
        <v>1662</v>
      </c>
      <c r="J994" s="252" t="s">
        <v>96</v>
      </c>
      <c r="K994" s="268" t="s">
        <v>200</v>
      </c>
      <c r="L994" s="252" t="s">
        <v>153</v>
      </c>
      <c r="M994" s="248"/>
      <c r="N994" s="248"/>
      <c r="O994" s="248"/>
    </row>
    <row r="995" spans="1:15" hidden="1">
      <c r="A995" s="247">
        <v>45807</v>
      </c>
      <c r="B995" s="248" t="s">
        <v>1580</v>
      </c>
      <c r="C995" s="248" t="s">
        <v>150</v>
      </c>
      <c r="D995" s="249" t="s">
        <v>440</v>
      </c>
      <c r="E995" s="250">
        <v>26000</v>
      </c>
      <c r="F995" s="250">
        <v>46.350563430318196</v>
      </c>
      <c r="G995" s="260">
        <v>579.64599999999996</v>
      </c>
      <c r="H995" s="252" t="s">
        <v>315</v>
      </c>
      <c r="I995" s="252" t="s">
        <v>1607</v>
      </c>
      <c r="J995" s="252" t="s">
        <v>96</v>
      </c>
      <c r="K995" s="268" t="s">
        <v>200</v>
      </c>
      <c r="L995" s="252" t="s">
        <v>153</v>
      </c>
      <c r="M995" s="248"/>
      <c r="N995" s="248"/>
      <c r="O995" s="248"/>
    </row>
    <row r="996" spans="1:15" hidden="1">
      <c r="A996" s="247">
        <v>45807</v>
      </c>
      <c r="B996" s="248" t="s">
        <v>1580</v>
      </c>
      <c r="C996" s="248" t="s">
        <v>150</v>
      </c>
      <c r="D996" s="249" t="s">
        <v>440</v>
      </c>
      <c r="E996" s="250">
        <v>10000</v>
      </c>
      <c r="F996" s="250">
        <v>17.827139780891613</v>
      </c>
      <c r="G996" s="260">
        <v>579.64599999999996</v>
      </c>
      <c r="H996" s="252" t="s">
        <v>321</v>
      </c>
      <c r="I996" s="252" t="s">
        <v>1690</v>
      </c>
      <c r="J996" s="252" t="s">
        <v>96</v>
      </c>
      <c r="K996" s="268" t="s">
        <v>200</v>
      </c>
      <c r="L996" s="252" t="s">
        <v>153</v>
      </c>
      <c r="M996" s="248"/>
      <c r="N996" s="248"/>
      <c r="O996" s="248"/>
    </row>
    <row r="997" spans="1:15" hidden="1">
      <c r="A997" s="247">
        <v>45807</v>
      </c>
      <c r="B997" s="248" t="s">
        <v>1589</v>
      </c>
      <c r="C997" s="248" t="s">
        <v>150</v>
      </c>
      <c r="D997" s="249" t="s">
        <v>440</v>
      </c>
      <c r="E997" s="250">
        <v>16000</v>
      </c>
      <c r="F997" s="250">
        <v>28.523423649426583</v>
      </c>
      <c r="G997" s="260">
        <v>579.64599999999996</v>
      </c>
      <c r="H997" s="252" t="s">
        <v>321</v>
      </c>
      <c r="I997" s="252" t="s">
        <v>1902</v>
      </c>
      <c r="J997" s="252" t="s">
        <v>96</v>
      </c>
      <c r="K997" s="268" t="s">
        <v>200</v>
      </c>
      <c r="L997" s="252" t="s">
        <v>153</v>
      </c>
      <c r="M997" s="248"/>
      <c r="N997" s="248"/>
      <c r="O997" s="248"/>
    </row>
    <row r="998" spans="1:15" hidden="1">
      <c r="A998" s="247">
        <v>45807</v>
      </c>
      <c r="B998" s="248" t="s">
        <v>1581</v>
      </c>
      <c r="C998" s="248" t="s">
        <v>150</v>
      </c>
      <c r="D998" s="249" t="s">
        <v>115</v>
      </c>
      <c r="E998" s="250">
        <v>16000</v>
      </c>
      <c r="F998" s="250">
        <v>28.523423649426583</v>
      </c>
      <c r="G998" s="260">
        <v>579.64599999999996</v>
      </c>
      <c r="H998" s="252" t="s">
        <v>188</v>
      </c>
      <c r="I998" s="252" t="s">
        <v>1770</v>
      </c>
      <c r="J998" s="252" t="s">
        <v>96</v>
      </c>
      <c r="K998" s="268" t="s">
        <v>200</v>
      </c>
      <c r="L998" s="252" t="s">
        <v>153</v>
      </c>
      <c r="M998" s="248"/>
      <c r="N998" s="248"/>
      <c r="O998" s="248"/>
    </row>
    <row r="999" spans="1:15" hidden="1">
      <c r="A999" s="247">
        <v>45807</v>
      </c>
      <c r="B999" s="248" t="s">
        <v>1588</v>
      </c>
      <c r="C999" s="248" t="s">
        <v>150</v>
      </c>
      <c r="D999" s="249" t="s">
        <v>115</v>
      </c>
      <c r="E999" s="250">
        <v>5000</v>
      </c>
      <c r="F999" s="250">
        <v>8.9135698904458067</v>
      </c>
      <c r="G999" s="260">
        <v>579.64599999999996</v>
      </c>
      <c r="H999" s="252" t="s">
        <v>188</v>
      </c>
      <c r="I999" s="252" t="s">
        <v>1771</v>
      </c>
      <c r="J999" s="252" t="s">
        <v>96</v>
      </c>
      <c r="K999" s="268" t="s">
        <v>200</v>
      </c>
      <c r="L999" s="252" t="s">
        <v>153</v>
      </c>
      <c r="M999" s="248"/>
      <c r="N999" s="248"/>
      <c r="O999" s="248"/>
    </row>
    <row r="1000" spans="1:15" hidden="1">
      <c r="A1000" s="247">
        <v>45807</v>
      </c>
      <c r="B1000" s="248" t="s">
        <v>1562</v>
      </c>
      <c r="C1000" s="255" t="s">
        <v>2090</v>
      </c>
      <c r="D1000" s="248" t="s">
        <v>116</v>
      </c>
      <c r="E1000" s="250">
        <v>14100</v>
      </c>
      <c r="F1000" s="250">
        <v>25.136267091057178</v>
      </c>
      <c r="G1000" s="260">
        <v>579.64599999999996</v>
      </c>
      <c r="H1000" s="252" t="s">
        <v>188</v>
      </c>
      <c r="I1000" s="252" t="s">
        <v>1756</v>
      </c>
      <c r="J1000" s="252" t="s">
        <v>96</v>
      </c>
      <c r="K1000" s="268" t="s">
        <v>200</v>
      </c>
      <c r="L1000" s="252" t="s">
        <v>153</v>
      </c>
      <c r="M1000" s="248"/>
      <c r="N1000" s="248"/>
      <c r="O1000" s="248"/>
    </row>
    <row r="1001" spans="1:15" hidden="1">
      <c r="A1001" s="247">
        <v>45807</v>
      </c>
      <c r="B1001" s="248" t="s">
        <v>1564</v>
      </c>
      <c r="C1001" s="248" t="s">
        <v>172</v>
      </c>
      <c r="D1001" s="249" t="s">
        <v>115</v>
      </c>
      <c r="E1001" s="250">
        <v>74000</v>
      </c>
      <c r="F1001" s="250">
        <v>131.92083437859796</v>
      </c>
      <c r="G1001" s="260">
        <v>579.64599999999996</v>
      </c>
      <c r="H1001" s="252" t="s">
        <v>188</v>
      </c>
      <c r="I1001" s="252" t="s">
        <v>1843</v>
      </c>
      <c r="J1001" s="252" t="s">
        <v>96</v>
      </c>
      <c r="K1001" s="268" t="s">
        <v>200</v>
      </c>
      <c r="L1001" s="252" t="s">
        <v>153</v>
      </c>
      <c r="M1001" s="248"/>
      <c r="N1001" s="248"/>
      <c r="O1001" s="248"/>
    </row>
    <row r="1002" spans="1:15" hidden="1">
      <c r="A1002" s="247">
        <v>45807</v>
      </c>
      <c r="B1002" s="248" t="s">
        <v>1565</v>
      </c>
      <c r="C1002" s="254" t="s">
        <v>175</v>
      </c>
      <c r="D1002" s="249" t="s">
        <v>115</v>
      </c>
      <c r="E1002" s="250">
        <v>125000</v>
      </c>
      <c r="F1002" s="250">
        <v>222.83924726114518</v>
      </c>
      <c r="G1002" s="260">
        <v>579.64599999999996</v>
      </c>
      <c r="H1002" s="252" t="s">
        <v>188</v>
      </c>
      <c r="I1002" s="252" t="s">
        <v>1844</v>
      </c>
      <c r="J1002" s="252" t="s">
        <v>96</v>
      </c>
      <c r="K1002" s="268" t="s">
        <v>200</v>
      </c>
      <c r="L1002" s="252" t="s">
        <v>153</v>
      </c>
      <c r="M1002" s="248"/>
      <c r="N1002" s="248"/>
      <c r="O1002" s="248"/>
    </row>
    <row r="1003" spans="1:15" hidden="1">
      <c r="A1003" s="247">
        <v>45807</v>
      </c>
      <c r="B1003" s="248" t="s">
        <v>1796</v>
      </c>
      <c r="C1003" s="248" t="s">
        <v>172</v>
      </c>
      <c r="D1003" s="249" t="s">
        <v>115</v>
      </c>
      <c r="E1003" s="250">
        <v>26400</v>
      </c>
      <c r="F1003" s="250">
        <v>47.063649021553864</v>
      </c>
      <c r="G1003" s="260">
        <v>579.64599999999996</v>
      </c>
      <c r="H1003" s="252" t="s">
        <v>191</v>
      </c>
      <c r="I1003" s="252" t="s">
        <v>1797</v>
      </c>
      <c r="J1003" s="252" t="s">
        <v>96</v>
      </c>
      <c r="K1003" s="268" t="s">
        <v>200</v>
      </c>
      <c r="L1003" s="252" t="s">
        <v>153</v>
      </c>
      <c r="M1003" s="248"/>
      <c r="N1003" s="248"/>
      <c r="O1003" s="248"/>
    </row>
    <row r="1004" spans="1:15" hidden="1">
      <c r="A1004" s="247">
        <v>45807</v>
      </c>
      <c r="B1004" s="248" t="s">
        <v>1581</v>
      </c>
      <c r="C1004" s="248" t="s">
        <v>150</v>
      </c>
      <c r="D1004" s="249" t="s">
        <v>115</v>
      </c>
      <c r="E1004" s="250">
        <v>21000</v>
      </c>
      <c r="F1004" s="250">
        <v>37.43699353987239</v>
      </c>
      <c r="G1004" s="260">
        <v>579.64599999999996</v>
      </c>
      <c r="H1004" s="252" t="s">
        <v>191</v>
      </c>
      <c r="I1004" s="252" t="s">
        <v>1798</v>
      </c>
      <c r="J1004" s="252" t="s">
        <v>96</v>
      </c>
      <c r="K1004" s="268" t="s">
        <v>200</v>
      </c>
      <c r="L1004" s="252" t="s">
        <v>153</v>
      </c>
      <c r="M1004" s="248"/>
      <c r="N1004" s="248"/>
      <c r="O1004" s="248"/>
    </row>
    <row r="1005" spans="1:15" hidden="1">
      <c r="A1005" s="247">
        <v>45807</v>
      </c>
      <c r="B1005" s="248" t="s">
        <v>1581</v>
      </c>
      <c r="C1005" s="248" t="s">
        <v>150</v>
      </c>
      <c r="D1005" s="249" t="s">
        <v>115</v>
      </c>
      <c r="E1005" s="250">
        <v>21000</v>
      </c>
      <c r="F1005" s="250">
        <v>37.43699353987239</v>
      </c>
      <c r="G1005" s="260">
        <v>579.64599999999996</v>
      </c>
      <c r="H1005" s="252" t="s">
        <v>195</v>
      </c>
      <c r="I1005" s="252" t="s">
        <v>1820</v>
      </c>
      <c r="J1005" s="252" t="s">
        <v>96</v>
      </c>
      <c r="K1005" s="268" t="s">
        <v>200</v>
      </c>
      <c r="L1005" s="252" t="s">
        <v>153</v>
      </c>
      <c r="M1005" s="248"/>
      <c r="N1005" s="248"/>
      <c r="O1005" s="248"/>
    </row>
    <row r="1006" spans="1:15" hidden="1">
      <c r="A1006" s="247">
        <v>45807</v>
      </c>
      <c r="B1006" s="248" t="s">
        <v>1838</v>
      </c>
      <c r="C1006" s="248" t="s">
        <v>172</v>
      </c>
      <c r="D1006" s="248" t="s">
        <v>118</v>
      </c>
      <c r="E1006" s="250">
        <v>18000</v>
      </c>
      <c r="F1006" s="250">
        <v>32.088851605604908</v>
      </c>
      <c r="G1006" s="260">
        <v>579.64599999999996</v>
      </c>
      <c r="H1006" s="252" t="s">
        <v>211</v>
      </c>
      <c r="I1006" s="252" t="s">
        <v>1839</v>
      </c>
      <c r="J1006" s="252" t="s">
        <v>96</v>
      </c>
      <c r="K1006" s="268" t="s">
        <v>200</v>
      </c>
      <c r="L1006" s="252" t="s">
        <v>153</v>
      </c>
      <c r="M1006" s="248"/>
      <c r="N1006" s="248"/>
      <c r="O1006" s="248"/>
    </row>
    <row r="1007" spans="1:15" hidden="1">
      <c r="A1007" s="247">
        <v>45807</v>
      </c>
      <c r="B1007" s="248" t="s">
        <v>1874</v>
      </c>
      <c r="C1007" s="248" t="s">
        <v>172</v>
      </c>
      <c r="D1007" s="249" t="s">
        <v>115</v>
      </c>
      <c r="E1007" s="250">
        <v>58400</v>
      </c>
      <c r="F1007" s="250">
        <v>104.11049632040704</v>
      </c>
      <c r="G1007" s="260">
        <v>579.64599999999996</v>
      </c>
      <c r="H1007" s="252" t="s">
        <v>185</v>
      </c>
      <c r="I1007" s="252" t="s">
        <v>1875</v>
      </c>
      <c r="J1007" s="252" t="s">
        <v>96</v>
      </c>
      <c r="K1007" s="268" t="s">
        <v>200</v>
      </c>
      <c r="L1007" s="252" t="s">
        <v>153</v>
      </c>
      <c r="M1007" s="248"/>
      <c r="N1007" s="248"/>
      <c r="O1007" s="248"/>
    </row>
    <row r="1008" spans="1:15" hidden="1">
      <c r="A1008" s="247">
        <v>45807</v>
      </c>
      <c r="B1008" s="248" t="s">
        <v>1581</v>
      </c>
      <c r="C1008" s="248" t="s">
        <v>150</v>
      </c>
      <c r="D1008" s="249" t="s">
        <v>115</v>
      </c>
      <c r="E1008" s="250">
        <v>21000</v>
      </c>
      <c r="F1008" s="250">
        <v>37.43699353987239</v>
      </c>
      <c r="G1008" s="260">
        <v>579.64599999999996</v>
      </c>
      <c r="H1008" s="252" t="s">
        <v>185</v>
      </c>
      <c r="I1008" s="252" t="s">
        <v>1876</v>
      </c>
      <c r="J1008" s="252" t="s">
        <v>96</v>
      </c>
      <c r="K1008" s="268" t="s">
        <v>200</v>
      </c>
      <c r="L1008" s="252" t="s">
        <v>153</v>
      </c>
      <c r="M1008" s="248"/>
      <c r="N1008" s="248"/>
      <c r="O1008" s="248"/>
    </row>
    <row r="1009" spans="1:15" hidden="1">
      <c r="A1009" s="247">
        <v>45807</v>
      </c>
      <c r="B1009" s="248" t="s">
        <v>1591</v>
      </c>
      <c r="C1009" s="248" t="s">
        <v>150</v>
      </c>
      <c r="D1009" s="248" t="s">
        <v>118</v>
      </c>
      <c r="E1009" s="250">
        <v>10000</v>
      </c>
      <c r="F1009" s="250">
        <v>17.827139780891613</v>
      </c>
      <c r="G1009" s="260">
        <v>579.64599999999996</v>
      </c>
      <c r="H1009" s="252" t="s">
        <v>211</v>
      </c>
      <c r="I1009" s="252" t="s">
        <v>1841</v>
      </c>
      <c r="J1009" s="252" t="s">
        <v>96</v>
      </c>
      <c r="K1009" s="268" t="s">
        <v>200</v>
      </c>
      <c r="L1009" s="252" t="s">
        <v>153</v>
      </c>
      <c r="M1009" s="248"/>
      <c r="N1009" s="248"/>
      <c r="O1009" s="248"/>
    </row>
    <row r="1010" spans="1:15" hidden="1">
      <c r="A1010" s="247">
        <v>45807</v>
      </c>
      <c r="B1010" s="248" t="s">
        <v>1590</v>
      </c>
      <c r="C1010" s="248" t="s">
        <v>150</v>
      </c>
      <c r="D1010" s="248" t="s">
        <v>118</v>
      </c>
      <c r="E1010" s="250">
        <v>11000</v>
      </c>
      <c r="F1010" s="250">
        <v>19.609853758980776</v>
      </c>
      <c r="G1010" s="260">
        <v>579.64599999999996</v>
      </c>
      <c r="H1010" s="252" t="s">
        <v>211</v>
      </c>
      <c r="I1010" s="252" t="s">
        <v>1842</v>
      </c>
      <c r="J1010" s="252" t="s">
        <v>96</v>
      </c>
      <c r="K1010" s="268" t="s">
        <v>200</v>
      </c>
      <c r="L1010" s="252" t="s">
        <v>153</v>
      </c>
      <c r="M1010" s="248"/>
      <c r="N1010" s="248"/>
      <c r="O1010" s="248"/>
    </row>
    <row r="1011" spans="1:15" hidden="1">
      <c r="A1011" s="247">
        <v>45808</v>
      </c>
      <c r="B1011" s="248" t="s">
        <v>4759</v>
      </c>
      <c r="C1011" s="254" t="s">
        <v>175</v>
      </c>
      <c r="D1011" s="249" t="s">
        <v>440</v>
      </c>
      <c r="E1011" s="250">
        <v>60000</v>
      </c>
      <c r="F1011" s="250">
        <v>106.96283868534969</v>
      </c>
      <c r="G1011" s="260">
        <v>579.64599999999996</v>
      </c>
      <c r="H1011" s="252" t="s">
        <v>182</v>
      </c>
      <c r="I1011" s="253" t="s">
        <v>1631</v>
      </c>
      <c r="J1011" s="252" t="s">
        <v>96</v>
      </c>
      <c r="K1011" s="268" t="s">
        <v>200</v>
      </c>
      <c r="L1011" s="252" t="s">
        <v>153</v>
      </c>
      <c r="M1011" s="248"/>
      <c r="N1011" s="248"/>
      <c r="O1011" s="248"/>
    </row>
    <row r="1012" spans="1:15" hidden="1">
      <c r="A1012" s="247">
        <v>45808</v>
      </c>
      <c r="B1012" s="248" t="s">
        <v>1658</v>
      </c>
      <c r="C1012" s="248" t="s">
        <v>172</v>
      </c>
      <c r="D1012" s="249" t="s">
        <v>440</v>
      </c>
      <c r="E1012" s="250">
        <v>99500</v>
      </c>
      <c r="F1012" s="250">
        <v>177.38004081987157</v>
      </c>
      <c r="G1012" s="260">
        <v>579.64599999999996</v>
      </c>
      <c r="H1012" s="252" t="s">
        <v>173</v>
      </c>
      <c r="I1012" s="252" t="s">
        <v>1659</v>
      </c>
      <c r="J1012" s="252" t="s">
        <v>96</v>
      </c>
      <c r="K1012" s="268" t="s">
        <v>200</v>
      </c>
      <c r="L1012" s="252" t="s">
        <v>153</v>
      </c>
      <c r="M1012" s="248"/>
      <c r="N1012" s="248"/>
      <c r="O1012" s="248"/>
    </row>
    <row r="1013" spans="1:15" hidden="1">
      <c r="A1013" s="247">
        <v>45808</v>
      </c>
      <c r="B1013" s="248" t="s">
        <v>1772</v>
      </c>
      <c r="C1013" s="248" t="s">
        <v>172</v>
      </c>
      <c r="D1013" s="249" t="s">
        <v>115</v>
      </c>
      <c r="E1013" s="250">
        <v>31000</v>
      </c>
      <c r="F1013" s="250">
        <v>55.26413332076401</v>
      </c>
      <c r="G1013" s="260">
        <v>579.64599999999996</v>
      </c>
      <c r="H1013" s="252" t="s">
        <v>188</v>
      </c>
      <c r="I1013" s="252" t="s">
        <v>1773</v>
      </c>
      <c r="J1013" s="252" t="s">
        <v>96</v>
      </c>
      <c r="K1013" s="268" t="s">
        <v>200</v>
      </c>
      <c r="L1013" s="252" t="s">
        <v>153</v>
      </c>
      <c r="M1013" s="248"/>
      <c r="N1013" s="248"/>
      <c r="O1013" s="248"/>
    </row>
    <row r="1014" spans="1:15" hidden="1">
      <c r="A1014" s="247">
        <v>45808</v>
      </c>
      <c r="B1014" s="248" t="s">
        <v>1821</v>
      </c>
      <c r="C1014" s="248" t="s">
        <v>311</v>
      </c>
      <c r="D1014" s="249" t="s">
        <v>115</v>
      </c>
      <c r="E1014" s="250">
        <v>40500</v>
      </c>
      <c r="F1014" s="250">
        <v>72.199916112611035</v>
      </c>
      <c r="G1014" s="260">
        <v>579.64599999999996</v>
      </c>
      <c r="H1014" s="252" t="s">
        <v>195</v>
      </c>
      <c r="I1014" s="252" t="s">
        <v>1822</v>
      </c>
      <c r="J1014" s="252" t="s">
        <v>96</v>
      </c>
      <c r="K1014" s="268" t="s">
        <v>200</v>
      </c>
      <c r="L1014" s="252" t="s">
        <v>153</v>
      </c>
      <c r="M1014" s="248"/>
      <c r="N1014" s="248"/>
      <c r="O1014" s="248"/>
    </row>
    <row r="1015" spans="1:15" hidden="1">
      <c r="A1015" s="247">
        <v>45808</v>
      </c>
      <c r="B1015" s="248" t="s">
        <v>1823</v>
      </c>
      <c r="C1015" s="248" t="s">
        <v>194</v>
      </c>
      <c r="D1015" s="249" t="s">
        <v>115</v>
      </c>
      <c r="E1015" s="250">
        <v>46000</v>
      </c>
      <c r="F1015" s="250">
        <v>82.00484299210143</v>
      </c>
      <c r="G1015" s="260">
        <v>579.64599999999996</v>
      </c>
      <c r="H1015" s="252" t="s">
        <v>195</v>
      </c>
      <c r="I1015" s="252" t="s">
        <v>1824</v>
      </c>
      <c r="J1015" s="252" t="s">
        <v>96</v>
      </c>
      <c r="K1015" s="268" t="s">
        <v>200</v>
      </c>
      <c r="L1015" s="252" t="s">
        <v>153</v>
      </c>
      <c r="M1015" s="248"/>
      <c r="N1015" s="248"/>
      <c r="O1015" s="248"/>
    </row>
    <row r="1016" spans="1:15" hidden="1">
      <c r="A1016" s="272">
        <v>45809</v>
      </c>
      <c r="B1016" s="248" t="s">
        <v>4754</v>
      </c>
      <c r="C1016" s="254" t="s">
        <v>175</v>
      </c>
      <c r="D1016" s="249" t="s">
        <v>440</v>
      </c>
      <c r="E1016" s="250">
        <v>75000</v>
      </c>
      <c r="F1016" s="250">
        <v>133.70354835668712</v>
      </c>
      <c r="G1016" s="260">
        <v>579.64599999999996</v>
      </c>
      <c r="H1016" s="252" t="s">
        <v>173</v>
      </c>
      <c r="I1016" s="252" t="s">
        <v>174</v>
      </c>
      <c r="J1016" s="252" t="s">
        <v>96</v>
      </c>
      <c r="K1016" s="268" t="s">
        <v>200</v>
      </c>
      <c r="L1016" s="248" t="s">
        <v>153</v>
      </c>
      <c r="M1016" s="248"/>
      <c r="N1016" s="248"/>
      <c r="O1016" s="248"/>
    </row>
    <row r="1017" spans="1:15" hidden="1">
      <c r="A1017" s="272">
        <v>45809</v>
      </c>
      <c r="B1017" s="248" t="s">
        <v>2036</v>
      </c>
      <c r="C1017" s="248" t="s">
        <v>172</v>
      </c>
      <c r="D1017" s="248" t="s">
        <v>115</v>
      </c>
      <c r="E1017" s="250">
        <v>33000</v>
      </c>
      <c r="F1017" s="250">
        <v>58.829561276942329</v>
      </c>
      <c r="G1017" s="260">
        <v>579.64599999999996</v>
      </c>
      <c r="H1017" s="252" t="s">
        <v>185</v>
      </c>
      <c r="I1017" s="252" t="s">
        <v>186</v>
      </c>
      <c r="J1017" s="252" t="s">
        <v>96</v>
      </c>
      <c r="K1017" s="268" t="s">
        <v>200</v>
      </c>
      <c r="L1017" s="248" t="s">
        <v>153</v>
      </c>
      <c r="M1017" s="248"/>
      <c r="N1017" s="248"/>
      <c r="O1017" s="248"/>
    </row>
    <row r="1018" spans="1:15" hidden="1">
      <c r="A1018" s="272">
        <v>45809</v>
      </c>
      <c r="B1018" s="248" t="s">
        <v>2037</v>
      </c>
      <c r="C1018" s="254" t="s">
        <v>175</v>
      </c>
      <c r="D1018" s="248" t="s">
        <v>115</v>
      </c>
      <c r="E1018" s="250">
        <v>70000</v>
      </c>
      <c r="F1018" s="250">
        <v>124.78997846624131</v>
      </c>
      <c r="G1018" s="260">
        <v>579.64599999999996</v>
      </c>
      <c r="H1018" s="252" t="s">
        <v>185</v>
      </c>
      <c r="I1018" s="252" t="s">
        <v>203</v>
      </c>
      <c r="J1018" s="252" t="s">
        <v>96</v>
      </c>
      <c r="K1018" s="268" t="s">
        <v>200</v>
      </c>
      <c r="L1018" s="248" t="s">
        <v>153</v>
      </c>
      <c r="M1018" s="248"/>
      <c r="N1018" s="248"/>
      <c r="O1018" s="248"/>
    </row>
    <row r="1019" spans="1:15" hidden="1">
      <c r="A1019" s="272">
        <v>45810</v>
      </c>
      <c r="B1019" s="248" t="s">
        <v>2085</v>
      </c>
      <c r="C1019" s="255" t="s">
        <v>2090</v>
      </c>
      <c r="D1019" s="248" t="s">
        <v>116</v>
      </c>
      <c r="E1019" s="250">
        <v>6000</v>
      </c>
      <c r="F1019" s="250">
        <v>10.696283868534969</v>
      </c>
      <c r="G1019" s="260">
        <v>579.64599999999996</v>
      </c>
      <c r="H1019" s="252" t="s">
        <v>191</v>
      </c>
      <c r="I1019" s="252" t="s">
        <v>156</v>
      </c>
      <c r="J1019" s="252" t="s">
        <v>96</v>
      </c>
      <c r="K1019" s="268" t="s">
        <v>200</v>
      </c>
      <c r="L1019" s="248" t="s">
        <v>153</v>
      </c>
      <c r="M1019" s="248"/>
      <c r="N1019" s="248"/>
      <c r="O1019" s="248"/>
    </row>
    <row r="1020" spans="1:15" hidden="1">
      <c r="A1020" s="272">
        <v>45810</v>
      </c>
      <c r="B1020" s="248" t="s">
        <v>2086</v>
      </c>
      <c r="C1020" s="254" t="s">
        <v>2092</v>
      </c>
      <c r="D1020" s="248" t="s">
        <v>118</v>
      </c>
      <c r="E1020" s="250">
        <v>200000</v>
      </c>
      <c r="F1020" s="250">
        <v>356.54279561783233</v>
      </c>
      <c r="G1020" s="260">
        <v>579.64599999999996</v>
      </c>
      <c r="H1020" s="252" t="s">
        <v>211</v>
      </c>
      <c r="I1020" s="252" t="s">
        <v>314</v>
      </c>
      <c r="J1020" s="252" t="s">
        <v>96</v>
      </c>
      <c r="K1020" s="268" t="s">
        <v>200</v>
      </c>
      <c r="L1020" s="248" t="s">
        <v>153</v>
      </c>
      <c r="M1020" s="248"/>
      <c r="N1020" s="248"/>
      <c r="O1020" s="248"/>
    </row>
    <row r="1021" spans="1:15" hidden="1">
      <c r="A1021" s="272">
        <v>45810</v>
      </c>
      <c r="B1021" s="248" t="s">
        <v>2038</v>
      </c>
      <c r="C1021" s="254" t="s">
        <v>175</v>
      </c>
      <c r="D1021" s="248" t="s">
        <v>115</v>
      </c>
      <c r="E1021" s="250">
        <v>15000</v>
      </c>
      <c r="F1021" s="250">
        <v>26.740709671337424</v>
      </c>
      <c r="G1021" s="260">
        <v>579.64599999999996</v>
      </c>
      <c r="H1021" s="252" t="s">
        <v>185</v>
      </c>
      <c r="I1021" s="252" t="s">
        <v>243</v>
      </c>
      <c r="J1021" s="252" t="s">
        <v>96</v>
      </c>
      <c r="K1021" s="268" t="s">
        <v>200</v>
      </c>
      <c r="L1021" s="248" t="s">
        <v>153</v>
      </c>
      <c r="M1021" s="248"/>
      <c r="N1021" s="248"/>
      <c r="O1021" s="248"/>
    </row>
    <row r="1022" spans="1:15" hidden="1">
      <c r="A1022" s="272">
        <v>45810</v>
      </c>
      <c r="B1022" s="273" t="s">
        <v>1907</v>
      </c>
      <c r="C1022" s="248" t="s">
        <v>125</v>
      </c>
      <c r="D1022" s="249" t="s">
        <v>440</v>
      </c>
      <c r="E1022" s="250">
        <v>155200</v>
      </c>
      <c r="F1022" s="250">
        <v>276.67720939943786</v>
      </c>
      <c r="G1022" s="251">
        <v>560.94248000000005</v>
      </c>
      <c r="H1022" s="252" t="s">
        <v>146</v>
      </c>
      <c r="I1022" s="252" t="s">
        <v>127</v>
      </c>
      <c r="J1022" s="252" t="s">
        <v>96</v>
      </c>
      <c r="K1022" s="265" t="s">
        <v>1906</v>
      </c>
      <c r="L1022" s="274" t="s">
        <v>153</v>
      </c>
      <c r="M1022" s="248"/>
      <c r="N1022" s="248"/>
      <c r="O1022" s="248"/>
    </row>
    <row r="1023" spans="1:15" hidden="1">
      <c r="A1023" s="272">
        <v>45810</v>
      </c>
      <c r="B1023" s="273" t="s">
        <v>1529</v>
      </c>
      <c r="C1023" s="248" t="s">
        <v>121</v>
      </c>
      <c r="D1023" s="248" t="s">
        <v>115</v>
      </c>
      <c r="E1023" s="250">
        <v>150000</v>
      </c>
      <c r="F1023" s="250">
        <v>267.40709671337424</v>
      </c>
      <c r="G1023" s="260">
        <v>579.64599999999996</v>
      </c>
      <c r="H1023" s="252" t="s">
        <v>146</v>
      </c>
      <c r="I1023" s="252" t="s">
        <v>128</v>
      </c>
      <c r="J1023" s="252" t="s">
        <v>96</v>
      </c>
      <c r="K1023" s="268" t="s">
        <v>200</v>
      </c>
      <c r="L1023" s="248" t="s">
        <v>153</v>
      </c>
      <c r="M1023" s="248"/>
      <c r="N1023" s="248"/>
      <c r="O1023" s="248"/>
    </row>
    <row r="1024" spans="1:15" hidden="1">
      <c r="A1024" s="275">
        <v>45811</v>
      </c>
      <c r="B1024" s="248" t="s">
        <v>4743</v>
      </c>
      <c r="C1024" s="248" t="s">
        <v>172</v>
      </c>
      <c r="D1024" s="249" t="s">
        <v>440</v>
      </c>
      <c r="E1024" s="250">
        <v>28000</v>
      </c>
      <c r="F1024" s="250">
        <v>49.915991386496522</v>
      </c>
      <c r="G1024" s="260">
        <v>579.64599999999996</v>
      </c>
      <c r="H1024" s="252" t="s">
        <v>182</v>
      </c>
      <c r="I1024" s="252" t="s">
        <v>1971</v>
      </c>
      <c r="J1024" s="252" t="s">
        <v>96</v>
      </c>
      <c r="K1024" s="268" t="s">
        <v>200</v>
      </c>
      <c r="L1024" s="248" t="s">
        <v>153</v>
      </c>
      <c r="M1024" s="248"/>
      <c r="N1024" s="248"/>
      <c r="O1024" s="248"/>
    </row>
    <row r="1025" spans="1:15" hidden="1">
      <c r="A1025" s="272">
        <v>45811</v>
      </c>
      <c r="B1025" s="248" t="s">
        <v>1917</v>
      </c>
      <c r="C1025" s="255" t="s">
        <v>2090</v>
      </c>
      <c r="D1025" s="248" t="s">
        <v>116</v>
      </c>
      <c r="E1025" s="250">
        <v>5675</v>
      </c>
      <c r="F1025" s="250">
        <v>10.116901825655992</v>
      </c>
      <c r="G1025" s="260">
        <v>579.64599999999996</v>
      </c>
      <c r="H1025" s="252" t="s">
        <v>581</v>
      </c>
      <c r="I1025" s="252" t="s">
        <v>162</v>
      </c>
      <c r="J1025" s="252" t="s">
        <v>96</v>
      </c>
      <c r="K1025" s="268" t="s">
        <v>200</v>
      </c>
      <c r="L1025" s="248" t="s">
        <v>153</v>
      </c>
      <c r="M1025" s="248"/>
      <c r="N1025" s="248"/>
      <c r="O1025" s="248"/>
    </row>
    <row r="1026" spans="1:15" hidden="1">
      <c r="A1026" s="272">
        <v>45811</v>
      </c>
      <c r="B1026" s="248" t="s">
        <v>4759</v>
      </c>
      <c r="C1026" s="254" t="s">
        <v>175</v>
      </c>
      <c r="D1026" s="249" t="s">
        <v>440</v>
      </c>
      <c r="E1026" s="250">
        <v>45000</v>
      </c>
      <c r="F1026" s="250">
        <v>80.222129014012268</v>
      </c>
      <c r="G1026" s="260">
        <v>579.64599999999996</v>
      </c>
      <c r="H1026" s="252" t="s">
        <v>182</v>
      </c>
      <c r="I1026" s="252" t="s">
        <v>1972</v>
      </c>
      <c r="J1026" s="252" t="s">
        <v>96</v>
      </c>
      <c r="K1026" s="268" t="s">
        <v>200</v>
      </c>
      <c r="L1026" s="248" t="s">
        <v>153</v>
      </c>
      <c r="M1026" s="248"/>
      <c r="N1026" s="248"/>
      <c r="O1026" s="248"/>
    </row>
    <row r="1027" spans="1:15" hidden="1">
      <c r="A1027" s="272">
        <v>45811</v>
      </c>
      <c r="B1027" s="248" t="s">
        <v>4754</v>
      </c>
      <c r="C1027" s="254" t="s">
        <v>175</v>
      </c>
      <c r="D1027" s="249" t="s">
        <v>440</v>
      </c>
      <c r="E1027" s="250">
        <v>30000</v>
      </c>
      <c r="F1027" s="250">
        <v>53.481419342674847</v>
      </c>
      <c r="G1027" s="260">
        <v>579.64599999999996</v>
      </c>
      <c r="H1027" s="252" t="s">
        <v>173</v>
      </c>
      <c r="I1027" s="252" t="s">
        <v>241</v>
      </c>
      <c r="J1027" s="252" t="s">
        <v>96</v>
      </c>
      <c r="K1027" s="268" t="s">
        <v>200</v>
      </c>
      <c r="L1027" s="248" t="s">
        <v>153</v>
      </c>
      <c r="M1027" s="248"/>
      <c r="N1027" s="248"/>
      <c r="O1027" s="248"/>
    </row>
    <row r="1028" spans="1:15" hidden="1">
      <c r="A1028" s="272">
        <v>45811</v>
      </c>
      <c r="B1028" s="248" t="s">
        <v>4744</v>
      </c>
      <c r="C1028" s="248" t="s">
        <v>172</v>
      </c>
      <c r="D1028" s="249" t="s">
        <v>440</v>
      </c>
      <c r="E1028" s="250">
        <v>28000</v>
      </c>
      <c r="F1028" s="250">
        <v>49.915991386496522</v>
      </c>
      <c r="G1028" s="260">
        <v>579.64599999999996</v>
      </c>
      <c r="H1028" s="252" t="s">
        <v>173</v>
      </c>
      <c r="I1028" s="252" t="s">
        <v>283</v>
      </c>
      <c r="J1028" s="252" t="s">
        <v>96</v>
      </c>
      <c r="K1028" s="268" t="s">
        <v>200</v>
      </c>
      <c r="L1028" s="248" t="s">
        <v>153</v>
      </c>
      <c r="M1028" s="248"/>
      <c r="N1028" s="248"/>
      <c r="O1028" s="248"/>
    </row>
    <row r="1029" spans="1:15" hidden="1">
      <c r="A1029" s="272">
        <v>45811</v>
      </c>
      <c r="B1029" s="248" t="s">
        <v>1984</v>
      </c>
      <c r="C1029" s="248" t="s">
        <v>363</v>
      </c>
      <c r="D1029" s="249" t="s">
        <v>440</v>
      </c>
      <c r="E1029" s="250">
        <v>1500</v>
      </c>
      <c r="F1029" s="250">
        <v>2.6740709671337424</v>
      </c>
      <c r="G1029" s="260">
        <v>579.64599999999996</v>
      </c>
      <c r="H1029" s="252" t="s">
        <v>315</v>
      </c>
      <c r="I1029" s="252" t="s">
        <v>316</v>
      </c>
      <c r="J1029" s="252" t="s">
        <v>96</v>
      </c>
      <c r="K1029" s="268" t="s">
        <v>200</v>
      </c>
      <c r="L1029" s="248" t="s">
        <v>153</v>
      </c>
      <c r="M1029" s="248"/>
      <c r="N1029" s="248"/>
      <c r="O1029" s="248"/>
    </row>
    <row r="1030" spans="1:15" hidden="1">
      <c r="A1030" s="272">
        <v>45811</v>
      </c>
      <c r="B1030" s="248" t="s">
        <v>2008</v>
      </c>
      <c r="C1030" s="248" t="s">
        <v>172</v>
      </c>
      <c r="D1030" s="248" t="s">
        <v>115</v>
      </c>
      <c r="E1030" s="250">
        <v>20000</v>
      </c>
      <c r="F1030" s="250">
        <v>35.654279561783227</v>
      </c>
      <c r="G1030" s="260">
        <v>579.64599999999996</v>
      </c>
      <c r="H1030" s="252" t="s">
        <v>191</v>
      </c>
      <c r="I1030" s="252" t="s">
        <v>158</v>
      </c>
      <c r="J1030" s="252" t="s">
        <v>96</v>
      </c>
      <c r="K1030" s="268" t="s">
        <v>200</v>
      </c>
      <c r="L1030" s="248" t="s">
        <v>153</v>
      </c>
      <c r="M1030" s="248"/>
      <c r="N1030" s="248"/>
      <c r="O1030" s="248"/>
    </row>
    <row r="1031" spans="1:15" hidden="1">
      <c r="A1031" s="272">
        <v>45811</v>
      </c>
      <c r="B1031" s="248" t="s">
        <v>2009</v>
      </c>
      <c r="C1031" s="254" t="s">
        <v>175</v>
      </c>
      <c r="D1031" s="248" t="s">
        <v>115</v>
      </c>
      <c r="E1031" s="250">
        <v>50000</v>
      </c>
      <c r="F1031" s="250">
        <v>89.135698904458081</v>
      </c>
      <c r="G1031" s="260">
        <v>579.64599999999996</v>
      </c>
      <c r="H1031" s="252" t="s">
        <v>191</v>
      </c>
      <c r="I1031" s="252" t="s">
        <v>160</v>
      </c>
      <c r="J1031" s="252" t="s">
        <v>96</v>
      </c>
      <c r="K1031" s="268" t="s">
        <v>200</v>
      </c>
      <c r="L1031" s="248" t="s">
        <v>153</v>
      </c>
      <c r="M1031" s="248"/>
      <c r="N1031" s="248"/>
      <c r="O1031" s="248"/>
    </row>
    <row r="1032" spans="1:15" hidden="1">
      <c r="A1032" s="272">
        <v>45811</v>
      </c>
      <c r="B1032" s="248" t="s">
        <v>2010</v>
      </c>
      <c r="C1032" s="248" t="s">
        <v>172</v>
      </c>
      <c r="D1032" s="248" t="s">
        <v>115</v>
      </c>
      <c r="E1032" s="250">
        <v>7000</v>
      </c>
      <c r="F1032" s="250">
        <v>12.47899784662413</v>
      </c>
      <c r="G1032" s="260">
        <v>579.64599999999996</v>
      </c>
      <c r="H1032" s="252" t="s">
        <v>191</v>
      </c>
      <c r="I1032" s="252" t="s">
        <v>252</v>
      </c>
      <c r="J1032" s="252" t="s">
        <v>96</v>
      </c>
      <c r="K1032" s="268" t="s">
        <v>200</v>
      </c>
      <c r="L1032" s="248" t="s">
        <v>153</v>
      </c>
      <c r="M1032" s="248"/>
      <c r="N1032" s="248"/>
      <c r="O1032" s="248"/>
    </row>
    <row r="1033" spans="1:15" hidden="1">
      <c r="A1033" s="272">
        <v>45811</v>
      </c>
      <c r="B1033" s="248" t="s">
        <v>1097</v>
      </c>
      <c r="C1033" s="254" t="s">
        <v>1168</v>
      </c>
      <c r="D1033" s="248" t="s">
        <v>115</v>
      </c>
      <c r="E1033" s="250">
        <v>36250</v>
      </c>
      <c r="F1033" s="250">
        <v>64.6233817057321</v>
      </c>
      <c r="G1033" s="260">
        <v>579.64599999999996</v>
      </c>
      <c r="H1033" s="252" t="s">
        <v>195</v>
      </c>
      <c r="I1033" s="252" t="s">
        <v>196</v>
      </c>
      <c r="J1033" s="252" t="s">
        <v>96</v>
      </c>
      <c r="K1033" s="268" t="s">
        <v>200</v>
      </c>
      <c r="L1033" s="248" t="s">
        <v>153</v>
      </c>
      <c r="M1033" s="248"/>
      <c r="N1033" s="248"/>
      <c r="O1033" s="248"/>
    </row>
    <row r="1034" spans="1:15" hidden="1">
      <c r="A1034" s="272">
        <v>45811</v>
      </c>
      <c r="B1034" s="248" t="s">
        <v>2073</v>
      </c>
      <c r="C1034" s="248" t="s">
        <v>172</v>
      </c>
      <c r="D1034" s="248" t="s">
        <v>118</v>
      </c>
      <c r="E1034" s="250">
        <v>33000</v>
      </c>
      <c r="F1034" s="250">
        <v>58.829561276942329</v>
      </c>
      <c r="G1034" s="260">
        <v>579.64599999999996</v>
      </c>
      <c r="H1034" s="252" t="s">
        <v>211</v>
      </c>
      <c r="I1034" s="252" t="s">
        <v>212</v>
      </c>
      <c r="J1034" s="252" t="s">
        <v>96</v>
      </c>
      <c r="K1034" s="268" t="s">
        <v>200</v>
      </c>
      <c r="L1034" s="248" t="s">
        <v>153</v>
      </c>
      <c r="M1034" s="248"/>
      <c r="N1034" s="248"/>
      <c r="O1034" s="248"/>
    </row>
    <row r="1035" spans="1:15" hidden="1">
      <c r="A1035" s="272">
        <v>45811</v>
      </c>
      <c r="B1035" s="248" t="s">
        <v>2087</v>
      </c>
      <c r="C1035" s="254" t="s">
        <v>2092</v>
      </c>
      <c r="D1035" s="248" t="s">
        <v>118</v>
      </c>
      <c r="E1035" s="250">
        <v>162000</v>
      </c>
      <c r="F1035" s="250">
        <v>288.79966445044414</v>
      </c>
      <c r="G1035" s="260">
        <v>579.64599999999996</v>
      </c>
      <c r="H1035" s="252" t="s">
        <v>211</v>
      </c>
      <c r="I1035" s="252" t="s">
        <v>361</v>
      </c>
      <c r="J1035" s="252" t="s">
        <v>96</v>
      </c>
      <c r="K1035" s="268" t="s">
        <v>200</v>
      </c>
      <c r="L1035" s="248" t="s">
        <v>153</v>
      </c>
      <c r="M1035" s="248"/>
      <c r="N1035" s="248"/>
      <c r="O1035" s="248"/>
    </row>
    <row r="1036" spans="1:15" hidden="1">
      <c r="A1036" s="272">
        <v>45811</v>
      </c>
      <c r="B1036" s="248" t="s">
        <v>2039</v>
      </c>
      <c r="C1036" s="254" t="s">
        <v>175</v>
      </c>
      <c r="D1036" s="248" t="s">
        <v>115</v>
      </c>
      <c r="E1036" s="250">
        <v>15000</v>
      </c>
      <c r="F1036" s="250">
        <v>26.740709671337424</v>
      </c>
      <c r="G1036" s="260">
        <v>579.64599999999996</v>
      </c>
      <c r="H1036" s="252" t="s">
        <v>185</v>
      </c>
      <c r="I1036" s="252" t="s">
        <v>244</v>
      </c>
      <c r="J1036" s="252" t="s">
        <v>96</v>
      </c>
      <c r="K1036" s="268" t="s">
        <v>200</v>
      </c>
      <c r="L1036" s="248" t="s">
        <v>153</v>
      </c>
      <c r="M1036" s="248"/>
      <c r="N1036" s="248"/>
      <c r="O1036" s="248"/>
    </row>
    <row r="1037" spans="1:15" hidden="1">
      <c r="A1037" s="272">
        <v>45812</v>
      </c>
      <c r="B1037" s="248" t="s">
        <v>1955</v>
      </c>
      <c r="C1037" s="248" t="s">
        <v>125</v>
      </c>
      <c r="D1037" s="248" t="s">
        <v>117</v>
      </c>
      <c r="E1037" s="250">
        <v>174625</v>
      </c>
      <c r="F1037" s="250">
        <v>311.30642842381985</v>
      </c>
      <c r="G1037" s="251">
        <v>560.94248000000005</v>
      </c>
      <c r="H1037" s="252" t="s">
        <v>151</v>
      </c>
      <c r="I1037" s="252" t="s">
        <v>152</v>
      </c>
      <c r="J1037" s="252" t="s">
        <v>96</v>
      </c>
      <c r="K1037" s="265" t="s">
        <v>1906</v>
      </c>
      <c r="L1037" s="274" t="s">
        <v>153</v>
      </c>
      <c r="M1037" s="248"/>
      <c r="N1037" s="248"/>
      <c r="O1037" s="248"/>
    </row>
    <row r="1038" spans="1:15" hidden="1">
      <c r="A1038" s="272">
        <v>45812</v>
      </c>
      <c r="B1038" s="248" t="s">
        <v>1958</v>
      </c>
      <c r="C1038" s="254" t="s">
        <v>175</v>
      </c>
      <c r="D1038" s="248" t="s">
        <v>115</v>
      </c>
      <c r="E1038" s="250">
        <v>111000</v>
      </c>
      <c r="F1038" s="250">
        <v>197.88125156789692</v>
      </c>
      <c r="G1038" s="260">
        <v>579.64599999999996</v>
      </c>
      <c r="H1038" s="252" t="s">
        <v>198</v>
      </c>
      <c r="I1038" s="252" t="s">
        <v>214</v>
      </c>
      <c r="J1038" s="252" t="s">
        <v>96</v>
      </c>
      <c r="K1038" s="268" t="s">
        <v>200</v>
      </c>
      <c r="L1038" s="248" t="s">
        <v>153</v>
      </c>
      <c r="M1038" s="248"/>
      <c r="N1038" s="248"/>
      <c r="O1038" s="248"/>
    </row>
    <row r="1039" spans="1:15" hidden="1">
      <c r="A1039" s="272">
        <v>45812</v>
      </c>
      <c r="B1039" s="248" t="s">
        <v>1919</v>
      </c>
      <c r="C1039" s="254" t="s">
        <v>1168</v>
      </c>
      <c r="D1039" s="248" t="s">
        <v>116</v>
      </c>
      <c r="E1039" s="250">
        <v>79500</v>
      </c>
      <c r="F1039" s="250">
        <v>141.72576125808834</v>
      </c>
      <c r="G1039" s="260">
        <v>579.64599999999996</v>
      </c>
      <c r="H1039" s="252" t="s">
        <v>581</v>
      </c>
      <c r="I1039" s="252" t="s">
        <v>166</v>
      </c>
      <c r="J1039" s="252" t="s">
        <v>96</v>
      </c>
      <c r="K1039" s="268" t="s">
        <v>200</v>
      </c>
      <c r="L1039" s="248" t="s">
        <v>153</v>
      </c>
      <c r="M1039" s="248"/>
      <c r="N1039" s="248"/>
      <c r="O1039" s="248"/>
    </row>
    <row r="1040" spans="1:15" hidden="1">
      <c r="A1040" s="272">
        <v>45812</v>
      </c>
      <c r="B1040" s="248" t="s">
        <v>1918</v>
      </c>
      <c r="C1040" s="255" t="s">
        <v>2090</v>
      </c>
      <c r="D1040" s="248" t="s">
        <v>116</v>
      </c>
      <c r="E1040" s="250">
        <v>15500</v>
      </c>
      <c r="F1040" s="250">
        <v>27.632066660382005</v>
      </c>
      <c r="G1040" s="260">
        <v>579.64599999999996</v>
      </c>
      <c r="H1040" s="252" t="s">
        <v>188</v>
      </c>
      <c r="I1040" s="252" t="s">
        <v>164</v>
      </c>
      <c r="J1040" s="252" t="s">
        <v>96</v>
      </c>
      <c r="K1040" s="268" t="s">
        <v>200</v>
      </c>
      <c r="L1040" s="248" t="s">
        <v>153</v>
      </c>
      <c r="M1040" s="248"/>
      <c r="N1040" s="248"/>
      <c r="O1040" s="248"/>
    </row>
    <row r="1041" spans="1:15" hidden="1">
      <c r="A1041" s="272">
        <v>45812</v>
      </c>
      <c r="B1041" s="248" t="s">
        <v>2011</v>
      </c>
      <c r="C1041" s="254" t="s">
        <v>175</v>
      </c>
      <c r="D1041" s="248" t="s">
        <v>115</v>
      </c>
      <c r="E1041" s="250">
        <v>20000</v>
      </c>
      <c r="F1041" s="250">
        <v>35.654279561783227</v>
      </c>
      <c r="G1041" s="260">
        <v>579.64599999999996</v>
      </c>
      <c r="H1041" s="252" t="s">
        <v>191</v>
      </c>
      <c r="I1041" s="252" t="s">
        <v>272</v>
      </c>
      <c r="J1041" s="252" t="s">
        <v>96</v>
      </c>
      <c r="K1041" s="268" t="s">
        <v>200</v>
      </c>
      <c r="L1041" s="248" t="s">
        <v>153</v>
      </c>
      <c r="M1041" s="248"/>
      <c r="N1041" s="248"/>
      <c r="O1041" s="248"/>
    </row>
    <row r="1042" spans="1:15" hidden="1">
      <c r="A1042" s="272">
        <v>45812</v>
      </c>
      <c r="B1042" s="248" t="s">
        <v>2047</v>
      </c>
      <c r="C1042" s="254" t="s">
        <v>175</v>
      </c>
      <c r="D1042" s="248" t="s">
        <v>115</v>
      </c>
      <c r="E1042" s="250">
        <v>111000</v>
      </c>
      <c r="F1042" s="250">
        <v>197.88125156789692</v>
      </c>
      <c r="G1042" s="260">
        <v>579.64599999999996</v>
      </c>
      <c r="H1042" s="252" t="s">
        <v>195</v>
      </c>
      <c r="I1042" s="252" t="s">
        <v>209</v>
      </c>
      <c r="J1042" s="252" t="s">
        <v>96</v>
      </c>
      <c r="K1042" s="268" t="s">
        <v>200</v>
      </c>
      <c r="L1042" s="248" t="s">
        <v>153</v>
      </c>
      <c r="M1042" s="248"/>
      <c r="N1042" s="248"/>
      <c r="O1042" s="248"/>
    </row>
    <row r="1043" spans="1:15" hidden="1">
      <c r="A1043" s="272">
        <v>45812</v>
      </c>
      <c r="B1043" s="248" t="s">
        <v>2074</v>
      </c>
      <c r="C1043" s="254" t="s">
        <v>175</v>
      </c>
      <c r="D1043" s="248" t="s">
        <v>118</v>
      </c>
      <c r="E1043" s="250">
        <v>40000</v>
      </c>
      <c r="F1043" s="250">
        <v>71.308559123566454</v>
      </c>
      <c r="G1043" s="260">
        <v>579.64599999999996</v>
      </c>
      <c r="H1043" s="252" t="s">
        <v>211</v>
      </c>
      <c r="I1043" s="252" t="s">
        <v>219</v>
      </c>
      <c r="J1043" s="252" t="s">
        <v>96</v>
      </c>
      <c r="K1043" s="268" t="s">
        <v>200</v>
      </c>
      <c r="L1043" s="248" t="s">
        <v>153</v>
      </c>
      <c r="M1043" s="248"/>
      <c r="N1043" s="248"/>
      <c r="O1043" s="248"/>
    </row>
    <row r="1044" spans="1:15" hidden="1">
      <c r="A1044" s="272">
        <v>45812</v>
      </c>
      <c r="B1044" s="273" t="s">
        <v>1908</v>
      </c>
      <c r="C1044" s="254" t="s">
        <v>124</v>
      </c>
      <c r="D1044" s="248" t="s">
        <v>116</v>
      </c>
      <c r="E1044" s="250">
        <v>260000</v>
      </c>
      <c r="F1044" s="250">
        <v>463.50563430318198</v>
      </c>
      <c r="G1044" s="260">
        <v>579.64599999999996</v>
      </c>
      <c r="H1044" s="252" t="s">
        <v>146</v>
      </c>
      <c r="I1044" s="252" t="s">
        <v>130</v>
      </c>
      <c r="J1044" s="252" t="s">
        <v>96</v>
      </c>
      <c r="K1044" s="268" t="s">
        <v>200</v>
      </c>
      <c r="L1044" s="248" t="s">
        <v>153</v>
      </c>
      <c r="M1044" s="248"/>
      <c r="N1044" s="248"/>
      <c r="O1044" s="248"/>
    </row>
    <row r="1045" spans="1:15" hidden="1">
      <c r="A1045" s="272">
        <v>45813</v>
      </c>
      <c r="B1045" s="248" t="s">
        <v>1920</v>
      </c>
      <c r="C1045" s="248" t="s">
        <v>172</v>
      </c>
      <c r="D1045" s="248" t="s">
        <v>116</v>
      </c>
      <c r="E1045" s="250">
        <v>18000</v>
      </c>
      <c r="F1045" s="250">
        <v>32.088851605604908</v>
      </c>
      <c r="G1045" s="260">
        <v>579.64599999999996</v>
      </c>
      <c r="H1045" s="252" t="s">
        <v>581</v>
      </c>
      <c r="I1045" s="252" t="s">
        <v>168</v>
      </c>
      <c r="J1045" s="252" t="s">
        <v>96</v>
      </c>
      <c r="K1045" s="268" t="s">
        <v>200</v>
      </c>
      <c r="L1045" s="248" t="s">
        <v>153</v>
      </c>
      <c r="M1045" s="248"/>
      <c r="N1045" s="248"/>
      <c r="O1045" s="248"/>
    </row>
    <row r="1046" spans="1:15" hidden="1">
      <c r="A1046" s="272">
        <v>45813</v>
      </c>
      <c r="B1046" s="248" t="s">
        <v>1921</v>
      </c>
      <c r="C1046" s="254" t="s">
        <v>175</v>
      </c>
      <c r="D1046" s="248" t="s">
        <v>115</v>
      </c>
      <c r="E1046" s="250">
        <v>225000</v>
      </c>
      <c r="F1046" s="250">
        <v>401.11064507006137</v>
      </c>
      <c r="G1046" s="260">
        <v>579.64599999999996</v>
      </c>
      <c r="H1046" s="252" t="s">
        <v>581</v>
      </c>
      <c r="I1046" s="252" t="s">
        <v>171</v>
      </c>
      <c r="J1046" s="252" t="s">
        <v>96</v>
      </c>
      <c r="K1046" s="268" t="s">
        <v>200</v>
      </c>
      <c r="L1046" s="248" t="s">
        <v>153</v>
      </c>
      <c r="M1046" s="248"/>
      <c r="N1046" s="248"/>
      <c r="O1046" s="248"/>
    </row>
    <row r="1047" spans="1:15" hidden="1">
      <c r="A1047" s="272">
        <v>45813</v>
      </c>
      <c r="B1047" s="248" t="s">
        <v>1922</v>
      </c>
      <c r="C1047" s="255" t="s">
        <v>2090</v>
      </c>
      <c r="D1047" s="248" t="s">
        <v>115</v>
      </c>
      <c r="E1047" s="250">
        <v>5550</v>
      </c>
      <c r="F1047" s="250">
        <v>9.8940625783948466</v>
      </c>
      <c r="G1047" s="260">
        <v>579.64599999999996</v>
      </c>
      <c r="H1047" s="252" t="s">
        <v>581</v>
      </c>
      <c r="I1047" s="252" t="s">
        <v>181</v>
      </c>
      <c r="J1047" s="252" t="s">
        <v>96</v>
      </c>
      <c r="K1047" s="268" t="s">
        <v>200</v>
      </c>
      <c r="L1047" s="248" t="s">
        <v>153</v>
      </c>
      <c r="M1047" s="248"/>
      <c r="N1047" s="248"/>
      <c r="O1047" s="248"/>
    </row>
    <row r="1048" spans="1:15" hidden="1">
      <c r="A1048" s="272">
        <v>45813</v>
      </c>
      <c r="B1048" s="248" t="s">
        <v>1923</v>
      </c>
      <c r="C1048" s="255" t="s">
        <v>2090</v>
      </c>
      <c r="D1048" s="248" t="s">
        <v>116</v>
      </c>
      <c r="E1048" s="250">
        <v>875</v>
      </c>
      <c r="F1048" s="250">
        <v>1.5598747308280163</v>
      </c>
      <c r="G1048" s="260">
        <v>579.64599999999996</v>
      </c>
      <c r="H1048" s="252" t="s">
        <v>581</v>
      </c>
      <c r="I1048" s="252" t="s">
        <v>192</v>
      </c>
      <c r="J1048" s="252" t="s">
        <v>96</v>
      </c>
      <c r="K1048" s="268" t="s">
        <v>200</v>
      </c>
      <c r="L1048" s="248" t="s">
        <v>153</v>
      </c>
      <c r="M1048" s="248"/>
      <c r="N1048" s="248"/>
      <c r="O1048" s="248"/>
    </row>
    <row r="1049" spans="1:15" hidden="1">
      <c r="A1049" s="272">
        <v>45813</v>
      </c>
      <c r="B1049" s="248" t="s">
        <v>4821</v>
      </c>
      <c r="C1049" s="254" t="s">
        <v>175</v>
      </c>
      <c r="D1049" s="249" t="s">
        <v>440</v>
      </c>
      <c r="E1049" s="250">
        <v>30000</v>
      </c>
      <c r="F1049" s="250">
        <v>53.481419342674847</v>
      </c>
      <c r="G1049" s="260">
        <v>579.64599999999996</v>
      </c>
      <c r="H1049" s="252" t="s">
        <v>182</v>
      </c>
      <c r="I1049" s="252" t="s">
        <v>1973</v>
      </c>
      <c r="J1049" s="252" t="s">
        <v>96</v>
      </c>
      <c r="K1049" s="268" t="s">
        <v>200</v>
      </c>
      <c r="L1049" s="248" t="s">
        <v>153</v>
      </c>
      <c r="M1049" s="248"/>
      <c r="N1049" s="248"/>
      <c r="O1049" s="248"/>
    </row>
    <row r="1050" spans="1:15" hidden="1">
      <c r="A1050" s="272">
        <v>45813</v>
      </c>
      <c r="B1050" s="248" t="s">
        <v>4754</v>
      </c>
      <c r="C1050" s="254" t="s">
        <v>175</v>
      </c>
      <c r="D1050" s="249" t="s">
        <v>440</v>
      </c>
      <c r="E1050" s="250">
        <v>30000</v>
      </c>
      <c r="F1050" s="250">
        <v>53.481419342674847</v>
      </c>
      <c r="G1050" s="260">
        <v>579.64599999999996</v>
      </c>
      <c r="H1050" s="252" t="s">
        <v>173</v>
      </c>
      <c r="I1050" s="252" t="s">
        <v>284</v>
      </c>
      <c r="J1050" s="252" t="s">
        <v>96</v>
      </c>
      <c r="K1050" s="268" t="s">
        <v>200</v>
      </c>
      <c r="L1050" s="248" t="s">
        <v>153</v>
      </c>
      <c r="M1050" s="248"/>
      <c r="N1050" s="248"/>
      <c r="O1050" s="248"/>
    </row>
    <row r="1051" spans="1:15" hidden="1">
      <c r="A1051" s="272">
        <v>45813</v>
      </c>
      <c r="B1051" s="248" t="s">
        <v>2013</v>
      </c>
      <c r="C1051" s="248" t="s">
        <v>1379</v>
      </c>
      <c r="D1051" s="248" t="s">
        <v>115</v>
      </c>
      <c r="E1051" s="250">
        <v>25000</v>
      </c>
      <c r="F1051" s="250">
        <v>44.567849452229041</v>
      </c>
      <c r="G1051" s="260">
        <v>579.64599999999996</v>
      </c>
      <c r="H1051" s="252" t="s">
        <v>191</v>
      </c>
      <c r="I1051" s="252" t="s">
        <v>295</v>
      </c>
      <c r="J1051" s="252" t="s">
        <v>96</v>
      </c>
      <c r="K1051" s="268" t="s">
        <v>200</v>
      </c>
      <c r="L1051" s="248" t="s">
        <v>153</v>
      </c>
      <c r="M1051" s="248"/>
      <c r="N1051" s="248"/>
      <c r="O1051" s="248"/>
    </row>
    <row r="1052" spans="1:15" hidden="1">
      <c r="A1052" s="272">
        <v>45813</v>
      </c>
      <c r="B1052" s="273" t="s">
        <v>1909</v>
      </c>
      <c r="C1052" s="254" t="s">
        <v>124</v>
      </c>
      <c r="D1052" s="248" t="s">
        <v>116</v>
      </c>
      <c r="E1052" s="250">
        <v>500000</v>
      </c>
      <c r="F1052" s="250">
        <v>891.3569890445807</v>
      </c>
      <c r="G1052" s="260">
        <v>579.64599999999996</v>
      </c>
      <c r="H1052" s="252" t="s">
        <v>146</v>
      </c>
      <c r="I1052" s="252" t="s">
        <v>131</v>
      </c>
      <c r="J1052" s="252" t="s">
        <v>96</v>
      </c>
      <c r="K1052" s="268" t="s">
        <v>200</v>
      </c>
      <c r="L1052" s="248" t="s">
        <v>153</v>
      </c>
      <c r="M1052" s="248"/>
      <c r="N1052" s="248"/>
      <c r="O1052" s="248"/>
    </row>
    <row r="1053" spans="1:15" hidden="1">
      <c r="A1053" s="272">
        <v>45814</v>
      </c>
      <c r="B1053" s="248" t="s">
        <v>2012</v>
      </c>
      <c r="C1053" s="248" t="s">
        <v>172</v>
      </c>
      <c r="D1053" s="248" t="s">
        <v>115</v>
      </c>
      <c r="E1053" s="250">
        <v>7000</v>
      </c>
      <c r="F1053" s="250">
        <v>12.47899784662413</v>
      </c>
      <c r="G1053" s="260">
        <v>579.64599999999996</v>
      </c>
      <c r="H1053" s="252" t="s">
        <v>191</v>
      </c>
      <c r="I1053" s="252" t="s">
        <v>290</v>
      </c>
      <c r="J1053" s="252" t="s">
        <v>96</v>
      </c>
      <c r="K1053" s="268" t="s">
        <v>200</v>
      </c>
      <c r="L1053" s="248" t="s">
        <v>153</v>
      </c>
      <c r="M1053" s="248"/>
      <c r="N1053" s="248"/>
      <c r="O1053" s="248"/>
    </row>
    <row r="1054" spans="1:15" hidden="1">
      <c r="A1054" s="272">
        <v>45814</v>
      </c>
      <c r="B1054" s="248" t="s">
        <v>820</v>
      </c>
      <c r="C1054" s="254" t="s">
        <v>1168</v>
      </c>
      <c r="D1054" s="248" t="s">
        <v>116</v>
      </c>
      <c r="E1054" s="250">
        <v>62500</v>
      </c>
      <c r="F1054" s="250">
        <v>111.41962363057259</v>
      </c>
      <c r="G1054" s="260">
        <v>579.64599999999996</v>
      </c>
      <c r="H1054" s="252" t="s">
        <v>173</v>
      </c>
      <c r="I1054" s="252" t="s">
        <v>207</v>
      </c>
      <c r="J1054" s="252" t="s">
        <v>96</v>
      </c>
      <c r="K1054" s="268" t="s">
        <v>200</v>
      </c>
      <c r="L1054" s="248" t="s">
        <v>153</v>
      </c>
      <c r="M1054" s="248"/>
      <c r="N1054" s="248"/>
      <c r="O1054" s="248"/>
    </row>
    <row r="1055" spans="1:15" hidden="1">
      <c r="A1055" s="272">
        <v>45814</v>
      </c>
      <c r="B1055" s="248" t="s">
        <v>1980</v>
      </c>
      <c r="C1055" s="248" t="s">
        <v>1510</v>
      </c>
      <c r="D1055" s="249" t="s">
        <v>993</v>
      </c>
      <c r="E1055" s="250">
        <v>50000</v>
      </c>
      <c r="F1055" s="250">
        <v>89.135698904458081</v>
      </c>
      <c r="G1055" s="260">
        <v>579.64599999999996</v>
      </c>
      <c r="H1055" s="252" t="s">
        <v>173</v>
      </c>
      <c r="I1055" s="252" t="s">
        <v>304</v>
      </c>
      <c r="J1055" s="252" t="s">
        <v>96</v>
      </c>
      <c r="K1055" s="268" t="s">
        <v>200</v>
      </c>
      <c r="L1055" s="248" t="s">
        <v>153</v>
      </c>
      <c r="M1055" s="248"/>
      <c r="N1055" s="248"/>
      <c r="O1055" s="248"/>
    </row>
    <row r="1056" spans="1:15" hidden="1">
      <c r="A1056" s="272">
        <v>45814</v>
      </c>
      <c r="B1056" s="248" t="s">
        <v>2014</v>
      </c>
      <c r="C1056" s="254" t="s">
        <v>175</v>
      </c>
      <c r="D1056" s="248" t="s">
        <v>115</v>
      </c>
      <c r="E1056" s="250">
        <v>30000</v>
      </c>
      <c r="F1056" s="250">
        <v>53.481419342674847</v>
      </c>
      <c r="G1056" s="260">
        <v>579.64599999999996</v>
      </c>
      <c r="H1056" s="252" t="s">
        <v>191</v>
      </c>
      <c r="I1056" s="252" t="s">
        <v>2015</v>
      </c>
      <c r="J1056" s="252" t="s">
        <v>96</v>
      </c>
      <c r="K1056" s="268" t="s">
        <v>200</v>
      </c>
      <c r="L1056" s="248" t="s">
        <v>153</v>
      </c>
      <c r="M1056" s="248"/>
      <c r="N1056" s="248"/>
      <c r="O1056" s="248"/>
    </row>
    <row r="1057" spans="1:15" hidden="1">
      <c r="A1057" s="272">
        <v>45814</v>
      </c>
      <c r="B1057" s="248" t="s">
        <v>2075</v>
      </c>
      <c r="C1057" s="254" t="s">
        <v>175</v>
      </c>
      <c r="D1057" s="248" t="s">
        <v>118</v>
      </c>
      <c r="E1057" s="250">
        <v>195000</v>
      </c>
      <c r="F1057" s="250">
        <v>347.62922572738648</v>
      </c>
      <c r="G1057" s="260">
        <v>579.64599999999996</v>
      </c>
      <c r="H1057" s="252" t="s">
        <v>211</v>
      </c>
      <c r="I1057" s="252" t="s">
        <v>261</v>
      </c>
      <c r="J1057" s="252" t="s">
        <v>96</v>
      </c>
      <c r="K1057" s="268" t="s">
        <v>200</v>
      </c>
      <c r="L1057" s="248" t="s">
        <v>153</v>
      </c>
      <c r="M1057" s="248"/>
      <c r="N1057" s="248"/>
      <c r="O1057" s="248"/>
    </row>
    <row r="1058" spans="1:15" hidden="1">
      <c r="A1058" s="272">
        <v>45814</v>
      </c>
      <c r="B1058" s="248" t="s">
        <v>2040</v>
      </c>
      <c r="C1058" s="248" t="s">
        <v>172</v>
      </c>
      <c r="D1058" s="248" t="s">
        <v>115</v>
      </c>
      <c r="E1058" s="250">
        <v>33000</v>
      </c>
      <c r="F1058" s="250">
        <v>58.829561276942329</v>
      </c>
      <c r="G1058" s="260">
        <v>579.64599999999996</v>
      </c>
      <c r="H1058" s="252" t="s">
        <v>185</v>
      </c>
      <c r="I1058" s="252" t="s">
        <v>246</v>
      </c>
      <c r="J1058" s="252" t="s">
        <v>96</v>
      </c>
      <c r="K1058" s="268" t="s">
        <v>200</v>
      </c>
      <c r="L1058" s="248" t="s">
        <v>153</v>
      </c>
      <c r="M1058" s="248"/>
      <c r="N1058" s="248"/>
      <c r="O1058" s="248"/>
    </row>
    <row r="1059" spans="1:15" hidden="1">
      <c r="A1059" s="272">
        <v>45814</v>
      </c>
      <c r="B1059" s="248" t="s">
        <v>2041</v>
      </c>
      <c r="C1059" s="254" t="s">
        <v>175</v>
      </c>
      <c r="D1059" s="248" t="s">
        <v>115</v>
      </c>
      <c r="E1059" s="250">
        <v>45000</v>
      </c>
      <c r="F1059" s="250">
        <v>80.222129014012268</v>
      </c>
      <c r="G1059" s="260">
        <v>579.64599999999996</v>
      </c>
      <c r="H1059" s="252" t="s">
        <v>185</v>
      </c>
      <c r="I1059" s="252" t="s">
        <v>309</v>
      </c>
      <c r="J1059" s="252" t="s">
        <v>96</v>
      </c>
      <c r="K1059" s="268" t="s">
        <v>200</v>
      </c>
      <c r="L1059" s="248" t="s">
        <v>153</v>
      </c>
      <c r="M1059" s="248"/>
      <c r="N1059" s="248"/>
      <c r="O1059" s="248"/>
    </row>
    <row r="1060" spans="1:15" hidden="1">
      <c r="A1060" s="272">
        <v>45814</v>
      </c>
      <c r="B1060" s="273" t="s">
        <v>1910</v>
      </c>
      <c r="C1060" s="248" t="s">
        <v>125</v>
      </c>
      <c r="D1060" s="249" t="s">
        <v>440</v>
      </c>
      <c r="E1060" s="250">
        <v>550000</v>
      </c>
      <c r="F1060" s="250">
        <v>980.49268794903878</v>
      </c>
      <c r="G1060" s="251">
        <v>560.94248000000005</v>
      </c>
      <c r="H1060" s="252" t="s">
        <v>146</v>
      </c>
      <c r="I1060" s="252" t="s">
        <v>132</v>
      </c>
      <c r="J1060" s="252" t="s">
        <v>96</v>
      </c>
      <c r="K1060" s="265" t="s">
        <v>1906</v>
      </c>
      <c r="L1060" s="274" t="s">
        <v>153</v>
      </c>
      <c r="M1060" s="248"/>
      <c r="N1060" s="248"/>
      <c r="O1060" s="248"/>
    </row>
    <row r="1061" spans="1:15" hidden="1">
      <c r="A1061" s="272">
        <v>45814</v>
      </c>
      <c r="B1061" s="273" t="s">
        <v>1911</v>
      </c>
      <c r="C1061" s="248" t="s">
        <v>125</v>
      </c>
      <c r="D1061" s="249" t="s">
        <v>440</v>
      </c>
      <c r="E1061" s="250">
        <v>355000</v>
      </c>
      <c r="F1061" s="250">
        <v>632.8634622216523</v>
      </c>
      <c r="G1061" s="251">
        <v>560.94248000000005</v>
      </c>
      <c r="H1061" s="252" t="s">
        <v>146</v>
      </c>
      <c r="I1061" s="252" t="s">
        <v>133</v>
      </c>
      <c r="J1061" s="252" t="s">
        <v>96</v>
      </c>
      <c r="K1061" s="265" t="s">
        <v>1906</v>
      </c>
      <c r="L1061" s="274" t="s">
        <v>153</v>
      </c>
      <c r="M1061" s="248"/>
      <c r="N1061" s="248"/>
      <c r="O1061" s="248"/>
    </row>
    <row r="1062" spans="1:15" hidden="1">
      <c r="A1062" s="272">
        <v>45815</v>
      </c>
      <c r="B1062" s="248" t="s">
        <v>2076</v>
      </c>
      <c r="C1062" s="254" t="s">
        <v>175</v>
      </c>
      <c r="D1062" s="248" t="s">
        <v>118</v>
      </c>
      <c r="E1062" s="250">
        <v>15000</v>
      </c>
      <c r="F1062" s="250">
        <v>26.740709671337424</v>
      </c>
      <c r="G1062" s="260">
        <v>579.64599999999996</v>
      </c>
      <c r="H1062" s="252" t="s">
        <v>211</v>
      </c>
      <c r="I1062" s="252" t="s">
        <v>274</v>
      </c>
      <c r="J1062" s="252" t="s">
        <v>96</v>
      </c>
      <c r="K1062" s="268" t="s">
        <v>200</v>
      </c>
      <c r="L1062" s="248" t="s">
        <v>153</v>
      </c>
      <c r="M1062" s="248"/>
      <c r="N1062" s="248"/>
      <c r="O1062" s="248"/>
    </row>
    <row r="1063" spans="1:15" hidden="1">
      <c r="A1063" s="272">
        <v>45815</v>
      </c>
      <c r="B1063" s="248" t="s">
        <v>2042</v>
      </c>
      <c r="C1063" s="254" t="s">
        <v>175</v>
      </c>
      <c r="D1063" s="248" t="s">
        <v>115</v>
      </c>
      <c r="E1063" s="250">
        <v>15000</v>
      </c>
      <c r="F1063" s="250">
        <v>26.740709671337424</v>
      </c>
      <c r="G1063" s="260">
        <v>579.64599999999996</v>
      </c>
      <c r="H1063" s="252" t="s">
        <v>185</v>
      </c>
      <c r="I1063" s="252" t="s">
        <v>2043</v>
      </c>
      <c r="J1063" s="252" t="s">
        <v>96</v>
      </c>
      <c r="K1063" s="268" t="s">
        <v>200</v>
      </c>
      <c r="L1063" s="248" t="s">
        <v>153</v>
      </c>
      <c r="M1063" s="248"/>
      <c r="N1063" s="248"/>
      <c r="O1063" s="248"/>
    </row>
    <row r="1064" spans="1:15" hidden="1">
      <c r="A1064" s="272">
        <v>45816</v>
      </c>
      <c r="B1064" s="248" t="s">
        <v>2077</v>
      </c>
      <c r="C1064" s="254" t="s">
        <v>175</v>
      </c>
      <c r="D1064" s="248" t="s">
        <v>118</v>
      </c>
      <c r="E1064" s="250">
        <v>15000</v>
      </c>
      <c r="F1064" s="250">
        <v>26.740709671337424</v>
      </c>
      <c r="G1064" s="260">
        <v>579.64599999999996</v>
      </c>
      <c r="H1064" s="252" t="s">
        <v>211</v>
      </c>
      <c r="I1064" s="252" t="s">
        <v>293</v>
      </c>
      <c r="J1064" s="252" t="s">
        <v>96</v>
      </c>
      <c r="K1064" s="268" t="s">
        <v>200</v>
      </c>
      <c r="L1064" s="248" t="s">
        <v>153</v>
      </c>
      <c r="M1064" s="248"/>
      <c r="N1064" s="248"/>
      <c r="O1064" s="248"/>
    </row>
    <row r="1065" spans="1:15" hidden="1">
      <c r="A1065" s="272">
        <v>45816</v>
      </c>
      <c r="B1065" s="248" t="s">
        <v>2044</v>
      </c>
      <c r="C1065" s="254" t="s">
        <v>175</v>
      </c>
      <c r="D1065" s="248" t="s">
        <v>115</v>
      </c>
      <c r="E1065" s="250">
        <v>15000</v>
      </c>
      <c r="F1065" s="250">
        <v>26.740709671337424</v>
      </c>
      <c r="G1065" s="260">
        <v>579.64599999999996</v>
      </c>
      <c r="H1065" s="252" t="s">
        <v>185</v>
      </c>
      <c r="I1065" s="252" t="s">
        <v>350</v>
      </c>
      <c r="J1065" s="252" t="s">
        <v>96</v>
      </c>
      <c r="K1065" s="268" t="s">
        <v>200</v>
      </c>
      <c r="L1065" s="248" t="s">
        <v>153</v>
      </c>
      <c r="M1065" s="248"/>
      <c r="N1065" s="248"/>
      <c r="O1065" s="248"/>
    </row>
    <row r="1066" spans="1:15" hidden="1">
      <c r="A1066" s="272">
        <v>45817</v>
      </c>
      <c r="B1066" s="248" t="s">
        <v>2010</v>
      </c>
      <c r="C1066" s="248" t="s">
        <v>172</v>
      </c>
      <c r="D1066" s="248" t="s">
        <v>115</v>
      </c>
      <c r="E1066" s="250">
        <v>7000</v>
      </c>
      <c r="F1066" s="250">
        <v>12.47899784662413</v>
      </c>
      <c r="G1066" s="260">
        <v>579.64599999999996</v>
      </c>
      <c r="H1066" s="252" t="s">
        <v>191</v>
      </c>
      <c r="I1066" s="252" t="s">
        <v>2016</v>
      </c>
      <c r="J1066" s="252" t="s">
        <v>96</v>
      </c>
      <c r="K1066" s="268" t="s">
        <v>200</v>
      </c>
      <c r="L1066" s="248" t="s">
        <v>153</v>
      </c>
      <c r="M1066" s="248"/>
      <c r="N1066" s="248"/>
      <c r="O1066" s="248"/>
    </row>
    <row r="1067" spans="1:15" hidden="1">
      <c r="A1067" s="272">
        <v>45817</v>
      </c>
      <c r="B1067" s="248" t="s">
        <v>2017</v>
      </c>
      <c r="C1067" s="248" t="s">
        <v>172</v>
      </c>
      <c r="D1067" s="248" t="s">
        <v>115</v>
      </c>
      <c r="E1067" s="250">
        <v>22000</v>
      </c>
      <c r="F1067" s="250">
        <v>39.219707517961552</v>
      </c>
      <c r="G1067" s="260">
        <v>579.64599999999996</v>
      </c>
      <c r="H1067" s="252" t="s">
        <v>191</v>
      </c>
      <c r="I1067" s="252" t="s">
        <v>215</v>
      </c>
      <c r="J1067" s="252" t="s">
        <v>96</v>
      </c>
      <c r="K1067" s="268" t="s">
        <v>200</v>
      </c>
      <c r="L1067" s="248" t="s">
        <v>153</v>
      </c>
      <c r="M1067" s="248"/>
      <c r="N1067" s="248"/>
      <c r="O1067" s="248"/>
    </row>
    <row r="1068" spans="1:15" hidden="1">
      <c r="A1068" s="272">
        <v>45817</v>
      </c>
      <c r="B1068" s="248" t="s">
        <v>2018</v>
      </c>
      <c r="C1068" s="254" t="s">
        <v>175</v>
      </c>
      <c r="D1068" s="248" t="s">
        <v>115</v>
      </c>
      <c r="E1068" s="250">
        <v>75000</v>
      </c>
      <c r="F1068" s="250">
        <v>133.70354835668712</v>
      </c>
      <c r="G1068" s="260">
        <v>579.64599999999996</v>
      </c>
      <c r="H1068" s="252" t="s">
        <v>191</v>
      </c>
      <c r="I1068" s="252" t="s">
        <v>217</v>
      </c>
      <c r="J1068" s="252" t="s">
        <v>96</v>
      </c>
      <c r="K1068" s="268" t="s">
        <v>200</v>
      </c>
      <c r="L1068" s="248" t="s">
        <v>153</v>
      </c>
      <c r="M1068" s="248"/>
      <c r="N1068" s="248"/>
      <c r="O1068" s="248"/>
    </row>
    <row r="1069" spans="1:15" hidden="1">
      <c r="A1069" s="272">
        <v>45818</v>
      </c>
      <c r="B1069" s="248" t="s">
        <v>1924</v>
      </c>
      <c r="C1069" s="248" t="s">
        <v>125</v>
      </c>
      <c r="D1069" s="248" t="s">
        <v>115</v>
      </c>
      <c r="E1069" s="250">
        <v>30000</v>
      </c>
      <c r="F1069" s="250">
        <v>53.481419342674847</v>
      </c>
      <c r="G1069" s="251">
        <v>560.94248000000005</v>
      </c>
      <c r="H1069" s="252" t="s">
        <v>188</v>
      </c>
      <c r="I1069" s="252" t="s">
        <v>369</v>
      </c>
      <c r="J1069" s="252" t="s">
        <v>96</v>
      </c>
      <c r="K1069" s="265" t="s">
        <v>1906</v>
      </c>
      <c r="L1069" s="274" t="s">
        <v>153</v>
      </c>
      <c r="M1069" s="248"/>
      <c r="N1069" s="248"/>
      <c r="O1069" s="248"/>
    </row>
    <row r="1070" spans="1:15" hidden="1">
      <c r="A1070" s="272">
        <v>45818</v>
      </c>
      <c r="B1070" s="248" t="s">
        <v>1990</v>
      </c>
      <c r="C1070" s="248" t="s">
        <v>172</v>
      </c>
      <c r="D1070" s="248" t="s">
        <v>115</v>
      </c>
      <c r="E1070" s="250">
        <v>8000</v>
      </c>
      <c r="F1070" s="250">
        <v>14.261711824713291</v>
      </c>
      <c r="G1070" s="260">
        <v>579.64599999999996</v>
      </c>
      <c r="H1070" s="252" t="s">
        <v>188</v>
      </c>
      <c r="I1070" s="252" t="s">
        <v>189</v>
      </c>
      <c r="J1070" s="252" t="s">
        <v>96</v>
      </c>
      <c r="K1070" s="268" t="s">
        <v>200</v>
      </c>
      <c r="L1070" s="248" t="s">
        <v>153</v>
      </c>
      <c r="M1070" s="248"/>
      <c r="N1070" s="248"/>
      <c r="O1070" s="248"/>
    </row>
    <row r="1071" spans="1:15" hidden="1">
      <c r="A1071" s="272">
        <v>45819</v>
      </c>
      <c r="B1071" s="248" t="s">
        <v>1991</v>
      </c>
      <c r="C1071" s="254" t="s">
        <v>175</v>
      </c>
      <c r="D1071" s="248" t="s">
        <v>115</v>
      </c>
      <c r="E1071" s="250">
        <v>30000</v>
      </c>
      <c r="F1071" s="250">
        <v>53.481419342674847</v>
      </c>
      <c r="G1071" s="260">
        <v>579.64599999999996</v>
      </c>
      <c r="H1071" s="252" t="s">
        <v>188</v>
      </c>
      <c r="I1071" s="252" t="s">
        <v>205</v>
      </c>
      <c r="J1071" s="252" t="s">
        <v>96</v>
      </c>
      <c r="K1071" s="268" t="s">
        <v>200</v>
      </c>
      <c r="L1071" s="248" t="s">
        <v>153</v>
      </c>
      <c r="M1071" s="248"/>
      <c r="N1071" s="248"/>
      <c r="O1071" s="248"/>
    </row>
    <row r="1072" spans="1:15" hidden="1">
      <c r="A1072" s="272">
        <v>45819</v>
      </c>
      <c r="B1072" s="248" t="s">
        <v>1992</v>
      </c>
      <c r="C1072" s="248" t="s">
        <v>172</v>
      </c>
      <c r="D1072" s="248" t="s">
        <v>115</v>
      </c>
      <c r="E1072" s="250">
        <v>4000</v>
      </c>
      <c r="F1072" s="250">
        <v>7.1308559123566457</v>
      </c>
      <c r="G1072" s="260">
        <v>579.64599999999996</v>
      </c>
      <c r="H1072" s="252" t="s">
        <v>188</v>
      </c>
      <c r="I1072" s="252" t="s">
        <v>248</v>
      </c>
      <c r="J1072" s="252" t="s">
        <v>96</v>
      </c>
      <c r="K1072" s="268" t="s">
        <v>200</v>
      </c>
      <c r="L1072" s="248" t="s">
        <v>153</v>
      </c>
      <c r="M1072" s="248"/>
      <c r="N1072" s="248"/>
      <c r="O1072" s="248"/>
    </row>
    <row r="1073" spans="1:15" hidden="1">
      <c r="A1073" s="272">
        <v>45819</v>
      </c>
      <c r="B1073" s="248" t="s">
        <v>2019</v>
      </c>
      <c r="C1073" s="254" t="s">
        <v>175</v>
      </c>
      <c r="D1073" s="248" t="s">
        <v>115</v>
      </c>
      <c r="E1073" s="250">
        <v>30000</v>
      </c>
      <c r="F1073" s="250">
        <v>53.481419342674847</v>
      </c>
      <c r="G1073" s="260">
        <v>579.64599999999996</v>
      </c>
      <c r="H1073" s="252" t="s">
        <v>191</v>
      </c>
      <c r="I1073" s="252" t="s">
        <v>288</v>
      </c>
      <c r="J1073" s="252" t="s">
        <v>96</v>
      </c>
      <c r="K1073" s="268" t="s">
        <v>200</v>
      </c>
      <c r="L1073" s="248" t="s">
        <v>153</v>
      </c>
      <c r="M1073" s="248"/>
      <c r="N1073" s="248"/>
      <c r="O1073" s="248"/>
    </row>
    <row r="1074" spans="1:15" hidden="1">
      <c r="A1074" s="272">
        <v>45819</v>
      </c>
      <c r="B1074" s="248" t="s">
        <v>1926</v>
      </c>
      <c r="C1074" s="248" t="s">
        <v>125</v>
      </c>
      <c r="D1074" s="248" t="s">
        <v>118</v>
      </c>
      <c r="E1074" s="250">
        <v>20000</v>
      </c>
      <c r="F1074" s="250">
        <v>35.654279561783227</v>
      </c>
      <c r="G1074" s="251">
        <v>560.94248000000005</v>
      </c>
      <c r="H1074" s="252" t="s">
        <v>211</v>
      </c>
      <c r="I1074" s="252" t="s">
        <v>371</v>
      </c>
      <c r="J1074" s="252" t="s">
        <v>96</v>
      </c>
      <c r="K1074" s="265" t="s">
        <v>1906</v>
      </c>
      <c r="L1074" s="274" t="s">
        <v>153</v>
      </c>
      <c r="M1074" s="248"/>
      <c r="N1074" s="248"/>
      <c r="O1074" s="248"/>
    </row>
    <row r="1075" spans="1:15" hidden="1">
      <c r="A1075" s="272">
        <v>45819</v>
      </c>
      <c r="B1075" s="248" t="s">
        <v>1927</v>
      </c>
      <c r="C1075" s="248" t="s">
        <v>263</v>
      </c>
      <c r="D1075" s="248" t="s">
        <v>2091</v>
      </c>
      <c r="E1075" s="250">
        <v>40000</v>
      </c>
      <c r="F1075" s="250">
        <v>71.308559123566454</v>
      </c>
      <c r="G1075" s="260">
        <v>579.64599999999996</v>
      </c>
      <c r="H1075" s="252" t="s">
        <v>211</v>
      </c>
      <c r="I1075" s="252" t="s">
        <v>417</v>
      </c>
      <c r="J1075" s="252" t="s">
        <v>96</v>
      </c>
      <c r="K1075" s="268" t="s">
        <v>200</v>
      </c>
      <c r="L1075" s="248" t="s">
        <v>153</v>
      </c>
      <c r="M1075" s="248"/>
      <c r="N1075" s="248"/>
      <c r="O1075" s="248"/>
    </row>
    <row r="1076" spans="1:15" hidden="1">
      <c r="A1076" s="272">
        <v>45819</v>
      </c>
      <c r="B1076" s="248" t="s">
        <v>2045</v>
      </c>
      <c r="C1076" s="248" t="s">
        <v>172</v>
      </c>
      <c r="D1076" s="248" t="s">
        <v>115</v>
      </c>
      <c r="E1076" s="250">
        <v>22500</v>
      </c>
      <c r="F1076" s="250">
        <v>40.111064507006134</v>
      </c>
      <c r="G1076" s="260">
        <v>579.64599999999996</v>
      </c>
      <c r="H1076" s="252" t="s">
        <v>185</v>
      </c>
      <c r="I1076" s="252" t="s">
        <v>312</v>
      </c>
      <c r="J1076" s="252" t="s">
        <v>96</v>
      </c>
      <c r="K1076" s="268" t="s">
        <v>200</v>
      </c>
      <c r="L1076" s="248" t="s">
        <v>153</v>
      </c>
      <c r="M1076" s="248"/>
      <c r="N1076" s="248"/>
      <c r="O1076" s="248"/>
    </row>
    <row r="1077" spans="1:15" hidden="1">
      <c r="A1077" s="272">
        <v>45819</v>
      </c>
      <c r="B1077" s="248" t="s">
        <v>1925</v>
      </c>
      <c r="C1077" s="255" t="s">
        <v>2090</v>
      </c>
      <c r="D1077" s="248" t="s">
        <v>116</v>
      </c>
      <c r="E1077" s="250">
        <v>9600</v>
      </c>
      <c r="F1077" s="250">
        <v>17.114054189655949</v>
      </c>
      <c r="G1077" s="260">
        <v>579.64599999999996</v>
      </c>
      <c r="H1077" s="252" t="s">
        <v>185</v>
      </c>
      <c r="I1077" s="252" t="s">
        <v>223</v>
      </c>
      <c r="J1077" s="252" t="s">
        <v>96</v>
      </c>
      <c r="K1077" s="268" t="s">
        <v>200</v>
      </c>
      <c r="L1077" s="248" t="s">
        <v>153</v>
      </c>
      <c r="M1077" s="248"/>
      <c r="N1077" s="248"/>
      <c r="O1077" s="248"/>
    </row>
    <row r="1078" spans="1:15" hidden="1">
      <c r="A1078" s="272">
        <v>45819</v>
      </c>
      <c r="B1078" s="248" t="s">
        <v>1928</v>
      </c>
      <c r="C1078" s="248" t="s">
        <v>125</v>
      </c>
      <c r="D1078" s="248" t="s">
        <v>115</v>
      </c>
      <c r="E1078" s="250">
        <v>30000</v>
      </c>
      <c r="F1078" s="250">
        <v>53.481419342674847</v>
      </c>
      <c r="G1078" s="251">
        <v>560.94248000000005</v>
      </c>
      <c r="H1078" s="252" t="s">
        <v>185</v>
      </c>
      <c r="I1078" s="252" t="s">
        <v>1929</v>
      </c>
      <c r="J1078" s="252" t="s">
        <v>96</v>
      </c>
      <c r="K1078" s="265" t="s">
        <v>1906</v>
      </c>
      <c r="L1078" s="274" t="s">
        <v>153</v>
      </c>
      <c r="M1078" s="248"/>
      <c r="N1078" s="248"/>
      <c r="O1078" s="248"/>
    </row>
    <row r="1079" spans="1:15" hidden="1">
      <c r="A1079" s="272">
        <v>45819</v>
      </c>
      <c r="B1079" s="248" t="s">
        <v>2046</v>
      </c>
      <c r="C1079" s="248" t="s">
        <v>125</v>
      </c>
      <c r="D1079" s="248" t="s">
        <v>115</v>
      </c>
      <c r="E1079" s="250">
        <v>127070</v>
      </c>
      <c r="F1079" s="250">
        <v>226.52946519578975</v>
      </c>
      <c r="G1079" s="251">
        <v>560.94248000000005</v>
      </c>
      <c r="H1079" s="252" t="s">
        <v>185</v>
      </c>
      <c r="I1079" s="252" t="s">
        <v>1930</v>
      </c>
      <c r="J1079" s="252" t="s">
        <v>96</v>
      </c>
      <c r="K1079" s="265" t="s">
        <v>1906</v>
      </c>
      <c r="L1079" s="274" t="s">
        <v>153</v>
      </c>
      <c r="M1079" s="248"/>
      <c r="N1079" s="248"/>
      <c r="O1079" s="248"/>
    </row>
    <row r="1080" spans="1:15" hidden="1">
      <c r="A1080" s="272">
        <v>45820</v>
      </c>
      <c r="B1080" s="248" t="s">
        <v>1931</v>
      </c>
      <c r="C1080" s="254" t="s">
        <v>1547</v>
      </c>
      <c r="D1080" s="248" t="s">
        <v>116</v>
      </c>
      <c r="E1080" s="250">
        <v>18000</v>
      </c>
      <c r="F1080" s="250">
        <v>32.088851605604908</v>
      </c>
      <c r="G1080" s="260">
        <v>579.64599999999996</v>
      </c>
      <c r="H1080" s="252" t="s">
        <v>581</v>
      </c>
      <c r="I1080" s="252" t="s">
        <v>225</v>
      </c>
      <c r="J1080" s="252" t="s">
        <v>96</v>
      </c>
      <c r="K1080" s="268" t="s">
        <v>200</v>
      </c>
      <c r="L1080" s="248" t="s">
        <v>153</v>
      </c>
      <c r="M1080" s="248"/>
      <c r="N1080" s="248"/>
      <c r="O1080" s="248"/>
    </row>
    <row r="1081" spans="1:15" hidden="1">
      <c r="A1081" s="272">
        <v>45820</v>
      </c>
      <c r="B1081" s="248" t="s">
        <v>1932</v>
      </c>
      <c r="C1081" s="248" t="s">
        <v>125</v>
      </c>
      <c r="D1081" s="248" t="s">
        <v>117</v>
      </c>
      <c r="E1081" s="250">
        <v>30000</v>
      </c>
      <c r="F1081" s="250">
        <v>53.481419342674847</v>
      </c>
      <c r="G1081" s="251">
        <v>560.94248000000005</v>
      </c>
      <c r="H1081" s="252" t="s">
        <v>581</v>
      </c>
      <c r="I1081" s="252" t="s">
        <v>1933</v>
      </c>
      <c r="J1081" s="252" t="s">
        <v>96</v>
      </c>
      <c r="K1081" s="265" t="s">
        <v>1906</v>
      </c>
      <c r="L1081" s="274" t="s">
        <v>153</v>
      </c>
      <c r="M1081" s="248"/>
      <c r="N1081" s="248"/>
      <c r="O1081" s="248"/>
    </row>
    <row r="1082" spans="1:15" hidden="1">
      <c r="A1082" s="272">
        <v>45820</v>
      </c>
      <c r="B1082" s="273" t="s">
        <v>1912</v>
      </c>
      <c r="C1082" s="248" t="s">
        <v>125</v>
      </c>
      <c r="D1082" s="248" t="s">
        <v>115</v>
      </c>
      <c r="E1082" s="250">
        <v>220293</v>
      </c>
      <c r="F1082" s="250">
        <v>392.71941037519565</v>
      </c>
      <c r="G1082" s="251">
        <v>560.94248000000005</v>
      </c>
      <c r="H1082" s="252" t="s">
        <v>146</v>
      </c>
      <c r="I1082" s="252" t="s">
        <v>134</v>
      </c>
      <c r="J1082" s="252" t="s">
        <v>96</v>
      </c>
      <c r="K1082" s="265" t="s">
        <v>1906</v>
      </c>
      <c r="L1082" s="274" t="s">
        <v>153</v>
      </c>
      <c r="M1082" s="248"/>
      <c r="N1082" s="248"/>
      <c r="O1082" s="248"/>
    </row>
    <row r="1083" spans="1:15" hidden="1">
      <c r="A1083" s="272">
        <v>45821</v>
      </c>
      <c r="B1083" s="248" t="s">
        <v>2048</v>
      </c>
      <c r="C1083" s="248" t="s">
        <v>194</v>
      </c>
      <c r="D1083" s="248" t="s">
        <v>115</v>
      </c>
      <c r="E1083" s="250">
        <v>33000</v>
      </c>
      <c r="F1083" s="250">
        <v>58.829561276942329</v>
      </c>
      <c r="G1083" s="260">
        <v>579.64599999999996</v>
      </c>
      <c r="H1083" s="252" t="s">
        <v>195</v>
      </c>
      <c r="I1083" s="252" t="s">
        <v>257</v>
      </c>
      <c r="J1083" s="252" t="s">
        <v>96</v>
      </c>
      <c r="K1083" s="268" t="s">
        <v>200</v>
      </c>
      <c r="L1083" s="248" t="s">
        <v>153</v>
      </c>
      <c r="M1083" s="248"/>
      <c r="N1083" s="248"/>
      <c r="O1083" s="248"/>
    </row>
    <row r="1084" spans="1:15" hidden="1">
      <c r="A1084" s="272">
        <v>45821</v>
      </c>
      <c r="B1084" s="248" t="s">
        <v>1959</v>
      </c>
      <c r="C1084" s="248" t="s">
        <v>172</v>
      </c>
      <c r="D1084" s="248" t="s">
        <v>115</v>
      </c>
      <c r="E1084" s="250">
        <v>33000</v>
      </c>
      <c r="F1084" s="250">
        <v>58.829561276942329</v>
      </c>
      <c r="G1084" s="260">
        <v>579.64599999999996</v>
      </c>
      <c r="H1084" s="252" t="s">
        <v>198</v>
      </c>
      <c r="I1084" s="252" t="s">
        <v>199</v>
      </c>
      <c r="J1084" s="252" t="s">
        <v>96</v>
      </c>
      <c r="K1084" s="268" t="s">
        <v>200</v>
      </c>
      <c r="L1084" s="248" t="s">
        <v>153</v>
      </c>
      <c r="M1084" s="248"/>
      <c r="N1084" s="248"/>
      <c r="O1084" s="248"/>
    </row>
    <row r="1085" spans="1:15" hidden="1">
      <c r="A1085" s="272">
        <v>45821</v>
      </c>
      <c r="B1085" s="248" t="s">
        <v>1960</v>
      </c>
      <c r="C1085" s="254" t="s">
        <v>175</v>
      </c>
      <c r="D1085" s="248" t="s">
        <v>115</v>
      </c>
      <c r="E1085" s="250">
        <v>255000</v>
      </c>
      <c r="F1085" s="250">
        <v>454.59206441273619</v>
      </c>
      <c r="G1085" s="260">
        <v>579.64599999999996</v>
      </c>
      <c r="H1085" s="252" t="s">
        <v>198</v>
      </c>
      <c r="I1085" s="252" t="s">
        <v>221</v>
      </c>
      <c r="J1085" s="252" t="s">
        <v>96</v>
      </c>
      <c r="K1085" s="268" t="s">
        <v>200</v>
      </c>
      <c r="L1085" s="248" t="s">
        <v>153</v>
      </c>
      <c r="M1085" s="248"/>
      <c r="N1085" s="248"/>
      <c r="O1085" s="248"/>
    </row>
    <row r="1086" spans="1:15" hidden="1">
      <c r="A1086" s="272">
        <v>45821</v>
      </c>
      <c r="B1086" s="248" t="s">
        <v>1934</v>
      </c>
      <c r="C1086" s="255" t="s">
        <v>2090</v>
      </c>
      <c r="D1086" s="248" t="s">
        <v>116</v>
      </c>
      <c r="E1086" s="250">
        <v>1600</v>
      </c>
      <c r="F1086" s="250">
        <v>2.8523423649426585</v>
      </c>
      <c r="G1086" s="260">
        <v>579.64599999999996</v>
      </c>
      <c r="H1086" s="252" t="s">
        <v>581</v>
      </c>
      <c r="I1086" s="252" t="s">
        <v>255</v>
      </c>
      <c r="J1086" s="252" t="s">
        <v>96</v>
      </c>
      <c r="K1086" s="268" t="s">
        <v>200</v>
      </c>
      <c r="L1086" s="248" t="s">
        <v>153</v>
      </c>
      <c r="M1086" s="248"/>
      <c r="N1086" s="248"/>
      <c r="O1086" s="248"/>
    </row>
    <row r="1087" spans="1:15" hidden="1">
      <c r="A1087" s="272">
        <v>45821</v>
      </c>
      <c r="B1087" s="248" t="s">
        <v>2049</v>
      </c>
      <c r="C1087" s="254" t="s">
        <v>175</v>
      </c>
      <c r="D1087" s="248" t="s">
        <v>115</v>
      </c>
      <c r="E1087" s="250">
        <v>420000</v>
      </c>
      <c r="F1087" s="250">
        <v>748.73987079744779</v>
      </c>
      <c r="G1087" s="260">
        <v>579.64599999999996</v>
      </c>
      <c r="H1087" s="252" t="s">
        <v>195</v>
      </c>
      <c r="I1087" s="252" t="s">
        <v>259</v>
      </c>
      <c r="J1087" s="252" t="s">
        <v>96</v>
      </c>
      <c r="K1087" s="268" t="s">
        <v>200</v>
      </c>
      <c r="L1087" s="248" t="s">
        <v>153</v>
      </c>
      <c r="M1087" s="248"/>
      <c r="N1087" s="248"/>
      <c r="O1087" s="248"/>
    </row>
    <row r="1088" spans="1:15" hidden="1">
      <c r="A1088" s="272">
        <v>45822</v>
      </c>
      <c r="B1088" s="248" t="s">
        <v>2012</v>
      </c>
      <c r="C1088" s="248" t="s">
        <v>172</v>
      </c>
      <c r="D1088" s="248" t="s">
        <v>115</v>
      </c>
      <c r="E1088" s="250">
        <v>7000</v>
      </c>
      <c r="F1088" s="250">
        <v>12.47899784662413</v>
      </c>
      <c r="G1088" s="260">
        <v>579.64599999999996</v>
      </c>
      <c r="H1088" s="252" t="s">
        <v>191</v>
      </c>
      <c r="I1088" s="252" t="s">
        <v>2020</v>
      </c>
      <c r="J1088" s="252" t="s">
        <v>96</v>
      </c>
      <c r="K1088" s="268" t="s">
        <v>200</v>
      </c>
      <c r="L1088" s="248" t="s">
        <v>153</v>
      </c>
      <c r="M1088" s="248"/>
      <c r="N1088" s="248"/>
      <c r="O1088" s="248"/>
    </row>
    <row r="1089" spans="1:15" hidden="1">
      <c r="A1089" s="272">
        <v>45822</v>
      </c>
      <c r="B1089" s="248" t="s">
        <v>1961</v>
      </c>
      <c r="C1089" s="254" t="s">
        <v>175</v>
      </c>
      <c r="D1089" s="248" t="s">
        <v>115</v>
      </c>
      <c r="E1089" s="250">
        <v>15000</v>
      </c>
      <c r="F1089" s="250">
        <v>26.740709671337424</v>
      </c>
      <c r="G1089" s="260">
        <v>579.64599999999996</v>
      </c>
      <c r="H1089" s="252" t="s">
        <v>198</v>
      </c>
      <c r="I1089" s="252" t="s">
        <v>227</v>
      </c>
      <c r="J1089" s="252" t="s">
        <v>96</v>
      </c>
      <c r="K1089" s="268" t="s">
        <v>200</v>
      </c>
      <c r="L1089" s="248" t="s">
        <v>153</v>
      </c>
      <c r="M1089" s="248"/>
      <c r="N1089" s="248"/>
      <c r="O1089" s="248"/>
    </row>
    <row r="1090" spans="1:15" hidden="1">
      <c r="A1090" s="272">
        <v>45822</v>
      </c>
      <c r="B1090" s="248" t="s">
        <v>1993</v>
      </c>
      <c r="C1090" s="254" t="s">
        <v>175</v>
      </c>
      <c r="D1090" s="248" t="s">
        <v>115</v>
      </c>
      <c r="E1090" s="250">
        <v>45000</v>
      </c>
      <c r="F1090" s="250">
        <v>80.222129014012268</v>
      </c>
      <c r="G1090" s="260">
        <v>579.64599999999996</v>
      </c>
      <c r="H1090" s="252" t="s">
        <v>188</v>
      </c>
      <c r="I1090" s="252" t="s">
        <v>250</v>
      </c>
      <c r="J1090" s="252" t="s">
        <v>96</v>
      </c>
      <c r="K1090" s="268" t="s">
        <v>200</v>
      </c>
      <c r="L1090" s="248" t="s">
        <v>153</v>
      </c>
      <c r="M1090" s="248"/>
      <c r="N1090" s="248"/>
      <c r="O1090" s="248"/>
    </row>
    <row r="1091" spans="1:15" hidden="1">
      <c r="A1091" s="272">
        <v>45822</v>
      </c>
      <c r="B1091" s="248" t="s">
        <v>1994</v>
      </c>
      <c r="C1091" s="248" t="s">
        <v>172</v>
      </c>
      <c r="D1091" s="248" t="s">
        <v>115</v>
      </c>
      <c r="E1091" s="250">
        <v>5000</v>
      </c>
      <c r="F1091" s="250">
        <v>8.9135698904458067</v>
      </c>
      <c r="G1091" s="260">
        <v>579.64599999999996</v>
      </c>
      <c r="H1091" s="252" t="s">
        <v>188</v>
      </c>
      <c r="I1091" s="252" t="s">
        <v>270</v>
      </c>
      <c r="J1091" s="252" t="s">
        <v>96</v>
      </c>
      <c r="K1091" s="268" t="s">
        <v>200</v>
      </c>
      <c r="L1091" s="248" t="s">
        <v>153</v>
      </c>
      <c r="M1091" s="248"/>
      <c r="N1091" s="248"/>
      <c r="O1091" s="248"/>
    </row>
    <row r="1092" spans="1:15" hidden="1">
      <c r="A1092" s="272">
        <v>45822</v>
      </c>
      <c r="B1092" s="248" t="s">
        <v>1995</v>
      </c>
      <c r="C1092" s="248" t="s">
        <v>172</v>
      </c>
      <c r="D1092" s="248" t="s">
        <v>115</v>
      </c>
      <c r="E1092" s="250">
        <v>7000</v>
      </c>
      <c r="F1092" s="250">
        <v>12.47899784662413</v>
      </c>
      <c r="G1092" s="260">
        <v>579.64599999999996</v>
      </c>
      <c r="H1092" s="252" t="s">
        <v>188</v>
      </c>
      <c r="I1092" s="252" t="s">
        <v>286</v>
      </c>
      <c r="J1092" s="252" t="s">
        <v>96</v>
      </c>
      <c r="K1092" s="268" t="s">
        <v>200</v>
      </c>
      <c r="L1092" s="248" t="s">
        <v>153</v>
      </c>
      <c r="M1092" s="248"/>
      <c r="N1092" s="248"/>
      <c r="O1092" s="248"/>
    </row>
    <row r="1093" spans="1:15" hidden="1">
      <c r="A1093" s="272">
        <v>45822</v>
      </c>
      <c r="B1093" s="248" t="s">
        <v>2021</v>
      </c>
      <c r="C1093" s="254" t="s">
        <v>175</v>
      </c>
      <c r="D1093" s="248" t="s">
        <v>115</v>
      </c>
      <c r="E1093" s="250">
        <v>45000</v>
      </c>
      <c r="F1093" s="250">
        <v>80.222129014012268</v>
      </c>
      <c r="G1093" s="260">
        <v>579.64599999999996</v>
      </c>
      <c r="H1093" s="252" t="s">
        <v>191</v>
      </c>
      <c r="I1093" s="252" t="s">
        <v>2022</v>
      </c>
      <c r="J1093" s="252" t="s">
        <v>96</v>
      </c>
      <c r="K1093" s="268" t="s">
        <v>200</v>
      </c>
      <c r="L1093" s="248" t="s">
        <v>153</v>
      </c>
      <c r="M1093" s="248"/>
      <c r="N1093" s="248"/>
      <c r="O1093" s="248"/>
    </row>
    <row r="1094" spans="1:15" hidden="1">
      <c r="A1094" s="272">
        <v>45822</v>
      </c>
      <c r="B1094" s="248" t="s">
        <v>2050</v>
      </c>
      <c r="C1094" s="254" t="s">
        <v>175</v>
      </c>
      <c r="D1094" s="248" t="s">
        <v>115</v>
      </c>
      <c r="E1094" s="250">
        <v>15000</v>
      </c>
      <c r="F1094" s="250">
        <v>26.740709671337424</v>
      </c>
      <c r="G1094" s="260">
        <v>579.64599999999996</v>
      </c>
      <c r="H1094" s="252" t="s">
        <v>195</v>
      </c>
      <c r="I1094" s="252" t="s">
        <v>291</v>
      </c>
      <c r="J1094" s="252" t="s">
        <v>96</v>
      </c>
      <c r="K1094" s="268" t="s">
        <v>200</v>
      </c>
      <c r="L1094" s="248" t="s">
        <v>153</v>
      </c>
      <c r="M1094" s="248"/>
      <c r="N1094" s="248"/>
      <c r="O1094" s="248"/>
    </row>
    <row r="1095" spans="1:15" hidden="1">
      <c r="A1095" s="272">
        <v>45823</v>
      </c>
      <c r="B1095" s="248" t="s">
        <v>1962</v>
      </c>
      <c r="C1095" s="254" t="s">
        <v>175</v>
      </c>
      <c r="D1095" s="248" t="s">
        <v>115</v>
      </c>
      <c r="E1095" s="250">
        <v>15000</v>
      </c>
      <c r="F1095" s="250">
        <v>26.740709671337424</v>
      </c>
      <c r="G1095" s="260">
        <v>579.64599999999996</v>
      </c>
      <c r="H1095" s="252" t="s">
        <v>198</v>
      </c>
      <c r="I1095" s="252" t="s">
        <v>264</v>
      </c>
      <c r="J1095" s="252" t="s">
        <v>96</v>
      </c>
      <c r="K1095" s="268" t="s">
        <v>200</v>
      </c>
      <c r="L1095" s="248" t="s">
        <v>153</v>
      </c>
      <c r="M1095" s="248"/>
      <c r="N1095" s="248"/>
      <c r="O1095" s="248"/>
    </row>
    <row r="1096" spans="1:15" hidden="1">
      <c r="A1096" s="272">
        <v>45823</v>
      </c>
      <c r="B1096" s="248" t="s">
        <v>2051</v>
      </c>
      <c r="C1096" s="254" t="s">
        <v>175</v>
      </c>
      <c r="D1096" s="248" t="s">
        <v>115</v>
      </c>
      <c r="E1096" s="250">
        <v>15000</v>
      </c>
      <c r="F1096" s="250">
        <v>26.740709671337424</v>
      </c>
      <c r="G1096" s="260">
        <v>579.64599999999996</v>
      </c>
      <c r="H1096" s="252" t="s">
        <v>195</v>
      </c>
      <c r="I1096" s="252" t="s">
        <v>297</v>
      </c>
      <c r="J1096" s="252" t="s">
        <v>96</v>
      </c>
      <c r="K1096" s="268" t="s">
        <v>200</v>
      </c>
      <c r="L1096" s="248" t="s">
        <v>153</v>
      </c>
      <c r="M1096" s="248"/>
      <c r="N1096" s="248"/>
      <c r="O1096" s="248"/>
    </row>
    <row r="1097" spans="1:15" hidden="1">
      <c r="A1097" s="272">
        <v>45824</v>
      </c>
      <c r="B1097" s="248" t="s">
        <v>1956</v>
      </c>
      <c r="C1097" s="248" t="s">
        <v>150</v>
      </c>
      <c r="D1097" s="248" t="s">
        <v>117</v>
      </c>
      <c r="E1097" s="250">
        <v>10000</v>
      </c>
      <c r="F1097" s="250">
        <v>17.827139780891613</v>
      </c>
      <c r="G1097" s="260">
        <v>579.64599999999996</v>
      </c>
      <c r="H1097" s="252" t="s">
        <v>151</v>
      </c>
      <c r="I1097" s="252" t="s">
        <v>178</v>
      </c>
      <c r="J1097" s="252" t="s">
        <v>96</v>
      </c>
      <c r="K1097" s="268" t="s">
        <v>200</v>
      </c>
      <c r="L1097" s="248" t="s">
        <v>153</v>
      </c>
      <c r="M1097" s="248"/>
      <c r="N1097" s="248"/>
      <c r="O1097" s="248"/>
    </row>
    <row r="1098" spans="1:15" hidden="1">
      <c r="A1098" s="272">
        <v>45824</v>
      </c>
      <c r="B1098" s="248" t="s">
        <v>1935</v>
      </c>
      <c r="C1098" s="248" t="s">
        <v>125</v>
      </c>
      <c r="D1098" s="248" t="s">
        <v>115</v>
      </c>
      <c r="E1098" s="250">
        <v>30000</v>
      </c>
      <c r="F1098" s="250">
        <v>53.481419342674847</v>
      </c>
      <c r="G1098" s="251">
        <v>560.94248000000005</v>
      </c>
      <c r="H1098" s="252" t="s">
        <v>198</v>
      </c>
      <c r="I1098" s="252" t="s">
        <v>1936</v>
      </c>
      <c r="J1098" s="252" t="s">
        <v>96</v>
      </c>
      <c r="K1098" s="265" t="s">
        <v>1906</v>
      </c>
      <c r="L1098" s="274" t="s">
        <v>153</v>
      </c>
      <c r="M1098" s="248"/>
      <c r="N1098" s="248"/>
      <c r="O1098" s="248"/>
    </row>
    <row r="1099" spans="1:15" hidden="1">
      <c r="A1099" s="272">
        <v>45824</v>
      </c>
      <c r="B1099" s="248" t="s">
        <v>1937</v>
      </c>
      <c r="C1099" s="248" t="s">
        <v>263</v>
      </c>
      <c r="D1099" s="248" t="s">
        <v>2091</v>
      </c>
      <c r="E1099" s="250">
        <v>50000</v>
      </c>
      <c r="F1099" s="250">
        <v>89.135698904458081</v>
      </c>
      <c r="G1099" s="260">
        <v>579.64599999999996</v>
      </c>
      <c r="H1099" s="252" t="s">
        <v>198</v>
      </c>
      <c r="I1099" s="252" t="s">
        <v>1938</v>
      </c>
      <c r="J1099" s="252" t="s">
        <v>96</v>
      </c>
      <c r="K1099" s="268" t="s">
        <v>200</v>
      </c>
      <c r="L1099" s="248" t="s">
        <v>153</v>
      </c>
      <c r="M1099" s="248"/>
      <c r="N1099" s="248"/>
      <c r="O1099" s="248"/>
    </row>
    <row r="1100" spans="1:15" hidden="1">
      <c r="A1100" s="272">
        <v>45824</v>
      </c>
      <c r="B1100" s="248" t="s">
        <v>1963</v>
      </c>
      <c r="C1100" s="248" t="s">
        <v>150</v>
      </c>
      <c r="D1100" s="248" t="s">
        <v>115</v>
      </c>
      <c r="E1100" s="250">
        <v>5000</v>
      </c>
      <c r="F1100" s="250">
        <v>8.9135698904458067</v>
      </c>
      <c r="G1100" s="260">
        <v>579.64599999999996</v>
      </c>
      <c r="H1100" s="252" t="s">
        <v>198</v>
      </c>
      <c r="I1100" s="252" t="s">
        <v>266</v>
      </c>
      <c r="J1100" s="252" t="s">
        <v>96</v>
      </c>
      <c r="K1100" s="268" t="s">
        <v>200</v>
      </c>
      <c r="L1100" s="248" t="s">
        <v>153</v>
      </c>
      <c r="M1100" s="248"/>
      <c r="N1100" s="248"/>
      <c r="O1100" s="248"/>
    </row>
    <row r="1101" spans="1:15" hidden="1">
      <c r="A1101" s="272">
        <v>45824</v>
      </c>
      <c r="B1101" s="248" t="s">
        <v>1964</v>
      </c>
      <c r="C1101" s="248" t="s">
        <v>150</v>
      </c>
      <c r="D1101" s="248" t="s">
        <v>115</v>
      </c>
      <c r="E1101" s="250">
        <v>5000</v>
      </c>
      <c r="F1101" s="250">
        <v>8.9135698904458067</v>
      </c>
      <c r="G1101" s="260">
        <v>579.64599999999996</v>
      </c>
      <c r="H1101" s="252" t="s">
        <v>198</v>
      </c>
      <c r="I1101" s="252" t="s">
        <v>335</v>
      </c>
      <c r="J1101" s="252" t="s">
        <v>96</v>
      </c>
      <c r="K1101" s="268" t="s">
        <v>200</v>
      </c>
      <c r="L1101" s="248" t="s">
        <v>153</v>
      </c>
      <c r="M1101" s="248"/>
      <c r="N1101" s="248"/>
      <c r="O1101" s="248"/>
    </row>
    <row r="1102" spans="1:15" hidden="1">
      <c r="A1102" s="272">
        <v>45824</v>
      </c>
      <c r="B1102" s="248" t="s">
        <v>1966</v>
      </c>
      <c r="C1102" s="248" t="s">
        <v>150</v>
      </c>
      <c r="D1102" s="248" t="s">
        <v>117</v>
      </c>
      <c r="E1102" s="250">
        <v>10000</v>
      </c>
      <c r="F1102" s="250">
        <v>17.827139780891613</v>
      </c>
      <c r="G1102" s="260">
        <v>579.64599999999996</v>
      </c>
      <c r="H1102" s="252" t="s">
        <v>581</v>
      </c>
      <c r="I1102" s="252" t="s">
        <v>1967</v>
      </c>
      <c r="J1102" s="252" t="s">
        <v>96</v>
      </c>
      <c r="K1102" s="268" t="s">
        <v>200</v>
      </c>
      <c r="L1102" s="248" t="s">
        <v>153</v>
      </c>
      <c r="M1102" s="248"/>
      <c r="N1102" s="248"/>
      <c r="O1102" s="248"/>
    </row>
    <row r="1103" spans="1:15" hidden="1">
      <c r="A1103" s="272">
        <v>45824</v>
      </c>
      <c r="B1103" s="248" t="s">
        <v>1974</v>
      </c>
      <c r="C1103" s="248" t="s">
        <v>150</v>
      </c>
      <c r="D1103" s="249" t="s">
        <v>440</v>
      </c>
      <c r="E1103" s="250">
        <v>10000</v>
      </c>
      <c r="F1103" s="250">
        <v>17.827139780891613</v>
      </c>
      <c r="G1103" s="260">
        <v>579.64599999999996</v>
      </c>
      <c r="H1103" s="252" t="s">
        <v>182</v>
      </c>
      <c r="I1103" s="252" t="s">
        <v>1975</v>
      </c>
      <c r="J1103" s="252" t="s">
        <v>96</v>
      </c>
      <c r="K1103" s="268" t="s">
        <v>200</v>
      </c>
      <c r="L1103" s="248" t="s">
        <v>153</v>
      </c>
      <c r="M1103" s="248"/>
      <c r="N1103" s="248"/>
      <c r="O1103" s="248"/>
    </row>
    <row r="1104" spans="1:15" hidden="1">
      <c r="A1104" s="272">
        <v>45824</v>
      </c>
      <c r="B1104" s="248" t="s">
        <v>1976</v>
      </c>
      <c r="C1104" s="248" t="s">
        <v>150</v>
      </c>
      <c r="D1104" s="249" t="s">
        <v>440</v>
      </c>
      <c r="E1104" s="250">
        <v>5000</v>
      </c>
      <c r="F1104" s="250">
        <v>8.9135698904458067</v>
      </c>
      <c r="G1104" s="260">
        <v>579.64599999999996</v>
      </c>
      <c r="H1104" s="252" t="s">
        <v>182</v>
      </c>
      <c r="I1104" s="252" t="s">
        <v>1977</v>
      </c>
      <c r="J1104" s="252" t="s">
        <v>96</v>
      </c>
      <c r="K1104" s="268" t="s">
        <v>200</v>
      </c>
      <c r="L1104" s="248" t="s">
        <v>153</v>
      </c>
      <c r="M1104" s="248"/>
      <c r="N1104" s="248"/>
      <c r="O1104" s="248"/>
    </row>
    <row r="1105" spans="1:15" hidden="1">
      <c r="A1105" s="272">
        <v>45824</v>
      </c>
      <c r="B1105" s="248" t="s">
        <v>1981</v>
      </c>
      <c r="C1105" s="248" t="s">
        <v>150</v>
      </c>
      <c r="D1105" s="249" t="s">
        <v>440</v>
      </c>
      <c r="E1105" s="250">
        <v>15000</v>
      </c>
      <c r="F1105" s="250">
        <v>26.740709671337424</v>
      </c>
      <c r="G1105" s="260">
        <v>579.64599999999996</v>
      </c>
      <c r="H1105" s="252" t="s">
        <v>173</v>
      </c>
      <c r="I1105" s="252" t="s">
        <v>340</v>
      </c>
      <c r="J1105" s="252" t="s">
        <v>96</v>
      </c>
      <c r="K1105" s="268" t="s">
        <v>200</v>
      </c>
      <c r="L1105" s="248" t="s">
        <v>153</v>
      </c>
      <c r="M1105" s="248"/>
      <c r="N1105" s="248"/>
      <c r="O1105" s="248"/>
    </row>
    <row r="1106" spans="1:15" hidden="1">
      <c r="A1106" s="272">
        <v>45824</v>
      </c>
      <c r="B1106" s="248" t="s">
        <v>1985</v>
      </c>
      <c r="C1106" s="248" t="s">
        <v>150</v>
      </c>
      <c r="D1106" s="249" t="s">
        <v>440</v>
      </c>
      <c r="E1106" s="250">
        <v>15000</v>
      </c>
      <c r="F1106" s="250">
        <v>26.740709671337424</v>
      </c>
      <c r="G1106" s="260">
        <v>579.64599999999996</v>
      </c>
      <c r="H1106" s="252" t="s">
        <v>315</v>
      </c>
      <c r="I1106" s="252" t="s">
        <v>317</v>
      </c>
      <c r="J1106" s="252" t="s">
        <v>96</v>
      </c>
      <c r="K1106" s="268" t="s">
        <v>200</v>
      </c>
      <c r="L1106" s="248" t="s">
        <v>153</v>
      </c>
      <c r="M1106" s="248"/>
      <c r="N1106" s="248"/>
      <c r="O1106" s="248"/>
    </row>
    <row r="1107" spans="1:15" hidden="1">
      <c r="A1107" s="272">
        <v>45824</v>
      </c>
      <c r="B1107" s="248" t="s">
        <v>1987</v>
      </c>
      <c r="C1107" s="248" t="s">
        <v>150</v>
      </c>
      <c r="D1107" s="249" t="s">
        <v>440</v>
      </c>
      <c r="E1107" s="250">
        <v>5000</v>
      </c>
      <c r="F1107" s="250">
        <v>8.9135698904458067</v>
      </c>
      <c r="G1107" s="260">
        <v>579.64599999999996</v>
      </c>
      <c r="H1107" s="252" t="s">
        <v>321</v>
      </c>
      <c r="I1107" s="252" t="s">
        <v>322</v>
      </c>
      <c r="J1107" s="252" t="s">
        <v>96</v>
      </c>
      <c r="K1107" s="268" t="s">
        <v>200</v>
      </c>
      <c r="L1107" s="248" t="s">
        <v>153</v>
      </c>
      <c r="M1107" s="248"/>
      <c r="N1107" s="248"/>
      <c r="O1107" s="248"/>
    </row>
    <row r="1108" spans="1:15" hidden="1">
      <c r="A1108" s="272">
        <v>45824</v>
      </c>
      <c r="B1108" s="248" t="s">
        <v>1988</v>
      </c>
      <c r="C1108" s="248" t="s">
        <v>150</v>
      </c>
      <c r="D1108" s="249" t="s">
        <v>440</v>
      </c>
      <c r="E1108" s="250">
        <v>10000</v>
      </c>
      <c r="F1108" s="250">
        <v>17.827139780891613</v>
      </c>
      <c r="G1108" s="260">
        <v>579.64599999999996</v>
      </c>
      <c r="H1108" s="252" t="s">
        <v>321</v>
      </c>
      <c r="I1108" s="252" t="s">
        <v>342</v>
      </c>
      <c r="J1108" s="252" t="s">
        <v>96</v>
      </c>
      <c r="K1108" s="268" t="s">
        <v>200</v>
      </c>
      <c r="L1108" s="248" t="s">
        <v>153</v>
      </c>
      <c r="M1108" s="248"/>
      <c r="N1108" s="248"/>
      <c r="O1108" s="248"/>
    </row>
    <row r="1109" spans="1:15" hidden="1">
      <c r="A1109" s="272">
        <v>45824</v>
      </c>
      <c r="B1109" s="248" t="s">
        <v>1996</v>
      </c>
      <c r="C1109" s="248" t="s">
        <v>150</v>
      </c>
      <c r="D1109" s="248" t="s">
        <v>115</v>
      </c>
      <c r="E1109" s="250">
        <v>5000</v>
      </c>
      <c r="F1109" s="250">
        <v>8.9135698904458067</v>
      </c>
      <c r="G1109" s="260">
        <v>579.64599999999996</v>
      </c>
      <c r="H1109" s="252" t="s">
        <v>188</v>
      </c>
      <c r="I1109" s="252" t="s">
        <v>1997</v>
      </c>
      <c r="J1109" s="252" t="s">
        <v>96</v>
      </c>
      <c r="K1109" s="268" t="s">
        <v>200</v>
      </c>
      <c r="L1109" s="248" t="s">
        <v>153</v>
      </c>
      <c r="M1109" s="248"/>
      <c r="N1109" s="248"/>
      <c r="O1109" s="248"/>
    </row>
    <row r="1110" spans="1:15" hidden="1">
      <c r="A1110" s="272">
        <v>45824</v>
      </c>
      <c r="B1110" s="248" t="s">
        <v>1998</v>
      </c>
      <c r="C1110" s="248" t="s">
        <v>150</v>
      </c>
      <c r="D1110" s="248" t="s">
        <v>115</v>
      </c>
      <c r="E1110" s="250">
        <v>5000</v>
      </c>
      <c r="F1110" s="250">
        <v>8.9135698904458067</v>
      </c>
      <c r="G1110" s="260">
        <v>579.64599999999996</v>
      </c>
      <c r="H1110" s="252" t="s">
        <v>188</v>
      </c>
      <c r="I1110" s="252" t="s">
        <v>1999</v>
      </c>
      <c r="J1110" s="252" t="s">
        <v>96</v>
      </c>
      <c r="K1110" s="268" t="s">
        <v>200</v>
      </c>
      <c r="L1110" s="248" t="s">
        <v>153</v>
      </c>
      <c r="M1110" s="248"/>
      <c r="N1110" s="248"/>
      <c r="O1110" s="248"/>
    </row>
    <row r="1111" spans="1:15" hidden="1">
      <c r="A1111" s="272">
        <v>45824</v>
      </c>
      <c r="B1111" s="248" t="s">
        <v>2023</v>
      </c>
      <c r="C1111" s="248" t="s">
        <v>150</v>
      </c>
      <c r="D1111" s="248" t="s">
        <v>115</v>
      </c>
      <c r="E1111" s="250">
        <v>10000</v>
      </c>
      <c r="F1111" s="250">
        <v>17.827139780891613</v>
      </c>
      <c r="G1111" s="260">
        <v>579.64599999999996</v>
      </c>
      <c r="H1111" s="252" t="s">
        <v>191</v>
      </c>
      <c r="I1111" s="252" t="s">
        <v>2024</v>
      </c>
      <c r="J1111" s="252" t="s">
        <v>96</v>
      </c>
      <c r="K1111" s="268" t="s">
        <v>200</v>
      </c>
      <c r="L1111" s="248" t="s">
        <v>153</v>
      </c>
      <c r="M1111" s="248"/>
      <c r="N1111" s="248"/>
      <c r="O1111" s="248"/>
    </row>
    <row r="1112" spans="1:15" hidden="1">
      <c r="A1112" s="272">
        <v>45824</v>
      </c>
      <c r="B1112" s="248" t="s">
        <v>1943</v>
      </c>
      <c r="C1112" s="248" t="s">
        <v>125</v>
      </c>
      <c r="D1112" s="248" t="s">
        <v>115</v>
      </c>
      <c r="E1112" s="250">
        <v>30000</v>
      </c>
      <c r="F1112" s="250">
        <v>53.481419342674847</v>
      </c>
      <c r="G1112" s="251">
        <v>560.94248000000005</v>
      </c>
      <c r="H1112" s="252" t="s">
        <v>191</v>
      </c>
      <c r="I1112" s="252" t="s">
        <v>1944</v>
      </c>
      <c r="J1112" s="252" t="s">
        <v>96</v>
      </c>
      <c r="K1112" s="265" t="s">
        <v>1906</v>
      </c>
      <c r="L1112" s="274" t="s">
        <v>153</v>
      </c>
      <c r="M1112" s="248"/>
      <c r="N1112" s="248"/>
      <c r="O1112" s="248"/>
    </row>
    <row r="1113" spans="1:15" hidden="1">
      <c r="A1113" s="272">
        <v>45824</v>
      </c>
      <c r="B1113" s="248" t="s">
        <v>2052</v>
      </c>
      <c r="C1113" s="248" t="s">
        <v>150</v>
      </c>
      <c r="D1113" s="248" t="s">
        <v>115</v>
      </c>
      <c r="E1113" s="250">
        <v>10000</v>
      </c>
      <c r="F1113" s="250">
        <v>17.827139780891613</v>
      </c>
      <c r="G1113" s="260">
        <v>579.64599999999996</v>
      </c>
      <c r="H1113" s="252" t="s">
        <v>195</v>
      </c>
      <c r="I1113" s="252" t="s">
        <v>2053</v>
      </c>
      <c r="J1113" s="252" t="s">
        <v>96</v>
      </c>
      <c r="K1113" s="268" t="s">
        <v>200</v>
      </c>
      <c r="L1113" s="248" t="s">
        <v>153</v>
      </c>
      <c r="M1113" s="248"/>
      <c r="N1113" s="248"/>
      <c r="O1113" s="248"/>
    </row>
    <row r="1114" spans="1:15" hidden="1">
      <c r="A1114" s="272">
        <v>45824</v>
      </c>
      <c r="B1114" s="248" t="s">
        <v>1939</v>
      </c>
      <c r="C1114" s="248" t="s">
        <v>125</v>
      </c>
      <c r="D1114" s="248" t="s">
        <v>115</v>
      </c>
      <c r="E1114" s="250">
        <v>30000</v>
      </c>
      <c r="F1114" s="250">
        <v>53.481419342674847</v>
      </c>
      <c r="G1114" s="251">
        <v>560.94248000000005</v>
      </c>
      <c r="H1114" s="252" t="s">
        <v>195</v>
      </c>
      <c r="I1114" s="252" t="s">
        <v>1940</v>
      </c>
      <c r="J1114" s="252" t="s">
        <v>96</v>
      </c>
      <c r="K1114" s="265" t="s">
        <v>1906</v>
      </c>
      <c r="L1114" s="274" t="s">
        <v>153</v>
      </c>
      <c r="M1114" s="248"/>
      <c r="N1114" s="248"/>
      <c r="O1114" s="248"/>
    </row>
    <row r="1115" spans="1:15" hidden="1">
      <c r="A1115" s="272">
        <v>45824</v>
      </c>
      <c r="B1115" s="248" t="s">
        <v>1941</v>
      </c>
      <c r="C1115" s="248" t="s">
        <v>263</v>
      </c>
      <c r="D1115" s="248" t="s">
        <v>2091</v>
      </c>
      <c r="E1115" s="250">
        <v>40000</v>
      </c>
      <c r="F1115" s="250">
        <v>71.308559123566454</v>
      </c>
      <c r="G1115" s="260">
        <v>579.64599999999996</v>
      </c>
      <c r="H1115" s="252" t="s">
        <v>195</v>
      </c>
      <c r="I1115" s="252" t="s">
        <v>1942</v>
      </c>
      <c r="J1115" s="252" t="s">
        <v>96</v>
      </c>
      <c r="K1115" s="268" t="s">
        <v>200</v>
      </c>
      <c r="L1115" s="248" t="s">
        <v>153</v>
      </c>
      <c r="M1115" s="248"/>
      <c r="N1115" s="248"/>
      <c r="O1115" s="248"/>
    </row>
    <row r="1116" spans="1:15" hidden="1">
      <c r="A1116" s="272">
        <v>45824</v>
      </c>
      <c r="B1116" s="248" t="s">
        <v>2078</v>
      </c>
      <c r="C1116" s="248" t="s">
        <v>150</v>
      </c>
      <c r="D1116" s="248" t="s">
        <v>118</v>
      </c>
      <c r="E1116" s="250">
        <v>10000</v>
      </c>
      <c r="F1116" s="250">
        <v>17.827139780891613</v>
      </c>
      <c r="G1116" s="260">
        <v>579.64599999999996</v>
      </c>
      <c r="H1116" s="252" t="s">
        <v>211</v>
      </c>
      <c r="I1116" s="252" t="s">
        <v>2079</v>
      </c>
      <c r="J1116" s="252" t="s">
        <v>96</v>
      </c>
      <c r="K1116" s="268" t="s">
        <v>200</v>
      </c>
      <c r="L1116" s="248" t="s">
        <v>153</v>
      </c>
      <c r="M1116" s="248"/>
      <c r="N1116" s="248"/>
      <c r="O1116" s="248"/>
    </row>
    <row r="1117" spans="1:15" hidden="1">
      <c r="A1117" s="272">
        <v>45824</v>
      </c>
      <c r="B1117" s="273" t="s">
        <v>1913</v>
      </c>
      <c r="C1117" s="248" t="s">
        <v>121</v>
      </c>
      <c r="D1117" s="248" t="s">
        <v>115</v>
      </c>
      <c r="E1117" s="250">
        <v>200000</v>
      </c>
      <c r="F1117" s="250">
        <v>356.54279561783233</v>
      </c>
      <c r="G1117" s="260">
        <v>579.64599999999996</v>
      </c>
      <c r="H1117" s="252" t="s">
        <v>146</v>
      </c>
      <c r="I1117" s="252" t="s">
        <v>135</v>
      </c>
      <c r="J1117" s="252" t="s">
        <v>96</v>
      </c>
      <c r="K1117" s="268" t="s">
        <v>200</v>
      </c>
      <c r="L1117" s="248" t="s">
        <v>153</v>
      </c>
      <c r="M1117" s="248"/>
      <c r="N1117" s="248"/>
      <c r="O1117" s="248"/>
    </row>
    <row r="1118" spans="1:15" hidden="1">
      <c r="A1118" s="272">
        <v>45824</v>
      </c>
      <c r="B1118" s="273" t="s">
        <v>1914</v>
      </c>
      <c r="C1118" s="248" t="s">
        <v>121</v>
      </c>
      <c r="D1118" s="248" t="s">
        <v>115</v>
      </c>
      <c r="E1118" s="250">
        <v>300000</v>
      </c>
      <c r="F1118" s="250">
        <v>534.81419342674849</v>
      </c>
      <c r="G1118" s="260">
        <v>579.64599999999996</v>
      </c>
      <c r="H1118" s="252" t="s">
        <v>146</v>
      </c>
      <c r="I1118" s="252" t="s">
        <v>136</v>
      </c>
      <c r="J1118" s="252" t="s">
        <v>96</v>
      </c>
      <c r="K1118" s="268" t="s">
        <v>200</v>
      </c>
      <c r="L1118" s="248" t="s">
        <v>153</v>
      </c>
      <c r="M1118" s="248"/>
      <c r="N1118" s="248"/>
      <c r="O1118" s="248"/>
    </row>
    <row r="1119" spans="1:15" hidden="1">
      <c r="A1119" s="272">
        <v>45825</v>
      </c>
      <c r="B1119" s="248" t="s">
        <v>1761</v>
      </c>
      <c r="C1119" s="248" t="s">
        <v>172</v>
      </c>
      <c r="D1119" s="248" t="s">
        <v>115</v>
      </c>
      <c r="E1119" s="250">
        <v>8000</v>
      </c>
      <c r="F1119" s="250">
        <v>14.261711824713291</v>
      </c>
      <c r="G1119" s="260">
        <v>579.64599999999996</v>
      </c>
      <c r="H1119" s="252" t="s">
        <v>188</v>
      </c>
      <c r="I1119" s="252" t="s">
        <v>2000</v>
      </c>
      <c r="J1119" s="252" t="s">
        <v>96</v>
      </c>
      <c r="K1119" s="268" t="s">
        <v>200</v>
      </c>
      <c r="L1119" s="248" t="s">
        <v>153</v>
      </c>
      <c r="M1119" s="248"/>
      <c r="N1119" s="248"/>
      <c r="O1119" s="248"/>
    </row>
    <row r="1120" spans="1:15" hidden="1">
      <c r="A1120" s="272">
        <v>45825</v>
      </c>
      <c r="B1120" s="248" t="s">
        <v>1945</v>
      </c>
      <c r="C1120" s="248" t="s">
        <v>172</v>
      </c>
      <c r="D1120" s="248" t="s">
        <v>115</v>
      </c>
      <c r="E1120" s="250">
        <v>29000</v>
      </c>
      <c r="F1120" s="250">
        <v>51.698705364585685</v>
      </c>
      <c r="G1120" s="260">
        <v>579.64599999999996</v>
      </c>
      <c r="H1120" s="252" t="s">
        <v>188</v>
      </c>
      <c r="I1120" s="252" t="s">
        <v>229</v>
      </c>
      <c r="J1120" s="252" t="s">
        <v>96</v>
      </c>
      <c r="K1120" s="268" t="s">
        <v>200</v>
      </c>
      <c r="L1120" s="248" t="s">
        <v>153</v>
      </c>
      <c r="M1120" s="248"/>
      <c r="N1120" s="248"/>
      <c r="O1120" s="248"/>
    </row>
    <row r="1121" spans="1:15" hidden="1">
      <c r="A1121" s="272">
        <v>45825</v>
      </c>
      <c r="B1121" s="248" t="s">
        <v>1946</v>
      </c>
      <c r="C1121" s="254" t="s">
        <v>175</v>
      </c>
      <c r="D1121" s="248" t="s">
        <v>115</v>
      </c>
      <c r="E1121" s="250">
        <v>50000</v>
      </c>
      <c r="F1121" s="250">
        <v>89.135698904458081</v>
      </c>
      <c r="G1121" s="260">
        <v>579.64599999999996</v>
      </c>
      <c r="H1121" s="252" t="s">
        <v>188</v>
      </c>
      <c r="I1121" s="252" t="s">
        <v>231</v>
      </c>
      <c r="J1121" s="252" t="s">
        <v>96</v>
      </c>
      <c r="K1121" s="268" t="s">
        <v>200</v>
      </c>
      <c r="L1121" s="248" t="s">
        <v>153</v>
      </c>
      <c r="M1121" s="248"/>
      <c r="N1121" s="248"/>
      <c r="O1121" s="248"/>
    </row>
    <row r="1122" spans="1:15" hidden="1">
      <c r="A1122" s="272">
        <v>45826</v>
      </c>
      <c r="B1122" s="248" t="s">
        <v>1965</v>
      </c>
      <c r="C1122" s="248" t="s">
        <v>172</v>
      </c>
      <c r="D1122" s="248" t="s">
        <v>115</v>
      </c>
      <c r="E1122" s="250">
        <v>15500</v>
      </c>
      <c r="F1122" s="250">
        <v>27.632066660382005</v>
      </c>
      <c r="G1122" s="260">
        <v>579.64599999999996</v>
      </c>
      <c r="H1122" s="252" t="s">
        <v>198</v>
      </c>
      <c r="I1122" s="252" t="s">
        <v>348</v>
      </c>
      <c r="J1122" s="252" t="s">
        <v>96</v>
      </c>
      <c r="K1122" s="268" t="s">
        <v>200</v>
      </c>
      <c r="L1122" s="248" t="s">
        <v>153</v>
      </c>
      <c r="M1122" s="248"/>
      <c r="N1122" s="248"/>
      <c r="O1122" s="248"/>
    </row>
    <row r="1123" spans="1:15" hidden="1">
      <c r="A1123" s="272">
        <v>45826</v>
      </c>
      <c r="B1123" s="248" t="s">
        <v>2001</v>
      </c>
      <c r="C1123" s="254" t="s">
        <v>175</v>
      </c>
      <c r="D1123" s="248" t="s">
        <v>115</v>
      </c>
      <c r="E1123" s="250">
        <v>20000</v>
      </c>
      <c r="F1123" s="250">
        <v>35.654279561783227</v>
      </c>
      <c r="G1123" s="260">
        <v>579.64599999999996</v>
      </c>
      <c r="H1123" s="252" t="s">
        <v>188</v>
      </c>
      <c r="I1123" s="252" t="s">
        <v>325</v>
      </c>
      <c r="J1123" s="252" t="s">
        <v>96</v>
      </c>
      <c r="K1123" s="268" t="s">
        <v>200</v>
      </c>
      <c r="L1123" s="248" t="s">
        <v>153</v>
      </c>
      <c r="M1123" s="248"/>
      <c r="N1123" s="248"/>
      <c r="O1123" s="248"/>
    </row>
    <row r="1124" spans="1:15" hidden="1">
      <c r="A1124" s="272">
        <v>45827</v>
      </c>
      <c r="B1124" s="248" t="s">
        <v>2002</v>
      </c>
      <c r="C1124" s="248" t="s">
        <v>311</v>
      </c>
      <c r="D1124" s="248" t="s">
        <v>115</v>
      </c>
      <c r="E1124" s="250">
        <v>34500</v>
      </c>
      <c r="F1124" s="250">
        <v>61.503632244076073</v>
      </c>
      <c r="G1124" s="260">
        <v>579.64599999999996</v>
      </c>
      <c r="H1124" s="252" t="s">
        <v>188</v>
      </c>
      <c r="I1124" s="252" t="s">
        <v>2003</v>
      </c>
      <c r="J1124" s="252" t="s">
        <v>96</v>
      </c>
      <c r="K1124" s="268" t="s">
        <v>200</v>
      </c>
      <c r="L1124" s="248" t="s">
        <v>153</v>
      </c>
      <c r="M1124" s="248"/>
      <c r="N1124" s="248"/>
      <c r="O1124" s="248"/>
    </row>
    <row r="1125" spans="1:15" hidden="1">
      <c r="A1125" s="272">
        <v>45827</v>
      </c>
      <c r="B1125" s="248" t="s">
        <v>2088</v>
      </c>
      <c r="C1125" s="254" t="s">
        <v>2092</v>
      </c>
      <c r="D1125" s="248" t="s">
        <v>2080</v>
      </c>
      <c r="E1125" s="250">
        <v>132000</v>
      </c>
      <c r="F1125" s="250">
        <v>235.31824510776931</v>
      </c>
      <c r="G1125" s="260">
        <v>579.64599999999996</v>
      </c>
      <c r="H1125" s="252" t="s">
        <v>211</v>
      </c>
      <c r="I1125" s="252" t="s">
        <v>1947</v>
      </c>
      <c r="J1125" s="252" t="s">
        <v>96</v>
      </c>
      <c r="K1125" s="268" t="s">
        <v>200</v>
      </c>
      <c r="L1125" s="248" t="s">
        <v>153</v>
      </c>
      <c r="M1125" s="248"/>
      <c r="N1125" s="248"/>
      <c r="O1125" s="248"/>
    </row>
    <row r="1126" spans="1:15" hidden="1">
      <c r="A1126" s="272">
        <v>45828</v>
      </c>
      <c r="B1126" s="248" t="s">
        <v>2004</v>
      </c>
      <c r="C1126" s="254" t="s">
        <v>175</v>
      </c>
      <c r="D1126" s="248" t="s">
        <v>115</v>
      </c>
      <c r="E1126" s="250">
        <v>30000</v>
      </c>
      <c r="F1126" s="250">
        <v>53.481419342674847</v>
      </c>
      <c r="G1126" s="260">
        <v>579.64599999999996</v>
      </c>
      <c r="H1126" s="252" t="s">
        <v>188</v>
      </c>
      <c r="I1126" s="252" t="s">
        <v>2005</v>
      </c>
      <c r="J1126" s="252" t="s">
        <v>96</v>
      </c>
      <c r="K1126" s="268" t="s">
        <v>200</v>
      </c>
      <c r="L1126" s="248" t="s">
        <v>153</v>
      </c>
      <c r="M1126" s="248"/>
      <c r="N1126" s="248"/>
      <c r="O1126" s="248"/>
    </row>
    <row r="1127" spans="1:15" hidden="1">
      <c r="A1127" s="272">
        <v>45828</v>
      </c>
      <c r="B1127" s="248" t="s">
        <v>2084</v>
      </c>
      <c r="C1127" s="254" t="s">
        <v>1168</v>
      </c>
      <c r="D1127" s="248" t="s">
        <v>116</v>
      </c>
      <c r="E1127" s="250">
        <v>25000</v>
      </c>
      <c r="F1127" s="250">
        <v>44.567849452229041</v>
      </c>
      <c r="G1127" s="260">
        <v>579.64599999999996</v>
      </c>
      <c r="H1127" s="252" t="s">
        <v>581</v>
      </c>
      <c r="I1127" s="252" t="s">
        <v>233</v>
      </c>
      <c r="J1127" s="252" t="s">
        <v>96</v>
      </c>
      <c r="K1127" s="268" t="s">
        <v>200</v>
      </c>
      <c r="L1127" s="248" t="s">
        <v>153</v>
      </c>
      <c r="M1127" s="248"/>
      <c r="N1127" s="248"/>
      <c r="O1127" s="248"/>
    </row>
    <row r="1128" spans="1:15" hidden="1">
      <c r="A1128" s="272">
        <v>45828</v>
      </c>
      <c r="B1128" s="248" t="s">
        <v>1978</v>
      </c>
      <c r="C1128" s="248" t="s">
        <v>172</v>
      </c>
      <c r="D1128" s="249" t="s">
        <v>440</v>
      </c>
      <c r="E1128" s="250">
        <v>32100</v>
      </c>
      <c r="F1128" s="250">
        <v>57.225118696662086</v>
      </c>
      <c r="G1128" s="260">
        <v>579.64599999999996</v>
      </c>
      <c r="H1128" s="252" t="s">
        <v>182</v>
      </c>
      <c r="I1128" s="252" t="s">
        <v>201</v>
      </c>
      <c r="J1128" s="252" t="s">
        <v>96</v>
      </c>
      <c r="K1128" s="268" t="s">
        <v>200</v>
      </c>
      <c r="L1128" s="248" t="s">
        <v>153</v>
      </c>
      <c r="M1128" s="248"/>
      <c r="N1128" s="248"/>
      <c r="O1128" s="248"/>
    </row>
    <row r="1129" spans="1:15" hidden="1">
      <c r="A1129" s="272">
        <v>45828</v>
      </c>
      <c r="B1129" s="248" t="s">
        <v>1979</v>
      </c>
      <c r="C1129" s="248" t="s">
        <v>366</v>
      </c>
      <c r="D1129" s="249" t="s">
        <v>440</v>
      </c>
      <c r="E1129" s="250">
        <v>8500</v>
      </c>
      <c r="F1129" s="250">
        <v>15.153068813757873</v>
      </c>
      <c r="G1129" s="260">
        <v>579.64599999999996</v>
      </c>
      <c r="H1129" s="252" t="s">
        <v>182</v>
      </c>
      <c r="I1129" s="252" t="s">
        <v>319</v>
      </c>
      <c r="J1129" s="252" t="s">
        <v>96</v>
      </c>
      <c r="K1129" s="268" t="s">
        <v>200</v>
      </c>
      <c r="L1129" s="248" t="s">
        <v>153</v>
      </c>
      <c r="M1129" s="248"/>
      <c r="N1129" s="248"/>
      <c r="O1129" s="248"/>
    </row>
    <row r="1130" spans="1:15" hidden="1">
      <c r="A1130" s="272">
        <v>45828</v>
      </c>
      <c r="B1130" s="248" t="s">
        <v>1986</v>
      </c>
      <c r="C1130" s="248" t="s">
        <v>172</v>
      </c>
      <c r="D1130" s="249" t="s">
        <v>440</v>
      </c>
      <c r="E1130" s="250">
        <v>50500</v>
      </c>
      <c r="F1130" s="250">
        <v>90.027055893502663</v>
      </c>
      <c r="G1130" s="260">
        <v>579.64599999999996</v>
      </c>
      <c r="H1130" s="252" t="s">
        <v>315</v>
      </c>
      <c r="I1130" s="252" t="s">
        <v>364</v>
      </c>
      <c r="J1130" s="252" t="s">
        <v>96</v>
      </c>
      <c r="K1130" s="268" t="s">
        <v>200</v>
      </c>
      <c r="L1130" s="248" t="s">
        <v>153</v>
      </c>
      <c r="M1130" s="248"/>
      <c r="N1130" s="248"/>
      <c r="O1130" s="248"/>
    </row>
    <row r="1131" spans="1:15" hidden="1">
      <c r="A1131" s="272">
        <v>45828</v>
      </c>
      <c r="B1131" s="248" t="s">
        <v>1989</v>
      </c>
      <c r="C1131" s="248" t="s">
        <v>172</v>
      </c>
      <c r="D1131" s="249" t="s">
        <v>440</v>
      </c>
      <c r="E1131" s="250">
        <v>29000</v>
      </c>
      <c r="F1131" s="250">
        <v>51.698705364585685</v>
      </c>
      <c r="G1131" s="260">
        <v>579.64599999999996</v>
      </c>
      <c r="H1131" s="252" t="s">
        <v>321</v>
      </c>
      <c r="I1131" s="252" t="s">
        <v>323</v>
      </c>
      <c r="J1131" s="252" t="s">
        <v>96</v>
      </c>
      <c r="K1131" s="268" t="s">
        <v>200</v>
      </c>
      <c r="L1131" s="248" t="s">
        <v>153</v>
      </c>
      <c r="M1131" s="248"/>
      <c r="N1131" s="248"/>
      <c r="O1131" s="248"/>
    </row>
    <row r="1132" spans="1:15" hidden="1">
      <c r="A1132" s="272">
        <v>45828</v>
      </c>
      <c r="B1132" s="248" t="s">
        <v>1948</v>
      </c>
      <c r="C1132" s="248" t="s">
        <v>172</v>
      </c>
      <c r="D1132" s="248" t="s">
        <v>115</v>
      </c>
      <c r="E1132" s="250">
        <v>82000</v>
      </c>
      <c r="F1132" s="250">
        <v>146.18254620331123</v>
      </c>
      <c r="G1132" s="260">
        <v>579.64599999999996</v>
      </c>
      <c r="H1132" s="252" t="s">
        <v>195</v>
      </c>
      <c r="I1132" s="252" t="s">
        <v>235</v>
      </c>
      <c r="J1132" s="252" t="s">
        <v>96</v>
      </c>
      <c r="K1132" s="268" t="s">
        <v>200</v>
      </c>
      <c r="L1132" s="248" t="s">
        <v>153</v>
      </c>
      <c r="M1132" s="248"/>
      <c r="N1132" s="248"/>
      <c r="O1132" s="248"/>
    </row>
    <row r="1133" spans="1:15" hidden="1">
      <c r="A1133" s="272">
        <v>45828</v>
      </c>
      <c r="B1133" s="248" t="s">
        <v>1949</v>
      </c>
      <c r="C1133" s="254" t="s">
        <v>175</v>
      </c>
      <c r="D1133" s="248" t="s">
        <v>115</v>
      </c>
      <c r="E1133" s="250">
        <v>175000</v>
      </c>
      <c r="F1133" s="250">
        <v>311.97494616560328</v>
      </c>
      <c r="G1133" s="260">
        <v>579.64599999999996</v>
      </c>
      <c r="H1133" s="252" t="s">
        <v>195</v>
      </c>
      <c r="I1133" s="252" t="s">
        <v>237</v>
      </c>
      <c r="J1133" s="252" t="s">
        <v>96</v>
      </c>
      <c r="K1133" s="268" t="s">
        <v>200</v>
      </c>
      <c r="L1133" s="248" t="s">
        <v>153</v>
      </c>
      <c r="M1133" s="248"/>
      <c r="N1133" s="248"/>
      <c r="O1133" s="248"/>
    </row>
    <row r="1134" spans="1:15" hidden="1">
      <c r="A1134" s="272">
        <v>45828</v>
      </c>
      <c r="B1134" s="248" t="s">
        <v>2081</v>
      </c>
      <c r="C1134" s="248" t="s">
        <v>172</v>
      </c>
      <c r="D1134" s="248" t="s">
        <v>118</v>
      </c>
      <c r="E1134" s="250">
        <v>22500</v>
      </c>
      <c r="F1134" s="250">
        <v>40.111064507006134</v>
      </c>
      <c r="G1134" s="260">
        <v>579.64599999999996</v>
      </c>
      <c r="H1134" s="252" t="s">
        <v>211</v>
      </c>
      <c r="I1134" s="252" t="s">
        <v>415</v>
      </c>
      <c r="J1134" s="252" t="s">
        <v>96</v>
      </c>
      <c r="K1134" s="268" t="s">
        <v>200</v>
      </c>
      <c r="L1134" s="248" t="s">
        <v>153</v>
      </c>
      <c r="M1134" s="248"/>
      <c r="N1134" s="248"/>
      <c r="O1134" s="248"/>
    </row>
    <row r="1135" spans="1:15" hidden="1">
      <c r="A1135" s="272">
        <v>45830</v>
      </c>
      <c r="B1135" s="248" t="s">
        <v>2054</v>
      </c>
      <c r="C1135" s="248" t="s">
        <v>194</v>
      </c>
      <c r="D1135" s="248" t="s">
        <v>115</v>
      </c>
      <c r="E1135" s="250">
        <v>33000</v>
      </c>
      <c r="F1135" s="250">
        <v>58.829561276942329</v>
      </c>
      <c r="G1135" s="260">
        <v>579.64599999999996</v>
      </c>
      <c r="H1135" s="252" t="s">
        <v>195</v>
      </c>
      <c r="I1135" s="252" t="s">
        <v>2055</v>
      </c>
      <c r="J1135" s="252" t="s">
        <v>96</v>
      </c>
      <c r="K1135" s="268" t="s">
        <v>200</v>
      </c>
      <c r="L1135" s="248" t="s">
        <v>153</v>
      </c>
      <c r="M1135" s="248"/>
      <c r="N1135" s="248"/>
      <c r="O1135" s="248"/>
    </row>
    <row r="1136" spans="1:15" hidden="1">
      <c r="A1136" s="272">
        <v>45830</v>
      </c>
      <c r="B1136" s="248" t="s">
        <v>2056</v>
      </c>
      <c r="C1136" s="254" t="s">
        <v>175</v>
      </c>
      <c r="D1136" s="248" t="s">
        <v>115</v>
      </c>
      <c r="E1136" s="250">
        <v>70000</v>
      </c>
      <c r="F1136" s="250">
        <v>124.78997846624131</v>
      </c>
      <c r="G1136" s="260">
        <v>579.64599999999996</v>
      </c>
      <c r="H1136" s="252" t="s">
        <v>195</v>
      </c>
      <c r="I1136" s="252" t="s">
        <v>299</v>
      </c>
      <c r="J1136" s="252" t="s">
        <v>96</v>
      </c>
      <c r="K1136" s="268" t="s">
        <v>200</v>
      </c>
      <c r="L1136" s="248" t="s">
        <v>153</v>
      </c>
      <c r="M1136" s="248"/>
      <c r="N1136" s="248"/>
      <c r="O1136" s="248"/>
    </row>
    <row r="1137" spans="1:15" hidden="1">
      <c r="A1137" s="272">
        <v>45831</v>
      </c>
      <c r="B1137" s="248" t="s">
        <v>1950</v>
      </c>
      <c r="C1137" s="248" t="s">
        <v>302</v>
      </c>
      <c r="D1137" s="248" t="s">
        <v>116</v>
      </c>
      <c r="E1137" s="250">
        <v>10000</v>
      </c>
      <c r="F1137" s="250">
        <v>17.827139780891613</v>
      </c>
      <c r="G1137" s="260">
        <v>579.64599999999996</v>
      </c>
      <c r="H1137" s="252" t="s">
        <v>581</v>
      </c>
      <c r="I1137" s="252" t="s">
        <v>239</v>
      </c>
      <c r="J1137" s="252" t="s">
        <v>96</v>
      </c>
      <c r="K1137" s="268" t="s">
        <v>200</v>
      </c>
      <c r="L1137" s="248" t="s">
        <v>153</v>
      </c>
      <c r="M1137" s="248"/>
      <c r="N1137" s="248"/>
      <c r="O1137" s="248"/>
    </row>
    <row r="1138" spans="1:15" hidden="1">
      <c r="A1138" s="272">
        <v>45831</v>
      </c>
      <c r="B1138" s="248" t="s">
        <v>1982</v>
      </c>
      <c r="C1138" s="248" t="s">
        <v>366</v>
      </c>
      <c r="D1138" s="249" t="s">
        <v>440</v>
      </c>
      <c r="E1138" s="250">
        <v>12500</v>
      </c>
      <c r="F1138" s="250">
        <v>22.28392472611452</v>
      </c>
      <c r="G1138" s="260">
        <v>579.64599999999996</v>
      </c>
      <c r="H1138" s="252" t="s">
        <v>173</v>
      </c>
      <c r="I1138" s="252" t="s">
        <v>176</v>
      </c>
      <c r="J1138" s="252" t="s">
        <v>96</v>
      </c>
      <c r="K1138" s="268" t="s">
        <v>200</v>
      </c>
      <c r="L1138" s="248" t="s">
        <v>153</v>
      </c>
      <c r="M1138" s="248"/>
      <c r="N1138" s="248"/>
      <c r="O1138" s="248"/>
    </row>
    <row r="1139" spans="1:15" hidden="1">
      <c r="A1139" s="272">
        <v>45831</v>
      </c>
      <c r="B1139" s="248" t="s">
        <v>2057</v>
      </c>
      <c r="C1139" s="254" t="s">
        <v>175</v>
      </c>
      <c r="D1139" s="248" t="s">
        <v>115</v>
      </c>
      <c r="E1139" s="250">
        <v>15000</v>
      </c>
      <c r="F1139" s="250">
        <v>26.740709671337424</v>
      </c>
      <c r="G1139" s="260">
        <v>579.64599999999996</v>
      </c>
      <c r="H1139" s="252" t="s">
        <v>195</v>
      </c>
      <c r="I1139" s="252" t="s">
        <v>2058</v>
      </c>
      <c r="J1139" s="252" t="s">
        <v>96</v>
      </c>
      <c r="K1139" s="268" t="s">
        <v>200</v>
      </c>
      <c r="L1139" s="248" t="s">
        <v>153</v>
      </c>
      <c r="M1139" s="248"/>
      <c r="N1139" s="248"/>
      <c r="O1139" s="248"/>
    </row>
    <row r="1140" spans="1:15" hidden="1">
      <c r="A1140" s="272">
        <v>45832</v>
      </c>
      <c r="B1140" s="248" t="s">
        <v>1983</v>
      </c>
      <c r="C1140" s="248" t="s">
        <v>172</v>
      </c>
      <c r="D1140" s="249" t="s">
        <v>440</v>
      </c>
      <c r="E1140" s="250">
        <v>61800</v>
      </c>
      <c r="F1140" s="250">
        <v>110.17172384591018</v>
      </c>
      <c r="G1140" s="260">
        <v>579.64599999999996</v>
      </c>
      <c r="H1140" s="252" t="s">
        <v>173</v>
      </c>
      <c r="I1140" s="252" t="s">
        <v>320</v>
      </c>
      <c r="J1140" s="252" t="s">
        <v>96</v>
      </c>
      <c r="K1140" s="268" t="s">
        <v>200</v>
      </c>
      <c r="L1140" s="248" t="s">
        <v>153</v>
      </c>
      <c r="M1140" s="248"/>
      <c r="N1140" s="248"/>
      <c r="O1140" s="248"/>
    </row>
    <row r="1141" spans="1:15" hidden="1">
      <c r="A1141" s="272">
        <v>45832</v>
      </c>
      <c r="B1141" s="248" t="s">
        <v>1951</v>
      </c>
      <c r="C1141" s="255" t="s">
        <v>2090</v>
      </c>
      <c r="D1141" s="248" t="s">
        <v>116</v>
      </c>
      <c r="E1141" s="250">
        <v>2000</v>
      </c>
      <c r="F1141" s="250">
        <v>3.5654279561783229</v>
      </c>
      <c r="G1141" s="260">
        <v>579.64599999999996</v>
      </c>
      <c r="H1141" s="252" t="s">
        <v>188</v>
      </c>
      <c r="I1141" s="252" t="s">
        <v>278</v>
      </c>
      <c r="J1141" s="252" t="s">
        <v>96</v>
      </c>
      <c r="K1141" s="268" t="s">
        <v>200</v>
      </c>
      <c r="L1141" s="248" t="s">
        <v>153</v>
      </c>
      <c r="M1141" s="248"/>
      <c r="N1141" s="248"/>
      <c r="O1141" s="248"/>
    </row>
    <row r="1142" spans="1:15" hidden="1">
      <c r="A1142" s="272">
        <v>45832</v>
      </c>
      <c r="B1142" s="248" t="s">
        <v>2010</v>
      </c>
      <c r="C1142" s="248" t="s">
        <v>172</v>
      </c>
      <c r="D1142" s="248" t="s">
        <v>115</v>
      </c>
      <c r="E1142" s="250">
        <v>7000</v>
      </c>
      <c r="F1142" s="250">
        <v>12.47899784662413</v>
      </c>
      <c r="G1142" s="260">
        <v>579.64599999999996</v>
      </c>
      <c r="H1142" s="252" t="s">
        <v>191</v>
      </c>
      <c r="I1142" s="252" t="s">
        <v>2025</v>
      </c>
      <c r="J1142" s="252" t="s">
        <v>96</v>
      </c>
      <c r="K1142" s="268" t="s">
        <v>200</v>
      </c>
      <c r="L1142" s="248" t="s">
        <v>153</v>
      </c>
      <c r="M1142" s="248"/>
      <c r="N1142" s="248"/>
      <c r="O1142" s="248"/>
    </row>
    <row r="1143" spans="1:15" hidden="1">
      <c r="A1143" s="272">
        <v>45832</v>
      </c>
      <c r="B1143" s="248" t="s">
        <v>2027</v>
      </c>
      <c r="C1143" s="248" t="s">
        <v>172</v>
      </c>
      <c r="D1143" s="248" t="s">
        <v>115</v>
      </c>
      <c r="E1143" s="250">
        <v>20000</v>
      </c>
      <c r="F1143" s="250">
        <v>35.654279561783227</v>
      </c>
      <c r="G1143" s="260">
        <v>579.64599999999996</v>
      </c>
      <c r="H1143" s="252" t="s">
        <v>191</v>
      </c>
      <c r="I1143" s="252" t="s">
        <v>268</v>
      </c>
      <c r="J1143" s="252" t="s">
        <v>96</v>
      </c>
      <c r="K1143" s="268" t="s">
        <v>200</v>
      </c>
      <c r="L1143" s="248" t="s">
        <v>153</v>
      </c>
      <c r="M1143" s="248"/>
      <c r="N1143" s="248"/>
      <c r="O1143" s="248"/>
    </row>
    <row r="1144" spans="1:15" hidden="1">
      <c r="A1144" s="272">
        <v>45832</v>
      </c>
      <c r="B1144" s="248" t="s">
        <v>2028</v>
      </c>
      <c r="C1144" s="254" t="s">
        <v>175</v>
      </c>
      <c r="D1144" s="248" t="s">
        <v>115</v>
      </c>
      <c r="E1144" s="250">
        <v>50000</v>
      </c>
      <c r="F1144" s="250">
        <v>89.135698904458081</v>
      </c>
      <c r="G1144" s="260">
        <v>579.64599999999996</v>
      </c>
      <c r="H1144" s="252" t="s">
        <v>191</v>
      </c>
      <c r="I1144" s="252" t="s">
        <v>276</v>
      </c>
      <c r="J1144" s="252" t="s">
        <v>96</v>
      </c>
      <c r="K1144" s="268" t="s">
        <v>200</v>
      </c>
      <c r="L1144" s="248" t="s">
        <v>153</v>
      </c>
      <c r="M1144" s="248"/>
      <c r="N1144" s="248"/>
      <c r="O1144" s="248"/>
    </row>
    <row r="1145" spans="1:15" hidden="1">
      <c r="A1145" s="272">
        <v>45832</v>
      </c>
      <c r="B1145" s="248" t="s">
        <v>2059</v>
      </c>
      <c r="C1145" s="254" t="s">
        <v>175</v>
      </c>
      <c r="D1145" s="248" t="s">
        <v>115</v>
      </c>
      <c r="E1145" s="250">
        <v>15000</v>
      </c>
      <c r="F1145" s="250">
        <v>26.740709671337424</v>
      </c>
      <c r="G1145" s="260">
        <v>579.64599999999996</v>
      </c>
      <c r="H1145" s="252" t="s">
        <v>195</v>
      </c>
      <c r="I1145" s="252" t="s">
        <v>2060</v>
      </c>
      <c r="J1145" s="252" t="s">
        <v>96</v>
      </c>
      <c r="K1145" s="268" t="s">
        <v>200</v>
      </c>
      <c r="L1145" s="248" t="s">
        <v>153</v>
      </c>
      <c r="M1145" s="248"/>
      <c r="N1145" s="248"/>
      <c r="O1145" s="248"/>
    </row>
    <row r="1146" spans="1:15" hidden="1">
      <c r="A1146" s="272">
        <v>45832</v>
      </c>
      <c r="B1146" s="273" t="s">
        <v>1915</v>
      </c>
      <c r="C1146" s="248" t="s">
        <v>121</v>
      </c>
      <c r="D1146" s="248" t="s">
        <v>115</v>
      </c>
      <c r="E1146" s="250">
        <v>300000</v>
      </c>
      <c r="F1146" s="250">
        <v>534.81419342674849</v>
      </c>
      <c r="G1146" s="260">
        <v>579.64599999999996</v>
      </c>
      <c r="H1146" s="252" t="s">
        <v>146</v>
      </c>
      <c r="I1146" s="252" t="s">
        <v>137</v>
      </c>
      <c r="J1146" s="252" t="s">
        <v>96</v>
      </c>
      <c r="K1146" s="268" t="s">
        <v>200</v>
      </c>
      <c r="L1146" s="248" t="s">
        <v>153</v>
      </c>
      <c r="M1146" s="248"/>
      <c r="N1146" s="248"/>
      <c r="O1146" s="248"/>
    </row>
    <row r="1147" spans="1:15" hidden="1">
      <c r="A1147" s="272">
        <v>45833</v>
      </c>
      <c r="B1147" s="248" t="s">
        <v>2026</v>
      </c>
      <c r="C1147" s="254" t="s">
        <v>175</v>
      </c>
      <c r="D1147" s="248" t="s">
        <v>115</v>
      </c>
      <c r="E1147" s="250">
        <v>20000</v>
      </c>
      <c r="F1147" s="250">
        <v>35.654279561783227</v>
      </c>
      <c r="G1147" s="260">
        <v>579.64599999999996</v>
      </c>
      <c r="H1147" s="252" t="s">
        <v>191</v>
      </c>
      <c r="I1147" s="252" t="s">
        <v>413</v>
      </c>
      <c r="J1147" s="252" t="s">
        <v>96</v>
      </c>
      <c r="K1147" s="268" t="s">
        <v>200</v>
      </c>
      <c r="L1147" s="248" t="s">
        <v>153</v>
      </c>
      <c r="M1147" s="248"/>
      <c r="N1147" s="248"/>
      <c r="O1147" s="248"/>
    </row>
    <row r="1148" spans="1:15" hidden="1">
      <c r="A1148" s="275">
        <v>45834</v>
      </c>
      <c r="B1148" s="248" t="s">
        <v>2030</v>
      </c>
      <c r="C1148" s="248" t="s">
        <v>311</v>
      </c>
      <c r="D1148" s="248" t="s">
        <v>115</v>
      </c>
      <c r="E1148" s="250">
        <v>21000</v>
      </c>
      <c r="F1148" s="250">
        <v>37.43699353987239</v>
      </c>
      <c r="G1148" s="260">
        <v>579.64599999999996</v>
      </c>
      <c r="H1148" s="252" t="s">
        <v>191</v>
      </c>
      <c r="I1148" s="252" t="s">
        <v>2031</v>
      </c>
      <c r="J1148" s="252" t="s">
        <v>96</v>
      </c>
      <c r="K1148" s="268" t="s">
        <v>200</v>
      </c>
      <c r="L1148" s="248" t="s">
        <v>153</v>
      </c>
      <c r="M1148" s="248"/>
      <c r="N1148" s="248"/>
      <c r="O1148" s="248"/>
    </row>
    <row r="1149" spans="1:15" hidden="1">
      <c r="A1149" s="272">
        <v>45834</v>
      </c>
      <c r="B1149" s="248" t="s">
        <v>2061</v>
      </c>
      <c r="C1149" s="248" t="s">
        <v>311</v>
      </c>
      <c r="D1149" s="248" t="s">
        <v>115</v>
      </c>
      <c r="E1149" s="250">
        <v>40500</v>
      </c>
      <c r="F1149" s="250">
        <v>72.199916112611035</v>
      </c>
      <c r="G1149" s="260">
        <v>579.64599999999996</v>
      </c>
      <c r="H1149" s="252" t="s">
        <v>195</v>
      </c>
      <c r="I1149" s="252" t="s">
        <v>2062</v>
      </c>
      <c r="J1149" s="252" t="s">
        <v>96</v>
      </c>
      <c r="K1149" s="268" t="s">
        <v>200</v>
      </c>
      <c r="L1149" s="248" t="s">
        <v>153</v>
      </c>
      <c r="M1149" s="248"/>
      <c r="N1149" s="248"/>
      <c r="O1149" s="248"/>
    </row>
    <row r="1150" spans="1:15" hidden="1">
      <c r="A1150" s="275">
        <v>45835</v>
      </c>
      <c r="B1150" s="248" t="s">
        <v>2012</v>
      </c>
      <c r="C1150" s="248" t="s">
        <v>172</v>
      </c>
      <c r="D1150" s="248" t="s">
        <v>115</v>
      </c>
      <c r="E1150" s="250">
        <v>7000</v>
      </c>
      <c r="F1150" s="250">
        <v>12.47899784662413</v>
      </c>
      <c r="G1150" s="260">
        <v>579.64599999999996</v>
      </c>
      <c r="H1150" s="252" t="s">
        <v>191</v>
      </c>
      <c r="I1150" s="252" t="s">
        <v>2029</v>
      </c>
      <c r="J1150" s="252" t="s">
        <v>96</v>
      </c>
      <c r="K1150" s="268" t="s">
        <v>200</v>
      </c>
      <c r="L1150" s="248" t="s">
        <v>153</v>
      </c>
      <c r="M1150" s="248"/>
      <c r="N1150" s="248"/>
      <c r="O1150" s="248"/>
    </row>
    <row r="1151" spans="1:15" hidden="1">
      <c r="A1151" s="272">
        <v>45835</v>
      </c>
      <c r="B1151" s="248" t="s">
        <v>2063</v>
      </c>
      <c r="C1151" s="248" t="s">
        <v>194</v>
      </c>
      <c r="D1151" s="248" t="s">
        <v>115</v>
      </c>
      <c r="E1151" s="250">
        <v>33000</v>
      </c>
      <c r="F1151" s="250">
        <v>58.829561276942329</v>
      </c>
      <c r="G1151" s="260">
        <v>579.64599999999996</v>
      </c>
      <c r="H1151" s="252" t="s">
        <v>195</v>
      </c>
      <c r="I1151" s="252" t="s">
        <v>2064</v>
      </c>
      <c r="J1151" s="252" t="s">
        <v>96</v>
      </c>
      <c r="K1151" s="268" t="s">
        <v>200</v>
      </c>
      <c r="L1151" s="248" t="s">
        <v>153</v>
      </c>
      <c r="M1151" s="248"/>
      <c r="N1151" s="248"/>
      <c r="O1151" s="248"/>
    </row>
    <row r="1152" spans="1:15" hidden="1">
      <c r="A1152" s="272">
        <v>45835</v>
      </c>
      <c r="B1152" s="248" t="s">
        <v>1970</v>
      </c>
      <c r="C1152" s="254" t="s">
        <v>124</v>
      </c>
      <c r="D1152" s="248" t="s">
        <v>116</v>
      </c>
      <c r="E1152" s="250">
        <v>8000</v>
      </c>
      <c r="F1152" s="250">
        <v>14.261711824713291</v>
      </c>
      <c r="G1152" s="260">
        <v>579.64599999999996</v>
      </c>
      <c r="H1152" s="252" t="s">
        <v>581</v>
      </c>
      <c r="I1152" s="252" t="s">
        <v>300</v>
      </c>
      <c r="J1152" s="252" t="s">
        <v>96</v>
      </c>
      <c r="K1152" s="268" t="s">
        <v>200</v>
      </c>
      <c r="L1152" s="248" t="s">
        <v>153</v>
      </c>
      <c r="M1152" s="248"/>
      <c r="N1152" s="248"/>
      <c r="O1152" s="248"/>
    </row>
    <row r="1153" spans="1:15" hidden="1">
      <c r="A1153" s="272">
        <v>45835</v>
      </c>
      <c r="B1153" s="248" t="s">
        <v>1953</v>
      </c>
      <c r="C1153" s="248" t="s">
        <v>302</v>
      </c>
      <c r="D1153" s="248" t="s">
        <v>116</v>
      </c>
      <c r="E1153" s="250">
        <v>75625</v>
      </c>
      <c r="F1153" s="250">
        <v>134.81774459299285</v>
      </c>
      <c r="G1153" s="260">
        <v>579.64599999999996</v>
      </c>
      <c r="H1153" s="252" t="s">
        <v>581</v>
      </c>
      <c r="I1153" s="252" t="s">
        <v>303</v>
      </c>
      <c r="J1153" s="252" t="s">
        <v>96</v>
      </c>
      <c r="K1153" s="268" t="s">
        <v>200</v>
      </c>
      <c r="L1153" s="248" t="s">
        <v>153</v>
      </c>
      <c r="M1153" s="248"/>
      <c r="N1153" s="248"/>
      <c r="O1153" s="248"/>
    </row>
    <row r="1154" spans="1:15" hidden="1">
      <c r="A1154" s="272">
        <v>45835</v>
      </c>
      <c r="B1154" s="248" t="s">
        <v>2032</v>
      </c>
      <c r="C1154" s="254" t="s">
        <v>175</v>
      </c>
      <c r="D1154" s="248" t="s">
        <v>115</v>
      </c>
      <c r="E1154" s="250">
        <v>30000</v>
      </c>
      <c r="F1154" s="250">
        <v>53.481419342674847</v>
      </c>
      <c r="G1154" s="260">
        <v>579.64599999999996</v>
      </c>
      <c r="H1154" s="252" t="s">
        <v>191</v>
      </c>
      <c r="I1154" s="252" t="s">
        <v>2033</v>
      </c>
      <c r="J1154" s="252" t="s">
        <v>96</v>
      </c>
      <c r="K1154" s="268" t="s">
        <v>200</v>
      </c>
      <c r="L1154" s="248" t="s">
        <v>153</v>
      </c>
      <c r="M1154" s="248"/>
      <c r="N1154" s="248"/>
      <c r="O1154" s="248"/>
    </row>
    <row r="1155" spans="1:15" hidden="1">
      <c r="A1155" s="272">
        <v>45835</v>
      </c>
      <c r="B1155" s="248" t="s">
        <v>2065</v>
      </c>
      <c r="C1155" s="254" t="s">
        <v>175</v>
      </c>
      <c r="D1155" s="248" t="s">
        <v>115</v>
      </c>
      <c r="E1155" s="250">
        <v>45000</v>
      </c>
      <c r="F1155" s="250">
        <v>80.222129014012268</v>
      </c>
      <c r="G1155" s="260">
        <v>579.64599999999996</v>
      </c>
      <c r="H1155" s="252" t="s">
        <v>195</v>
      </c>
      <c r="I1155" s="252" t="s">
        <v>2066</v>
      </c>
      <c r="J1155" s="252" t="s">
        <v>96</v>
      </c>
      <c r="K1155" s="268" t="s">
        <v>200</v>
      </c>
      <c r="L1155" s="248" t="s">
        <v>153</v>
      </c>
      <c r="M1155" s="248"/>
      <c r="N1155" s="248"/>
      <c r="O1155" s="248"/>
    </row>
    <row r="1156" spans="1:15" hidden="1">
      <c r="A1156" s="272">
        <v>45836</v>
      </c>
      <c r="B1156" s="248" t="s">
        <v>2067</v>
      </c>
      <c r="C1156" s="254" t="s">
        <v>175</v>
      </c>
      <c r="D1156" s="248" t="s">
        <v>115</v>
      </c>
      <c r="E1156" s="250">
        <v>15000</v>
      </c>
      <c r="F1156" s="250">
        <v>26.740709671337424</v>
      </c>
      <c r="G1156" s="260">
        <v>579.64599999999996</v>
      </c>
      <c r="H1156" s="252" t="s">
        <v>195</v>
      </c>
      <c r="I1156" s="252" t="s">
        <v>2068</v>
      </c>
      <c r="J1156" s="252" t="s">
        <v>96</v>
      </c>
      <c r="K1156" s="268" t="s">
        <v>200</v>
      </c>
      <c r="L1156" s="248" t="s">
        <v>153</v>
      </c>
      <c r="M1156" s="248"/>
      <c r="N1156" s="248"/>
      <c r="O1156" s="248"/>
    </row>
    <row r="1157" spans="1:15" hidden="1">
      <c r="A1157" s="272">
        <v>45837</v>
      </c>
      <c r="B1157" s="248" t="s">
        <v>2069</v>
      </c>
      <c r="C1157" s="254" t="s">
        <v>175</v>
      </c>
      <c r="D1157" s="248" t="s">
        <v>115</v>
      </c>
      <c r="E1157" s="250">
        <v>15000</v>
      </c>
      <c r="F1157" s="250">
        <v>26.740709671337424</v>
      </c>
      <c r="G1157" s="260">
        <v>579.64599999999996</v>
      </c>
      <c r="H1157" s="252" t="s">
        <v>195</v>
      </c>
      <c r="I1157" s="252" t="s">
        <v>2070</v>
      </c>
      <c r="J1157" s="252" t="s">
        <v>96</v>
      </c>
      <c r="K1157" s="268" t="s">
        <v>200</v>
      </c>
      <c r="L1157" s="248" t="s">
        <v>153</v>
      </c>
      <c r="M1157" s="248"/>
      <c r="N1157" s="248"/>
      <c r="O1157" s="248"/>
    </row>
    <row r="1158" spans="1:15" hidden="1">
      <c r="A1158" s="272">
        <v>45837</v>
      </c>
      <c r="B1158" s="248" t="s">
        <v>2071</v>
      </c>
      <c r="C1158" s="248" t="s">
        <v>194</v>
      </c>
      <c r="D1158" s="248" t="s">
        <v>115</v>
      </c>
      <c r="E1158" s="250">
        <v>39000</v>
      </c>
      <c r="F1158" s="250">
        <v>69.525845145477305</v>
      </c>
      <c r="G1158" s="260">
        <v>579.64599999999996</v>
      </c>
      <c r="H1158" s="252" t="s">
        <v>195</v>
      </c>
      <c r="I1158" s="252" t="s">
        <v>2072</v>
      </c>
      <c r="J1158" s="252" t="s">
        <v>96</v>
      </c>
      <c r="K1158" s="268" t="s">
        <v>200</v>
      </c>
      <c r="L1158" s="248" t="s">
        <v>153</v>
      </c>
      <c r="M1158" s="248"/>
      <c r="N1158" s="248"/>
      <c r="O1158" s="248"/>
    </row>
    <row r="1159" spans="1:15" hidden="1">
      <c r="A1159" s="272">
        <v>45838</v>
      </c>
      <c r="B1159" s="248" t="s">
        <v>1957</v>
      </c>
      <c r="C1159" s="248" t="s">
        <v>172</v>
      </c>
      <c r="D1159" s="248" t="s">
        <v>117</v>
      </c>
      <c r="E1159" s="250">
        <v>49000</v>
      </c>
      <c r="F1159" s="250">
        <v>87.352984926368919</v>
      </c>
      <c r="G1159" s="260">
        <v>579.64599999999996</v>
      </c>
      <c r="H1159" s="252" t="s">
        <v>151</v>
      </c>
      <c r="I1159" s="252" t="s">
        <v>419</v>
      </c>
      <c r="J1159" s="252" t="s">
        <v>96</v>
      </c>
      <c r="K1159" s="268" t="s">
        <v>200</v>
      </c>
      <c r="L1159" s="248" t="s">
        <v>153</v>
      </c>
      <c r="M1159" s="248"/>
      <c r="N1159" s="248"/>
      <c r="O1159" s="248"/>
    </row>
    <row r="1160" spans="1:15" hidden="1">
      <c r="A1160" s="272">
        <v>45838</v>
      </c>
      <c r="B1160" s="248" t="s">
        <v>1950</v>
      </c>
      <c r="C1160" s="248" t="s">
        <v>302</v>
      </c>
      <c r="D1160" s="248" t="s">
        <v>116</v>
      </c>
      <c r="E1160" s="250">
        <v>50000</v>
      </c>
      <c r="F1160" s="250">
        <v>89.135698904458081</v>
      </c>
      <c r="G1160" s="260">
        <v>579.64599999999996</v>
      </c>
      <c r="H1160" s="252" t="s">
        <v>581</v>
      </c>
      <c r="I1160" s="252" t="s">
        <v>327</v>
      </c>
      <c r="J1160" s="252" t="s">
        <v>96</v>
      </c>
      <c r="K1160" s="268" t="s">
        <v>200</v>
      </c>
      <c r="L1160" s="248" t="s">
        <v>153</v>
      </c>
      <c r="M1160" s="248"/>
      <c r="N1160" s="248"/>
      <c r="O1160" s="248"/>
    </row>
    <row r="1161" spans="1:15" hidden="1">
      <c r="A1161" s="272">
        <v>45838</v>
      </c>
      <c r="B1161" s="248" t="s">
        <v>1954</v>
      </c>
      <c r="C1161" s="248" t="s">
        <v>624</v>
      </c>
      <c r="D1161" s="248" t="s">
        <v>116</v>
      </c>
      <c r="E1161" s="250">
        <v>45050</v>
      </c>
      <c r="F1161" s="250">
        <v>80.311264712916724</v>
      </c>
      <c r="G1161" s="260">
        <v>579.64599999999996</v>
      </c>
      <c r="H1161" s="252" t="s">
        <v>581</v>
      </c>
      <c r="I1161" s="252" t="s">
        <v>329</v>
      </c>
      <c r="J1161" s="252" t="s">
        <v>96</v>
      </c>
      <c r="K1161" s="268" t="s">
        <v>200</v>
      </c>
      <c r="L1161" s="248" t="s">
        <v>153</v>
      </c>
      <c r="M1161" s="248"/>
      <c r="N1161" s="248"/>
      <c r="O1161" s="248"/>
    </row>
    <row r="1162" spans="1:15" hidden="1">
      <c r="A1162" s="272">
        <v>45838</v>
      </c>
      <c r="B1162" s="248" t="s">
        <v>1968</v>
      </c>
      <c r="C1162" s="248" t="s">
        <v>172</v>
      </c>
      <c r="D1162" s="248" t="s">
        <v>116</v>
      </c>
      <c r="E1162" s="250">
        <v>26000</v>
      </c>
      <c r="F1162" s="250">
        <v>46.350563430318196</v>
      </c>
      <c r="G1162" s="260">
        <v>579.64599999999996</v>
      </c>
      <c r="H1162" s="252" t="s">
        <v>581</v>
      </c>
      <c r="I1162" s="252" t="s">
        <v>1969</v>
      </c>
      <c r="J1162" s="252" t="s">
        <v>96</v>
      </c>
      <c r="K1162" s="268" t="s">
        <v>200</v>
      </c>
      <c r="L1162" s="248" t="s">
        <v>153</v>
      </c>
      <c r="M1162" s="248"/>
      <c r="N1162" s="248"/>
      <c r="O1162" s="248"/>
    </row>
    <row r="1163" spans="1:15" hidden="1">
      <c r="A1163" s="272">
        <v>45838</v>
      </c>
      <c r="B1163" s="248" t="s">
        <v>2006</v>
      </c>
      <c r="C1163" s="248" t="s">
        <v>172</v>
      </c>
      <c r="D1163" s="248" t="s">
        <v>115</v>
      </c>
      <c r="E1163" s="250">
        <v>45700</v>
      </c>
      <c r="F1163" s="250">
        <v>81.470028798674676</v>
      </c>
      <c r="G1163" s="260">
        <v>579.64599999999996</v>
      </c>
      <c r="H1163" s="252" t="s">
        <v>188</v>
      </c>
      <c r="I1163" s="252" t="s">
        <v>2007</v>
      </c>
      <c r="J1163" s="252" t="s">
        <v>96</v>
      </c>
      <c r="K1163" s="268" t="s">
        <v>200</v>
      </c>
      <c r="L1163" s="248" t="s">
        <v>153</v>
      </c>
      <c r="M1163" s="248"/>
      <c r="N1163" s="248"/>
      <c r="O1163" s="248"/>
    </row>
    <row r="1164" spans="1:15" hidden="1">
      <c r="A1164" s="272">
        <v>45838</v>
      </c>
      <c r="B1164" s="248" t="s">
        <v>2034</v>
      </c>
      <c r="C1164" s="248" t="s">
        <v>172</v>
      </c>
      <c r="D1164" s="248" t="s">
        <v>115</v>
      </c>
      <c r="E1164" s="250">
        <v>53000</v>
      </c>
      <c r="F1164" s="250">
        <v>94.483840838725555</v>
      </c>
      <c r="G1164" s="260">
        <v>579.64599999999996</v>
      </c>
      <c r="H1164" s="252" t="s">
        <v>191</v>
      </c>
      <c r="I1164" s="252" t="s">
        <v>2035</v>
      </c>
      <c r="J1164" s="252" t="s">
        <v>96</v>
      </c>
      <c r="K1164" s="268" t="s">
        <v>200</v>
      </c>
      <c r="L1164" s="248" t="s">
        <v>153</v>
      </c>
      <c r="M1164" s="248"/>
      <c r="N1164" s="248"/>
      <c r="O1164" s="248"/>
    </row>
    <row r="1165" spans="1:15" ht="15.6" hidden="1">
      <c r="A1165" s="326">
        <v>45839</v>
      </c>
      <c r="B1165" s="298" t="s">
        <v>2103</v>
      </c>
      <c r="C1165" s="299" t="s">
        <v>172</v>
      </c>
      <c r="D1165" s="300" t="s">
        <v>117</v>
      </c>
      <c r="E1165" s="301">
        <v>1000</v>
      </c>
      <c r="F1165" s="311">
        <f t="shared" ref="F1165:F1211" si="3">E1165/G1165</f>
        <v>1.7827139780891614</v>
      </c>
      <c r="G1165" s="312">
        <v>560.94248000000005</v>
      </c>
      <c r="H1165" s="302" t="s">
        <v>151</v>
      </c>
      <c r="I1165" s="303" t="s">
        <v>2119</v>
      </c>
      <c r="J1165" s="125" t="s">
        <v>96</v>
      </c>
      <c r="K1165" s="125" t="s">
        <v>1906</v>
      </c>
      <c r="L1165" s="143" t="s">
        <v>153</v>
      </c>
      <c r="M1165" s="125"/>
      <c r="N1165" s="125"/>
      <c r="O1165" s="125"/>
    </row>
    <row r="1166" spans="1:15" ht="15.6" hidden="1">
      <c r="A1166" s="326">
        <v>45839</v>
      </c>
      <c r="B1166" s="298" t="s">
        <v>2104</v>
      </c>
      <c r="C1166" s="299" t="s">
        <v>172</v>
      </c>
      <c r="D1166" s="300" t="s">
        <v>117</v>
      </c>
      <c r="E1166" s="301">
        <v>1000</v>
      </c>
      <c r="F1166" s="311">
        <f t="shared" si="3"/>
        <v>1.7827139780891614</v>
      </c>
      <c r="G1166" s="312">
        <v>560.94248000000005</v>
      </c>
      <c r="H1166" s="302" t="s">
        <v>151</v>
      </c>
      <c r="I1166" s="303" t="s">
        <v>2119</v>
      </c>
      <c r="J1166" s="125" t="s">
        <v>96</v>
      </c>
      <c r="K1166" s="125" t="s">
        <v>1906</v>
      </c>
      <c r="L1166" s="143" t="s">
        <v>153</v>
      </c>
      <c r="M1166" s="125"/>
      <c r="N1166" s="125"/>
      <c r="O1166" s="125"/>
    </row>
    <row r="1167" spans="1:15" ht="15.6" hidden="1">
      <c r="A1167" s="326">
        <v>45840</v>
      </c>
      <c r="B1167" s="298" t="s">
        <v>2103</v>
      </c>
      <c r="C1167" s="299" t="s">
        <v>172</v>
      </c>
      <c r="D1167" s="300" t="s">
        <v>117</v>
      </c>
      <c r="E1167" s="301">
        <v>1000</v>
      </c>
      <c r="F1167" s="311">
        <f t="shared" si="3"/>
        <v>1.7827139780891614</v>
      </c>
      <c r="G1167" s="312">
        <v>560.94248000000005</v>
      </c>
      <c r="H1167" s="302" t="s">
        <v>151</v>
      </c>
      <c r="I1167" s="303" t="s">
        <v>2119</v>
      </c>
      <c r="J1167" s="125" t="s">
        <v>96</v>
      </c>
      <c r="K1167" s="125" t="s">
        <v>1906</v>
      </c>
      <c r="L1167" s="143" t="s">
        <v>153</v>
      </c>
      <c r="M1167" s="125"/>
      <c r="N1167" s="125"/>
      <c r="O1167" s="125"/>
    </row>
    <row r="1168" spans="1:15" ht="15.6" hidden="1">
      <c r="A1168" s="326">
        <v>45840</v>
      </c>
      <c r="B1168" s="298" t="s">
        <v>2104</v>
      </c>
      <c r="C1168" s="299" t="s">
        <v>172</v>
      </c>
      <c r="D1168" s="300" t="s">
        <v>117</v>
      </c>
      <c r="E1168" s="301">
        <v>1000</v>
      </c>
      <c r="F1168" s="311">
        <f t="shared" si="3"/>
        <v>1.7827139780891614</v>
      </c>
      <c r="G1168" s="312">
        <v>560.94248000000005</v>
      </c>
      <c r="H1168" s="302" t="s">
        <v>151</v>
      </c>
      <c r="I1168" s="303" t="s">
        <v>2119</v>
      </c>
      <c r="J1168" s="125" t="s">
        <v>96</v>
      </c>
      <c r="K1168" s="125" t="s">
        <v>1906</v>
      </c>
      <c r="L1168" s="143" t="s">
        <v>153</v>
      </c>
      <c r="M1168" s="125"/>
      <c r="N1168" s="125"/>
      <c r="O1168" s="125"/>
    </row>
    <row r="1169" spans="1:15" ht="15.6" hidden="1">
      <c r="A1169" s="326">
        <v>45840</v>
      </c>
      <c r="B1169" s="327" t="s">
        <v>2131</v>
      </c>
      <c r="C1169" s="327" t="s">
        <v>172</v>
      </c>
      <c r="D1169" s="327" t="s">
        <v>116</v>
      </c>
      <c r="E1169" s="316">
        <v>1000</v>
      </c>
      <c r="F1169" s="311">
        <f t="shared" si="3"/>
        <v>1.7827139780891614</v>
      </c>
      <c r="G1169" s="312">
        <v>560.94248000000005</v>
      </c>
      <c r="H1169" s="327" t="s">
        <v>581</v>
      </c>
      <c r="I1169" s="125" t="s">
        <v>2168</v>
      </c>
      <c r="J1169" s="125" t="s">
        <v>96</v>
      </c>
      <c r="K1169" s="125" t="s">
        <v>1906</v>
      </c>
      <c r="L1169" s="143" t="s">
        <v>153</v>
      </c>
      <c r="M1169" s="125"/>
      <c r="N1169" s="125"/>
      <c r="O1169" s="125"/>
    </row>
    <row r="1170" spans="1:15" ht="15.6" hidden="1">
      <c r="A1170" s="326">
        <v>45840</v>
      </c>
      <c r="B1170" s="327" t="s">
        <v>2132</v>
      </c>
      <c r="C1170" s="327" t="s">
        <v>172</v>
      </c>
      <c r="D1170" s="327" t="s">
        <v>116</v>
      </c>
      <c r="E1170" s="316">
        <v>1000</v>
      </c>
      <c r="F1170" s="311">
        <f t="shared" si="3"/>
        <v>1.7827139780891614</v>
      </c>
      <c r="G1170" s="312">
        <v>560.94248000000005</v>
      </c>
      <c r="H1170" s="327" t="s">
        <v>581</v>
      </c>
      <c r="I1170" s="125" t="s">
        <v>2168</v>
      </c>
      <c r="J1170" s="125" t="s">
        <v>96</v>
      </c>
      <c r="K1170" s="125" t="s">
        <v>1906</v>
      </c>
      <c r="L1170" s="143" t="s">
        <v>153</v>
      </c>
      <c r="M1170" s="125"/>
      <c r="N1170" s="125"/>
      <c r="O1170" s="125"/>
    </row>
    <row r="1171" spans="1:15" ht="15.6" hidden="1">
      <c r="A1171" s="326">
        <v>45840</v>
      </c>
      <c r="B1171" s="327" t="s">
        <v>2325</v>
      </c>
      <c r="C1171" s="327" t="s">
        <v>302</v>
      </c>
      <c r="D1171" s="327" t="s">
        <v>116</v>
      </c>
      <c r="E1171" s="316">
        <v>20000</v>
      </c>
      <c r="F1171" s="311">
        <f t="shared" si="3"/>
        <v>35.654279561783227</v>
      </c>
      <c r="G1171" s="312">
        <v>560.94248000000005</v>
      </c>
      <c r="H1171" s="244" t="s">
        <v>581</v>
      </c>
      <c r="I1171" s="127" t="s">
        <v>2169</v>
      </c>
      <c r="J1171" s="125" t="s">
        <v>96</v>
      </c>
      <c r="K1171" s="125" t="s">
        <v>1906</v>
      </c>
      <c r="L1171" s="143" t="s">
        <v>153</v>
      </c>
      <c r="M1171" s="143"/>
      <c r="N1171" s="143"/>
      <c r="O1171" s="125"/>
    </row>
    <row r="1172" spans="1:15" ht="15.6" hidden="1">
      <c r="A1172" s="326">
        <v>45841</v>
      </c>
      <c r="B1172" s="298" t="s">
        <v>2103</v>
      </c>
      <c r="C1172" s="299" t="s">
        <v>172</v>
      </c>
      <c r="D1172" s="300" t="s">
        <v>117</v>
      </c>
      <c r="E1172" s="301">
        <v>1000</v>
      </c>
      <c r="F1172" s="311">
        <f t="shared" si="3"/>
        <v>1.7827139780891614</v>
      </c>
      <c r="G1172" s="312">
        <v>560.94248000000005</v>
      </c>
      <c r="H1172" s="302" t="s">
        <v>151</v>
      </c>
      <c r="I1172" s="303" t="s">
        <v>2119</v>
      </c>
      <c r="J1172" s="125" t="s">
        <v>96</v>
      </c>
      <c r="K1172" s="125" t="s">
        <v>1906</v>
      </c>
      <c r="L1172" s="143" t="s">
        <v>153</v>
      </c>
      <c r="M1172" s="125"/>
      <c r="N1172" s="125"/>
      <c r="O1172" s="125"/>
    </row>
    <row r="1173" spans="1:15" ht="15.6" hidden="1">
      <c r="A1173" s="326">
        <v>45841</v>
      </c>
      <c r="B1173" s="298" t="s">
        <v>2104</v>
      </c>
      <c r="C1173" s="299" t="s">
        <v>172</v>
      </c>
      <c r="D1173" s="300" t="s">
        <v>117</v>
      </c>
      <c r="E1173" s="301">
        <v>1000</v>
      </c>
      <c r="F1173" s="311">
        <f t="shared" si="3"/>
        <v>1.7827139780891614</v>
      </c>
      <c r="G1173" s="312">
        <v>560.94248000000005</v>
      </c>
      <c r="H1173" s="302" t="s">
        <v>151</v>
      </c>
      <c r="I1173" s="303" t="s">
        <v>2119</v>
      </c>
      <c r="J1173" s="125" t="s">
        <v>96</v>
      </c>
      <c r="K1173" s="125" t="s">
        <v>1906</v>
      </c>
      <c r="L1173" s="143" t="s">
        <v>153</v>
      </c>
      <c r="M1173" s="125"/>
      <c r="N1173" s="125"/>
      <c r="O1173" s="125"/>
    </row>
    <row r="1174" spans="1:15" ht="15.6" hidden="1">
      <c r="A1174" s="326">
        <v>45841</v>
      </c>
      <c r="B1174" s="327" t="s">
        <v>2133</v>
      </c>
      <c r="C1174" s="327" t="s">
        <v>172</v>
      </c>
      <c r="D1174" s="327" t="s">
        <v>116</v>
      </c>
      <c r="E1174" s="316">
        <v>1000</v>
      </c>
      <c r="F1174" s="311">
        <f t="shared" si="3"/>
        <v>1.7827139780891614</v>
      </c>
      <c r="G1174" s="312">
        <v>560.94248000000005</v>
      </c>
      <c r="H1174" s="327" t="s">
        <v>581</v>
      </c>
      <c r="I1174" s="125" t="s">
        <v>2168</v>
      </c>
      <c r="J1174" s="125" t="s">
        <v>96</v>
      </c>
      <c r="K1174" s="125" t="s">
        <v>1906</v>
      </c>
      <c r="L1174" s="143" t="s">
        <v>153</v>
      </c>
      <c r="M1174" s="125"/>
      <c r="N1174" s="125"/>
      <c r="O1174" s="125"/>
    </row>
    <row r="1175" spans="1:15" ht="15.6" hidden="1">
      <c r="A1175" s="326">
        <v>45841</v>
      </c>
      <c r="B1175" s="327" t="s">
        <v>2134</v>
      </c>
      <c r="C1175" s="327" t="s">
        <v>172</v>
      </c>
      <c r="D1175" s="327" t="s">
        <v>116</v>
      </c>
      <c r="E1175" s="316">
        <v>1000</v>
      </c>
      <c r="F1175" s="311">
        <f t="shared" si="3"/>
        <v>1.7827139780891614</v>
      </c>
      <c r="G1175" s="312">
        <v>560.94248000000005</v>
      </c>
      <c r="H1175" s="327" t="s">
        <v>581</v>
      </c>
      <c r="I1175" s="125" t="s">
        <v>2168</v>
      </c>
      <c r="J1175" s="125" t="s">
        <v>96</v>
      </c>
      <c r="K1175" s="125" t="s">
        <v>1906</v>
      </c>
      <c r="L1175" s="143" t="s">
        <v>153</v>
      </c>
      <c r="M1175" s="125"/>
      <c r="N1175" s="125"/>
      <c r="O1175" s="125"/>
    </row>
    <row r="1176" spans="1:15" ht="15.6" hidden="1">
      <c r="A1176" s="326">
        <v>45841</v>
      </c>
      <c r="B1176" s="179" t="s">
        <v>2193</v>
      </c>
      <c r="C1176" s="179" t="s">
        <v>172</v>
      </c>
      <c r="D1176" s="179" t="s">
        <v>115</v>
      </c>
      <c r="E1176" s="316">
        <v>1000</v>
      </c>
      <c r="F1176" s="311">
        <f t="shared" si="3"/>
        <v>1.7827139780891614</v>
      </c>
      <c r="G1176" s="312">
        <v>560.94248000000005</v>
      </c>
      <c r="H1176" s="179" t="s">
        <v>191</v>
      </c>
      <c r="I1176" s="179" t="s">
        <v>2204</v>
      </c>
      <c r="J1176" s="125" t="s">
        <v>96</v>
      </c>
      <c r="K1176" s="125" t="s">
        <v>1906</v>
      </c>
      <c r="L1176" s="143" t="s">
        <v>153</v>
      </c>
      <c r="M1176" s="125"/>
      <c r="N1176" s="125"/>
      <c r="O1176" s="125"/>
    </row>
    <row r="1177" spans="1:15" ht="15.6" hidden="1">
      <c r="A1177" s="326">
        <v>45841</v>
      </c>
      <c r="B1177" s="179" t="s">
        <v>2194</v>
      </c>
      <c r="C1177" s="179" t="s">
        <v>172</v>
      </c>
      <c r="D1177" s="179" t="s">
        <v>115</v>
      </c>
      <c r="E1177" s="316">
        <v>1000</v>
      </c>
      <c r="F1177" s="311">
        <f t="shared" si="3"/>
        <v>1.7827139780891614</v>
      </c>
      <c r="G1177" s="312">
        <v>560.94248000000005</v>
      </c>
      <c r="H1177" s="179" t="s">
        <v>191</v>
      </c>
      <c r="I1177" s="179" t="s">
        <v>2204</v>
      </c>
      <c r="J1177" s="125" t="s">
        <v>96</v>
      </c>
      <c r="K1177" s="125" t="s">
        <v>1906</v>
      </c>
      <c r="L1177" s="143" t="s">
        <v>153</v>
      </c>
      <c r="M1177" s="125"/>
      <c r="N1177" s="125"/>
      <c r="O1177" s="125"/>
    </row>
    <row r="1178" spans="1:15" ht="15.6" hidden="1">
      <c r="A1178" s="326">
        <v>45841</v>
      </c>
      <c r="B1178" s="179" t="s">
        <v>2195</v>
      </c>
      <c r="C1178" s="179" t="s">
        <v>172</v>
      </c>
      <c r="D1178" s="179" t="s">
        <v>115</v>
      </c>
      <c r="E1178" s="316">
        <v>1000</v>
      </c>
      <c r="F1178" s="311">
        <f t="shared" si="3"/>
        <v>1.7827139780891614</v>
      </c>
      <c r="G1178" s="312">
        <v>560.94248000000005</v>
      </c>
      <c r="H1178" s="179" t="s">
        <v>191</v>
      </c>
      <c r="I1178" s="179" t="s">
        <v>2204</v>
      </c>
      <c r="J1178" s="125" t="s">
        <v>96</v>
      </c>
      <c r="K1178" s="125" t="s">
        <v>1906</v>
      </c>
      <c r="L1178" s="143" t="s">
        <v>153</v>
      </c>
      <c r="M1178" s="125"/>
      <c r="N1178" s="125"/>
      <c r="O1178" s="125"/>
    </row>
    <row r="1179" spans="1:15" ht="15.6" hidden="1">
      <c r="A1179" s="326">
        <v>45841</v>
      </c>
      <c r="B1179" s="179" t="s">
        <v>2196</v>
      </c>
      <c r="C1179" s="179" t="s">
        <v>172</v>
      </c>
      <c r="D1179" s="179" t="s">
        <v>115</v>
      </c>
      <c r="E1179" s="316">
        <v>1000</v>
      </c>
      <c r="F1179" s="311">
        <f t="shared" si="3"/>
        <v>1.7827139780891614</v>
      </c>
      <c r="G1179" s="312">
        <v>560.94248000000005</v>
      </c>
      <c r="H1179" s="179" t="s">
        <v>191</v>
      </c>
      <c r="I1179" s="179" t="s">
        <v>2204</v>
      </c>
      <c r="J1179" s="125" t="s">
        <v>96</v>
      </c>
      <c r="K1179" s="125" t="s">
        <v>1906</v>
      </c>
      <c r="L1179" s="143" t="s">
        <v>153</v>
      </c>
      <c r="M1179" s="125"/>
      <c r="N1179" s="125"/>
      <c r="O1179" s="125"/>
    </row>
    <row r="1180" spans="1:15" ht="15.6" hidden="1">
      <c r="A1180" s="326">
        <v>45841</v>
      </c>
      <c r="B1180" s="177" t="s">
        <v>2246</v>
      </c>
      <c r="C1180" s="177" t="s">
        <v>121</v>
      </c>
      <c r="D1180" s="177" t="s">
        <v>115</v>
      </c>
      <c r="E1180" s="324">
        <v>300000</v>
      </c>
      <c r="F1180" s="311">
        <f t="shared" si="3"/>
        <v>534.81419342674849</v>
      </c>
      <c r="G1180" s="312">
        <v>560.94248000000005</v>
      </c>
      <c r="H1180" s="327" t="s">
        <v>146</v>
      </c>
      <c r="I1180" s="125" t="s">
        <v>2247</v>
      </c>
      <c r="J1180" s="125" t="s">
        <v>96</v>
      </c>
      <c r="K1180" s="125" t="s">
        <v>1906</v>
      </c>
      <c r="L1180" s="143" t="s">
        <v>153</v>
      </c>
      <c r="M1180" s="125"/>
      <c r="N1180" s="125"/>
      <c r="O1180" s="125"/>
    </row>
    <row r="1181" spans="1:15" ht="15.6" hidden="1">
      <c r="A1181" s="326">
        <v>45841</v>
      </c>
      <c r="B1181" s="320" t="s">
        <v>2248</v>
      </c>
      <c r="C1181" s="177" t="s">
        <v>121</v>
      </c>
      <c r="D1181" s="177" t="s">
        <v>115</v>
      </c>
      <c r="E1181" s="324">
        <v>300000</v>
      </c>
      <c r="F1181" s="311">
        <f t="shared" si="3"/>
        <v>534.81419342674849</v>
      </c>
      <c r="G1181" s="312">
        <v>560.94248000000005</v>
      </c>
      <c r="H1181" s="327" t="s">
        <v>146</v>
      </c>
      <c r="I1181" s="125" t="s">
        <v>2249</v>
      </c>
      <c r="J1181" s="125" t="s">
        <v>96</v>
      </c>
      <c r="K1181" s="125" t="s">
        <v>1906</v>
      </c>
      <c r="L1181" s="143" t="s">
        <v>153</v>
      </c>
      <c r="M1181" s="125"/>
      <c r="N1181" s="125"/>
      <c r="O1181" s="125"/>
    </row>
    <row r="1182" spans="1:15" ht="15.6" hidden="1">
      <c r="A1182" s="326">
        <v>45841</v>
      </c>
      <c r="B1182" s="177" t="s">
        <v>2250</v>
      </c>
      <c r="C1182" s="177" t="s">
        <v>302</v>
      </c>
      <c r="D1182" s="328" t="s">
        <v>116</v>
      </c>
      <c r="E1182" s="324">
        <v>260000</v>
      </c>
      <c r="F1182" s="311">
        <f t="shared" si="3"/>
        <v>463.50563430318198</v>
      </c>
      <c r="G1182" s="312">
        <v>560.94248000000005</v>
      </c>
      <c r="H1182" s="327" t="s">
        <v>146</v>
      </c>
      <c r="I1182" s="125" t="s">
        <v>2251</v>
      </c>
      <c r="J1182" s="125" t="s">
        <v>96</v>
      </c>
      <c r="K1182" s="125" t="s">
        <v>1906</v>
      </c>
      <c r="L1182" s="143" t="s">
        <v>153</v>
      </c>
      <c r="M1182" s="125"/>
      <c r="N1182" s="125"/>
      <c r="O1182" s="125"/>
    </row>
    <row r="1183" spans="1:15" ht="15.6" hidden="1">
      <c r="A1183" s="326">
        <v>45842</v>
      </c>
      <c r="B1183" s="298" t="s">
        <v>2103</v>
      </c>
      <c r="C1183" s="299" t="s">
        <v>172</v>
      </c>
      <c r="D1183" s="300" t="s">
        <v>117</v>
      </c>
      <c r="E1183" s="301">
        <v>1000</v>
      </c>
      <c r="F1183" s="311">
        <f t="shared" si="3"/>
        <v>1.7827139780891614</v>
      </c>
      <c r="G1183" s="312">
        <v>560.94248000000005</v>
      </c>
      <c r="H1183" s="302" t="s">
        <v>151</v>
      </c>
      <c r="I1183" s="303" t="s">
        <v>2119</v>
      </c>
      <c r="J1183" s="125" t="s">
        <v>96</v>
      </c>
      <c r="K1183" s="125" t="s">
        <v>1906</v>
      </c>
      <c r="L1183" s="143" t="s">
        <v>153</v>
      </c>
      <c r="M1183" s="125"/>
      <c r="N1183" s="125"/>
      <c r="O1183" s="125"/>
    </row>
    <row r="1184" spans="1:15" ht="15.6" hidden="1">
      <c r="A1184" s="326">
        <v>45842</v>
      </c>
      <c r="B1184" s="298" t="s">
        <v>2104</v>
      </c>
      <c r="C1184" s="299" t="s">
        <v>172</v>
      </c>
      <c r="D1184" s="300" t="s">
        <v>117</v>
      </c>
      <c r="E1184" s="301">
        <v>1000</v>
      </c>
      <c r="F1184" s="311">
        <f t="shared" si="3"/>
        <v>1.7827139780891614</v>
      </c>
      <c r="G1184" s="312">
        <v>560.94248000000005</v>
      </c>
      <c r="H1184" s="302" t="s">
        <v>151</v>
      </c>
      <c r="I1184" s="303" t="s">
        <v>2119</v>
      </c>
      <c r="J1184" s="125" t="s">
        <v>96</v>
      </c>
      <c r="K1184" s="125" t="s">
        <v>1906</v>
      </c>
      <c r="L1184" s="143" t="s">
        <v>153</v>
      </c>
      <c r="M1184" s="125"/>
      <c r="N1184" s="125"/>
      <c r="O1184" s="125"/>
    </row>
    <row r="1185" spans="1:15" ht="15.6" hidden="1">
      <c r="A1185" s="326">
        <v>45843</v>
      </c>
      <c r="B1185" s="298" t="s">
        <v>2103</v>
      </c>
      <c r="C1185" s="299" t="s">
        <v>172</v>
      </c>
      <c r="D1185" s="300" t="s">
        <v>117</v>
      </c>
      <c r="E1185" s="301">
        <v>1000</v>
      </c>
      <c r="F1185" s="311">
        <f t="shared" si="3"/>
        <v>1.7827139780891614</v>
      </c>
      <c r="G1185" s="312">
        <v>560.94248000000005</v>
      </c>
      <c r="H1185" s="302" t="s">
        <v>151</v>
      </c>
      <c r="I1185" s="303" t="s">
        <v>2119</v>
      </c>
      <c r="J1185" s="125" t="s">
        <v>96</v>
      </c>
      <c r="K1185" s="125" t="s">
        <v>1906</v>
      </c>
      <c r="L1185" s="143" t="s">
        <v>153</v>
      </c>
      <c r="M1185" s="125"/>
      <c r="N1185" s="125"/>
      <c r="O1185" s="125"/>
    </row>
    <row r="1186" spans="1:15" ht="15.6" hidden="1">
      <c r="A1186" s="326">
        <v>45843</v>
      </c>
      <c r="B1186" s="298" t="s">
        <v>2104</v>
      </c>
      <c r="C1186" s="299" t="s">
        <v>172</v>
      </c>
      <c r="D1186" s="300" t="s">
        <v>117</v>
      </c>
      <c r="E1186" s="301">
        <v>1000</v>
      </c>
      <c r="F1186" s="311">
        <f t="shared" si="3"/>
        <v>1.7827139780891614</v>
      </c>
      <c r="G1186" s="312">
        <v>560.94248000000005</v>
      </c>
      <c r="H1186" s="302" t="s">
        <v>151</v>
      </c>
      <c r="I1186" s="303" t="s">
        <v>2119</v>
      </c>
      <c r="J1186" s="125" t="s">
        <v>96</v>
      </c>
      <c r="K1186" s="125" t="s">
        <v>1906</v>
      </c>
      <c r="L1186" s="143" t="s">
        <v>153</v>
      </c>
      <c r="M1186" s="125"/>
      <c r="N1186" s="125"/>
      <c r="O1186" s="125"/>
    </row>
    <row r="1187" spans="1:15" ht="15.6" hidden="1">
      <c r="A1187" s="326">
        <v>45844</v>
      </c>
      <c r="B1187" s="298" t="s">
        <v>2103</v>
      </c>
      <c r="C1187" s="299" t="s">
        <v>172</v>
      </c>
      <c r="D1187" s="300" t="s">
        <v>117</v>
      </c>
      <c r="E1187" s="301">
        <v>1000</v>
      </c>
      <c r="F1187" s="311">
        <f t="shared" si="3"/>
        <v>1.7827139780891614</v>
      </c>
      <c r="G1187" s="312">
        <v>560.94248000000005</v>
      </c>
      <c r="H1187" s="302" t="s">
        <v>151</v>
      </c>
      <c r="I1187" s="303" t="s">
        <v>2119</v>
      </c>
      <c r="J1187" s="125" t="s">
        <v>96</v>
      </c>
      <c r="K1187" s="125" t="s">
        <v>1906</v>
      </c>
      <c r="L1187" s="143" t="s">
        <v>153</v>
      </c>
      <c r="M1187" s="125"/>
      <c r="N1187" s="125"/>
      <c r="O1187" s="125"/>
    </row>
    <row r="1188" spans="1:15" ht="15.6" hidden="1">
      <c r="A1188" s="326">
        <v>45844</v>
      </c>
      <c r="B1188" s="298" t="s">
        <v>2104</v>
      </c>
      <c r="C1188" s="299" t="s">
        <v>172</v>
      </c>
      <c r="D1188" s="300" t="s">
        <v>117</v>
      </c>
      <c r="E1188" s="301">
        <v>1000</v>
      </c>
      <c r="F1188" s="311">
        <f t="shared" si="3"/>
        <v>1.7827139780891614</v>
      </c>
      <c r="G1188" s="312">
        <v>560.94248000000005</v>
      </c>
      <c r="H1188" s="302" t="s">
        <v>151</v>
      </c>
      <c r="I1188" s="303" t="s">
        <v>2119</v>
      </c>
      <c r="J1188" s="125" t="s">
        <v>96</v>
      </c>
      <c r="K1188" s="125" t="s">
        <v>1906</v>
      </c>
      <c r="L1188" s="143" t="s">
        <v>153</v>
      </c>
      <c r="M1188" s="125"/>
      <c r="N1188" s="125"/>
      <c r="O1188" s="125"/>
    </row>
    <row r="1189" spans="1:15" ht="15.6" hidden="1">
      <c r="A1189" s="326">
        <v>45845</v>
      </c>
      <c r="B1189" s="298" t="s">
        <v>2103</v>
      </c>
      <c r="C1189" s="299" t="s">
        <v>172</v>
      </c>
      <c r="D1189" s="300" t="s">
        <v>117</v>
      </c>
      <c r="E1189" s="301">
        <v>1000</v>
      </c>
      <c r="F1189" s="311">
        <f t="shared" si="3"/>
        <v>1.7827139780891614</v>
      </c>
      <c r="G1189" s="312">
        <v>560.94248000000005</v>
      </c>
      <c r="H1189" s="302" t="s">
        <v>151</v>
      </c>
      <c r="I1189" s="303" t="s">
        <v>2119</v>
      </c>
      <c r="J1189" s="125" t="s">
        <v>96</v>
      </c>
      <c r="K1189" s="125" t="s">
        <v>1906</v>
      </c>
      <c r="L1189" s="143" t="s">
        <v>153</v>
      </c>
      <c r="M1189" s="125"/>
      <c r="N1189" s="125"/>
      <c r="O1189" s="125"/>
    </row>
    <row r="1190" spans="1:15" ht="15.6" hidden="1">
      <c r="A1190" s="326">
        <v>45845</v>
      </c>
      <c r="B1190" s="298" t="s">
        <v>2104</v>
      </c>
      <c r="C1190" s="299" t="s">
        <v>172</v>
      </c>
      <c r="D1190" s="300" t="s">
        <v>117</v>
      </c>
      <c r="E1190" s="301">
        <v>1000</v>
      </c>
      <c r="F1190" s="311">
        <f t="shared" si="3"/>
        <v>1.7827139780891614</v>
      </c>
      <c r="G1190" s="312">
        <v>560.94248000000005</v>
      </c>
      <c r="H1190" s="302" t="s">
        <v>151</v>
      </c>
      <c r="I1190" s="303" t="s">
        <v>2119</v>
      </c>
      <c r="J1190" s="125" t="s">
        <v>96</v>
      </c>
      <c r="K1190" s="125" t="s">
        <v>1906</v>
      </c>
      <c r="L1190" s="143" t="s">
        <v>153</v>
      </c>
      <c r="M1190" s="125"/>
      <c r="N1190" s="125"/>
      <c r="O1190" s="125"/>
    </row>
    <row r="1191" spans="1:15" ht="15.6" hidden="1">
      <c r="A1191" s="326">
        <v>45846</v>
      </c>
      <c r="B1191" s="298" t="s">
        <v>2105</v>
      </c>
      <c r="C1191" s="299" t="s">
        <v>125</v>
      </c>
      <c r="D1191" s="300" t="s">
        <v>117</v>
      </c>
      <c r="E1191" s="298">
        <v>174625</v>
      </c>
      <c r="F1191" s="311">
        <f t="shared" si="3"/>
        <v>311.30642842381985</v>
      </c>
      <c r="G1191" s="312">
        <v>560.94248000000005</v>
      </c>
      <c r="H1191" s="302" t="s">
        <v>151</v>
      </c>
      <c r="I1191" s="298" t="s">
        <v>2120</v>
      </c>
      <c r="J1191" s="125" t="s">
        <v>96</v>
      </c>
      <c r="K1191" s="125" t="s">
        <v>1906</v>
      </c>
      <c r="L1191" s="143" t="s">
        <v>153</v>
      </c>
      <c r="M1191" s="125"/>
      <c r="N1191" s="125"/>
      <c r="O1191" s="125"/>
    </row>
    <row r="1192" spans="1:15" ht="15.6" hidden="1">
      <c r="A1192" s="326">
        <v>45846</v>
      </c>
      <c r="B1192" s="298" t="s">
        <v>2106</v>
      </c>
      <c r="C1192" s="299" t="s">
        <v>172</v>
      </c>
      <c r="D1192" s="300" t="s">
        <v>117</v>
      </c>
      <c r="E1192" s="298">
        <v>1000</v>
      </c>
      <c r="F1192" s="311">
        <f t="shared" si="3"/>
        <v>1.7827139780891614</v>
      </c>
      <c r="G1192" s="312">
        <v>560.94248000000005</v>
      </c>
      <c r="H1192" s="302" t="s">
        <v>151</v>
      </c>
      <c r="I1192" s="303" t="s">
        <v>2119</v>
      </c>
      <c r="J1192" s="125" t="s">
        <v>96</v>
      </c>
      <c r="K1192" s="125" t="s">
        <v>1906</v>
      </c>
      <c r="L1192" s="143" t="s">
        <v>153</v>
      </c>
      <c r="M1192" s="125"/>
      <c r="N1192" s="125"/>
      <c r="O1192" s="125"/>
    </row>
    <row r="1193" spans="1:15" ht="15.6" hidden="1">
      <c r="A1193" s="326">
        <v>45846</v>
      </c>
      <c r="B1193" s="298" t="s">
        <v>2104</v>
      </c>
      <c r="C1193" s="299" t="s">
        <v>172</v>
      </c>
      <c r="D1193" s="300" t="s">
        <v>117</v>
      </c>
      <c r="E1193" s="298">
        <v>1000</v>
      </c>
      <c r="F1193" s="311">
        <f t="shared" si="3"/>
        <v>1.7827139780891614</v>
      </c>
      <c r="G1193" s="312">
        <v>560.94248000000005</v>
      </c>
      <c r="H1193" s="302" t="s">
        <v>151</v>
      </c>
      <c r="I1193" s="303" t="s">
        <v>2119</v>
      </c>
      <c r="J1193" s="125" t="s">
        <v>96</v>
      </c>
      <c r="K1193" s="125" t="s">
        <v>1906</v>
      </c>
      <c r="L1193" s="143" t="s">
        <v>153</v>
      </c>
      <c r="M1193" s="125"/>
      <c r="N1193" s="125"/>
      <c r="O1193" s="125"/>
    </row>
    <row r="1194" spans="1:15" ht="15.6" hidden="1">
      <c r="A1194" s="326">
        <v>45846</v>
      </c>
      <c r="B1194" s="179" t="s">
        <v>2197</v>
      </c>
      <c r="C1194" s="179" t="s">
        <v>170</v>
      </c>
      <c r="D1194" s="327" t="s">
        <v>116</v>
      </c>
      <c r="E1194" s="316">
        <v>2000</v>
      </c>
      <c r="F1194" s="311">
        <f t="shared" si="3"/>
        <v>3.5654279561783229</v>
      </c>
      <c r="G1194" s="312">
        <v>560.94248000000005</v>
      </c>
      <c r="H1194" s="244" t="s">
        <v>191</v>
      </c>
      <c r="I1194" s="244" t="s">
        <v>2205</v>
      </c>
      <c r="J1194" s="125" t="s">
        <v>96</v>
      </c>
      <c r="K1194" s="125" t="s">
        <v>1906</v>
      </c>
      <c r="L1194" s="143" t="s">
        <v>153</v>
      </c>
      <c r="M1194" s="125"/>
      <c r="N1194" s="125"/>
      <c r="O1194" s="125"/>
    </row>
    <row r="1195" spans="1:15" ht="15.6" hidden="1">
      <c r="A1195" s="326">
        <v>45847</v>
      </c>
      <c r="B1195" s="298" t="s">
        <v>2107</v>
      </c>
      <c r="C1195" s="299" t="s">
        <v>172</v>
      </c>
      <c r="D1195" s="300" t="s">
        <v>117</v>
      </c>
      <c r="E1195" s="298">
        <v>1000</v>
      </c>
      <c r="F1195" s="311">
        <f t="shared" si="3"/>
        <v>1.7827139780891614</v>
      </c>
      <c r="G1195" s="312">
        <v>560.94248000000005</v>
      </c>
      <c r="H1195" s="302" t="s">
        <v>151</v>
      </c>
      <c r="I1195" s="303" t="s">
        <v>2119</v>
      </c>
      <c r="J1195" s="125" t="s">
        <v>96</v>
      </c>
      <c r="K1195" s="125" t="s">
        <v>1906</v>
      </c>
      <c r="L1195" s="143" t="s">
        <v>153</v>
      </c>
      <c r="M1195" s="125"/>
      <c r="N1195" s="125"/>
      <c r="O1195" s="125"/>
    </row>
    <row r="1196" spans="1:15" ht="15.6" hidden="1">
      <c r="A1196" s="326">
        <v>45847</v>
      </c>
      <c r="B1196" s="298" t="s">
        <v>2108</v>
      </c>
      <c r="C1196" s="299" t="s">
        <v>172</v>
      </c>
      <c r="D1196" s="300" t="s">
        <v>117</v>
      </c>
      <c r="E1196" s="298">
        <v>1000</v>
      </c>
      <c r="F1196" s="311">
        <f t="shared" si="3"/>
        <v>1.7827139780891614</v>
      </c>
      <c r="G1196" s="312">
        <v>560.94248000000005</v>
      </c>
      <c r="H1196" s="302" t="s">
        <v>151</v>
      </c>
      <c r="I1196" s="303" t="s">
        <v>2119</v>
      </c>
      <c r="J1196" s="125" t="s">
        <v>96</v>
      </c>
      <c r="K1196" s="125" t="s">
        <v>1906</v>
      </c>
      <c r="L1196" s="143" t="s">
        <v>153</v>
      </c>
      <c r="M1196" s="125"/>
      <c r="N1196" s="125"/>
      <c r="O1196" s="125"/>
    </row>
    <row r="1197" spans="1:15" ht="15.6" hidden="1">
      <c r="A1197" s="326">
        <v>45847</v>
      </c>
      <c r="B1197" s="298" t="s">
        <v>2104</v>
      </c>
      <c r="C1197" s="299" t="s">
        <v>172</v>
      </c>
      <c r="D1197" s="300" t="s">
        <v>117</v>
      </c>
      <c r="E1197" s="298">
        <v>1000</v>
      </c>
      <c r="F1197" s="311">
        <f t="shared" si="3"/>
        <v>1.7827139780891614</v>
      </c>
      <c r="G1197" s="312">
        <v>560.94248000000005</v>
      </c>
      <c r="H1197" s="302" t="s">
        <v>151</v>
      </c>
      <c r="I1197" s="303" t="s">
        <v>2119</v>
      </c>
      <c r="J1197" s="125" t="s">
        <v>96</v>
      </c>
      <c r="K1197" s="125" t="s">
        <v>1906</v>
      </c>
      <c r="L1197" s="143" t="s">
        <v>153</v>
      </c>
      <c r="M1197" s="125"/>
      <c r="N1197" s="125"/>
      <c r="O1197" s="125"/>
    </row>
    <row r="1198" spans="1:15" ht="15.6" hidden="1">
      <c r="A1198" s="326">
        <v>45847</v>
      </c>
      <c r="B1198" s="329" t="s">
        <v>2336</v>
      </c>
      <c r="C1198" s="330" t="s">
        <v>172</v>
      </c>
      <c r="D1198" s="329" t="s">
        <v>115</v>
      </c>
      <c r="E1198" s="330">
        <v>1000</v>
      </c>
      <c r="F1198" s="311">
        <f t="shared" si="3"/>
        <v>1.7827139780891614</v>
      </c>
      <c r="G1198" s="312">
        <v>560.94248000000005</v>
      </c>
      <c r="H1198" s="331" t="s">
        <v>198</v>
      </c>
      <c r="I1198" s="307" t="s">
        <v>2130</v>
      </c>
      <c r="J1198" s="125" t="s">
        <v>96</v>
      </c>
      <c r="K1198" s="125" t="s">
        <v>1906</v>
      </c>
      <c r="L1198" s="143" t="s">
        <v>153</v>
      </c>
      <c r="M1198" s="125"/>
      <c r="N1198" s="125"/>
      <c r="O1198" s="125"/>
    </row>
    <row r="1199" spans="1:15" ht="15.6" hidden="1">
      <c r="A1199" s="326">
        <v>45847</v>
      </c>
      <c r="B1199" s="329" t="s">
        <v>2121</v>
      </c>
      <c r="C1199" s="330" t="s">
        <v>172</v>
      </c>
      <c r="D1199" s="329" t="s">
        <v>115</v>
      </c>
      <c r="E1199" s="330">
        <v>1000</v>
      </c>
      <c r="F1199" s="311">
        <f t="shared" si="3"/>
        <v>1.7827139780891614</v>
      </c>
      <c r="G1199" s="312">
        <v>560.94248000000005</v>
      </c>
      <c r="H1199" s="331" t="s">
        <v>198</v>
      </c>
      <c r="I1199" s="307" t="s">
        <v>2130</v>
      </c>
      <c r="J1199" s="125" t="s">
        <v>96</v>
      </c>
      <c r="K1199" s="125" t="s">
        <v>1906</v>
      </c>
      <c r="L1199" s="143" t="s">
        <v>153</v>
      </c>
      <c r="M1199" s="125"/>
      <c r="N1199" s="125"/>
      <c r="O1199" s="125"/>
    </row>
    <row r="1200" spans="1:15" ht="15.6" hidden="1">
      <c r="A1200" s="326">
        <v>45848</v>
      </c>
      <c r="B1200" s="298" t="s">
        <v>2103</v>
      </c>
      <c r="C1200" s="299" t="s">
        <v>172</v>
      </c>
      <c r="D1200" s="300" t="s">
        <v>117</v>
      </c>
      <c r="E1200" s="298">
        <v>1000</v>
      </c>
      <c r="F1200" s="311">
        <f t="shared" si="3"/>
        <v>1.7827139780891614</v>
      </c>
      <c r="G1200" s="312">
        <v>560.94248000000005</v>
      </c>
      <c r="H1200" s="302" t="s">
        <v>151</v>
      </c>
      <c r="I1200" s="303" t="s">
        <v>2119</v>
      </c>
      <c r="J1200" s="125" t="s">
        <v>96</v>
      </c>
      <c r="K1200" s="125" t="s">
        <v>1906</v>
      </c>
      <c r="L1200" s="143" t="s">
        <v>153</v>
      </c>
      <c r="M1200" s="125"/>
      <c r="N1200" s="125"/>
      <c r="O1200" s="125"/>
    </row>
    <row r="1201" spans="1:15" ht="15.6" hidden="1">
      <c r="A1201" s="326">
        <v>45848</v>
      </c>
      <c r="B1201" s="298" t="s">
        <v>2104</v>
      </c>
      <c r="C1201" s="299" t="s">
        <v>172</v>
      </c>
      <c r="D1201" s="300" t="s">
        <v>117</v>
      </c>
      <c r="E1201" s="298">
        <v>1000</v>
      </c>
      <c r="F1201" s="311">
        <f t="shared" si="3"/>
        <v>1.7827139780891614</v>
      </c>
      <c r="G1201" s="312">
        <v>560.94248000000005</v>
      </c>
      <c r="H1201" s="302" t="s">
        <v>151</v>
      </c>
      <c r="I1201" s="303" t="s">
        <v>2119</v>
      </c>
      <c r="J1201" s="125" t="s">
        <v>96</v>
      </c>
      <c r="K1201" s="125" t="s">
        <v>1906</v>
      </c>
      <c r="L1201" s="143" t="s">
        <v>153</v>
      </c>
      <c r="M1201" s="125"/>
      <c r="N1201" s="125"/>
      <c r="O1201" s="125"/>
    </row>
    <row r="1202" spans="1:15" ht="15.6" hidden="1">
      <c r="A1202" s="326">
        <v>45848</v>
      </c>
      <c r="B1202" s="327" t="s">
        <v>2326</v>
      </c>
      <c r="C1202" s="327" t="s">
        <v>1558</v>
      </c>
      <c r="D1202" s="327" t="s">
        <v>440</v>
      </c>
      <c r="E1202" s="316">
        <v>-60000</v>
      </c>
      <c r="F1202" s="311">
        <f t="shared" si="3"/>
        <v>-106.96283868534969</v>
      </c>
      <c r="G1202" s="312">
        <v>560.94248000000005</v>
      </c>
      <c r="H1202" s="244" t="s">
        <v>581</v>
      </c>
      <c r="I1202" s="127" t="s">
        <v>2170</v>
      </c>
      <c r="J1202" s="125" t="s">
        <v>96</v>
      </c>
      <c r="K1202" s="125" t="s">
        <v>1906</v>
      </c>
      <c r="L1202" s="143" t="s">
        <v>153</v>
      </c>
      <c r="M1202" s="125"/>
      <c r="N1202" s="125"/>
      <c r="O1202" s="125"/>
    </row>
    <row r="1203" spans="1:15" ht="15.6" hidden="1">
      <c r="A1203" s="326">
        <v>45849</v>
      </c>
      <c r="B1203" s="298" t="s">
        <v>2103</v>
      </c>
      <c r="C1203" s="299" t="s">
        <v>172</v>
      </c>
      <c r="D1203" s="300" t="s">
        <v>117</v>
      </c>
      <c r="E1203" s="298">
        <v>1000</v>
      </c>
      <c r="F1203" s="311">
        <f t="shared" si="3"/>
        <v>1.7827139780891614</v>
      </c>
      <c r="G1203" s="312">
        <v>560.94248000000005</v>
      </c>
      <c r="H1203" s="302" t="s">
        <v>151</v>
      </c>
      <c r="I1203" s="303" t="s">
        <v>2119</v>
      </c>
      <c r="J1203" s="125" t="s">
        <v>96</v>
      </c>
      <c r="K1203" s="125" t="s">
        <v>1906</v>
      </c>
      <c r="L1203" s="143" t="s">
        <v>153</v>
      </c>
      <c r="M1203" s="125"/>
      <c r="N1203" s="125"/>
      <c r="O1203" s="125"/>
    </row>
    <row r="1204" spans="1:15" ht="15.6" hidden="1">
      <c r="A1204" s="326">
        <v>45849</v>
      </c>
      <c r="B1204" s="298" t="s">
        <v>2104</v>
      </c>
      <c r="C1204" s="299" t="s">
        <v>172</v>
      </c>
      <c r="D1204" s="300" t="s">
        <v>117</v>
      </c>
      <c r="E1204" s="298">
        <v>1000</v>
      </c>
      <c r="F1204" s="311">
        <f t="shared" si="3"/>
        <v>1.7827139780891614</v>
      </c>
      <c r="G1204" s="312">
        <v>560.94248000000005</v>
      </c>
      <c r="H1204" s="302" t="s">
        <v>151</v>
      </c>
      <c r="I1204" s="303" t="s">
        <v>2119</v>
      </c>
      <c r="J1204" s="125" t="s">
        <v>96</v>
      </c>
      <c r="K1204" s="125" t="s">
        <v>1906</v>
      </c>
      <c r="L1204" s="143" t="s">
        <v>153</v>
      </c>
      <c r="M1204" s="125"/>
      <c r="N1204" s="125"/>
      <c r="O1204" s="125"/>
    </row>
    <row r="1205" spans="1:15" ht="15.6" hidden="1">
      <c r="A1205" s="326">
        <v>45849</v>
      </c>
      <c r="B1205" s="329" t="s">
        <v>2122</v>
      </c>
      <c r="C1205" s="330" t="s">
        <v>172</v>
      </c>
      <c r="D1205" s="329" t="s">
        <v>115</v>
      </c>
      <c r="E1205" s="330">
        <v>1000</v>
      </c>
      <c r="F1205" s="311">
        <f t="shared" si="3"/>
        <v>1.7827139780891614</v>
      </c>
      <c r="G1205" s="312">
        <v>560.94248000000005</v>
      </c>
      <c r="H1205" s="331" t="s">
        <v>198</v>
      </c>
      <c r="I1205" s="307" t="s">
        <v>2130</v>
      </c>
      <c r="J1205" s="125" t="s">
        <v>96</v>
      </c>
      <c r="K1205" s="125" t="s">
        <v>1906</v>
      </c>
      <c r="L1205" s="143" t="s">
        <v>153</v>
      </c>
      <c r="M1205" s="125"/>
      <c r="N1205" s="125"/>
      <c r="O1205" s="125"/>
    </row>
    <row r="1206" spans="1:15" ht="15.6" hidden="1">
      <c r="A1206" s="326">
        <v>45849</v>
      </c>
      <c r="B1206" s="329" t="s">
        <v>2121</v>
      </c>
      <c r="C1206" s="330" t="s">
        <v>172</v>
      </c>
      <c r="D1206" s="329" t="s">
        <v>115</v>
      </c>
      <c r="E1206" s="330">
        <v>1000</v>
      </c>
      <c r="F1206" s="311">
        <f t="shared" si="3"/>
        <v>1.7827139780891614</v>
      </c>
      <c r="G1206" s="312">
        <v>560.94248000000005</v>
      </c>
      <c r="H1206" s="331" t="s">
        <v>198</v>
      </c>
      <c r="I1206" s="307" t="s">
        <v>2130</v>
      </c>
      <c r="J1206" s="125" t="s">
        <v>96</v>
      </c>
      <c r="K1206" s="125" t="s">
        <v>1906</v>
      </c>
      <c r="L1206" s="143" t="s">
        <v>153</v>
      </c>
      <c r="M1206" s="125"/>
      <c r="N1206" s="125"/>
      <c r="O1206" s="125"/>
    </row>
    <row r="1207" spans="1:15" ht="15.6" hidden="1">
      <c r="A1207" s="326">
        <v>45849</v>
      </c>
      <c r="B1207" s="327" t="s">
        <v>2135</v>
      </c>
      <c r="C1207" s="327" t="s">
        <v>172</v>
      </c>
      <c r="D1207" s="327" t="s">
        <v>116</v>
      </c>
      <c r="E1207" s="316">
        <v>1000</v>
      </c>
      <c r="F1207" s="311">
        <f t="shared" si="3"/>
        <v>1.7827139780891614</v>
      </c>
      <c r="G1207" s="312">
        <v>560.94248000000005</v>
      </c>
      <c r="H1207" s="327" t="s">
        <v>581</v>
      </c>
      <c r="I1207" s="125" t="s">
        <v>2168</v>
      </c>
      <c r="J1207" s="125" t="s">
        <v>96</v>
      </c>
      <c r="K1207" s="125" t="s">
        <v>1906</v>
      </c>
      <c r="L1207" s="143" t="s">
        <v>153</v>
      </c>
      <c r="M1207" s="125"/>
      <c r="N1207" s="125"/>
      <c r="O1207" s="125"/>
    </row>
    <row r="1208" spans="1:15" ht="15.6" hidden="1">
      <c r="A1208" s="326">
        <v>45849</v>
      </c>
      <c r="B1208" s="327" t="s">
        <v>2136</v>
      </c>
      <c r="C1208" s="327" t="s">
        <v>172</v>
      </c>
      <c r="D1208" s="327" t="s">
        <v>116</v>
      </c>
      <c r="E1208" s="316">
        <v>1000</v>
      </c>
      <c r="F1208" s="311">
        <f t="shared" si="3"/>
        <v>1.7827139780891614</v>
      </c>
      <c r="G1208" s="312">
        <v>560.94248000000005</v>
      </c>
      <c r="H1208" s="327" t="s">
        <v>581</v>
      </c>
      <c r="I1208" s="125" t="s">
        <v>2168</v>
      </c>
      <c r="J1208" s="125" t="s">
        <v>96</v>
      </c>
      <c r="K1208" s="125" t="s">
        <v>1906</v>
      </c>
      <c r="L1208" s="143" t="s">
        <v>153</v>
      </c>
      <c r="M1208" s="125"/>
      <c r="N1208" s="125"/>
      <c r="O1208" s="125"/>
    </row>
    <row r="1209" spans="1:15" ht="15.6" hidden="1">
      <c r="A1209" s="326">
        <v>45849</v>
      </c>
      <c r="B1209" s="327" t="s">
        <v>2137</v>
      </c>
      <c r="C1209" s="327" t="s">
        <v>172</v>
      </c>
      <c r="D1209" s="327" t="s">
        <v>116</v>
      </c>
      <c r="E1209" s="316">
        <v>1000</v>
      </c>
      <c r="F1209" s="311">
        <f t="shared" si="3"/>
        <v>1.7827139780891614</v>
      </c>
      <c r="G1209" s="312">
        <v>560.94248000000005</v>
      </c>
      <c r="H1209" s="327" t="s">
        <v>581</v>
      </c>
      <c r="I1209" s="125" t="s">
        <v>2168</v>
      </c>
      <c r="J1209" s="125" t="s">
        <v>96</v>
      </c>
      <c r="K1209" s="125" t="s">
        <v>1906</v>
      </c>
      <c r="L1209" s="143" t="s">
        <v>153</v>
      </c>
      <c r="M1209" s="125"/>
      <c r="N1209" s="125"/>
      <c r="O1209" s="125"/>
    </row>
    <row r="1210" spans="1:15" ht="15.6" hidden="1">
      <c r="A1210" s="326">
        <v>45849</v>
      </c>
      <c r="B1210" s="327" t="s">
        <v>2138</v>
      </c>
      <c r="C1210" s="327" t="s">
        <v>172</v>
      </c>
      <c r="D1210" s="327" t="s">
        <v>116</v>
      </c>
      <c r="E1210" s="316">
        <v>1000</v>
      </c>
      <c r="F1210" s="311">
        <f t="shared" si="3"/>
        <v>1.7827139780891614</v>
      </c>
      <c r="G1210" s="312">
        <v>560.94248000000005</v>
      </c>
      <c r="H1210" s="327" t="s">
        <v>581</v>
      </c>
      <c r="I1210" s="125" t="s">
        <v>2168</v>
      </c>
      <c r="J1210" s="125" t="s">
        <v>96</v>
      </c>
      <c r="K1210" s="125" t="s">
        <v>1906</v>
      </c>
      <c r="L1210" s="143" t="s">
        <v>153</v>
      </c>
      <c r="M1210" s="125"/>
      <c r="N1210" s="125"/>
      <c r="O1210" s="125"/>
    </row>
    <row r="1211" spans="1:15" ht="15.6" hidden="1">
      <c r="A1211" s="326">
        <v>45849</v>
      </c>
      <c r="B1211" s="320" t="s">
        <v>1916</v>
      </c>
      <c r="C1211" s="177" t="s">
        <v>124</v>
      </c>
      <c r="D1211" s="328" t="s">
        <v>116</v>
      </c>
      <c r="E1211" s="324">
        <v>500000</v>
      </c>
      <c r="F1211" s="311">
        <f t="shared" si="3"/>
        <v>891.3569890445807</v>
      </c>
      <c r="G1211" s="312">
        <v>560.94248000000005</v>
      </c>
      <c r="H1211" s="327" t="s">
        <v>146</v>
      </c>
      <c r="I1211" s="125" t="s">
        <v>2252</v>
      </c>
      <c r="J1211" s="125" t="s">
        <v>96</v>
      </c>
      <c r="K1211" s="125" t="s">
        <v>1906</v>
      </c>
      <c r="L1211" s="143" t="s">
        <v>153</v>
      </c>
      <c r="M1211" s="125"/>
      <c r="N1211" s="125"/>
      <c r="O1211" s="125"/>
    </row>
    <row r="1212" spans="1:15" ht="15.6" hidden="1">
      <c r="A1212" s="326">
        <v>45849</v>
      </c>
      <c r="B1212" s="320" t="s">
        <v>2253</v>
      </c>
      <c r="C1212" s="177" t="s">
        <v>123</v>
      </c>
      <c r="D1212" s="328"/>
      <c r="E1212" s="324"/>
      <c r="F1212" s="311"/>
      <c r="G1212" s="332">
        <f>+M1212/N1212</f>
        <v>534.23810000000003</v>
      </c>
      <c r="H1212" s="327" t="s">
        <v>146</v>
      </c>
      <c r="I1212" s="125" t="s">
        <v>2254</v>
      </c>
      <c r="J1212" s="125" t="s">
        <v>96</v>
      </c>
      <c r="K1212" s="125" t="s">
        <v>1137</v>
      </c>
      <c r="L1212" s="143" t="s">
        <v>153</v>
      </c>
      <c r="M1212" s="317">
        <v>5342381</v>
      </c>
      <c r="N1212" s="125">
        <v>10000</v>
      </c>
      <c r="O1212" s="125"/>
    </row>
    <row r="1213" spans="1:15" ht="15.6" hidden="1">
      <c r="A1213" s="326">
        <v>45849</v>
      </c>
      <c r="B1213" s="320" t="s">
        <v>2255</v>
      </c>
      <c r="C1213" s="177" t="s">
        <v>125</v>
      </c>
      <c r="D1213" s="177" t="s">
        <v>440</v>
      </c>
      <c r="E1213" s="324">
        <v>400000</v>
      </c>
      <c r="F1213" s="311">
        <f t="shared" ref="F1213:F1244" si="4">E1213/G1213</f>
        <v>748.72982664471135</v>
      </c>
      <c r="G1213" s="332">
        <v>534.23810000000003</v>
      </c>
      <c r="H1213" s="327" t="s">
        <v>146</v>
      </c>
      <c r="I1213" s="125" t="s">
        <v>2256</v>
      </c>
      <c r="J1213" s="125" t="s">
        <v>96</v>
      </c>
      <c r="K1213" s="125" t="s">
        <v>1137</v>
      </c>
      <c r="L1213" s="143" t="s">
        <v>153</v>
      </c>
      <c r="M1213" s="125"/>
      <c r="N1213" s="125"/>
      <c r="O1213" s="125"/>
    </row>
    <row r="1214" spans="1:15" ht="15.6" hidden="1">
      <c r="A1214" s="326">
        <v>45849</v>
      </c>
      <c r="B1214" s="320" t="s">
        <v>2257</v>
      </c>
      <c r="C1214" s="177" t="s">
        <v>125</v>
      </c>
      <c r="D1214" s="177" t="s">
        <v>440</v>
      </c>
      <c r="E1214" s="324">
        <v>255000</v>
      </c>
      <c r="F1214" s="311">
        <f t="shared" si="4"/>
        <v>477.31526448600351</v>
      </c>
      <c r="G1214" s="332">
        <v>534.23810000000003</v>
      </c>
      <c r="H1214" s="327" t="s">
        <v>146</v>
      </c>
      <c r="I1214" s="125" t="s">
        <v>2258</v>
      </c>
      <c r="J1214" s="125" t="s">
        <v>96</v>
      </c>
      <c r="K1214" s="125" t="s">
        <v>1137</v>
      </c>
      <c r="L1214" s="143" t="s">
        <v>153</v>
      </c>
      <c r="M1214" s="125"/>
      <c r="N1214" s="125"/>
      <c r="O1214" s="125"/>
    </row>
    <row r="1215" spans="1:15" ht="15.6" hidden="1">
      <c r="A1215" s="326">
        <v>45849</v>
      </c>
      <c r="B1215" s="320" t="s">
        <v>2259</v>
      </c>
      <c r="C1215" s="328" t="s">
        <v>125</v>
      </c>
      <c r="D1215" s="177" t="s">
        <v>440</v>
      </c>
      <c r="E1215" s="324">
        <v>255000</v>
      </c>
      <c r="F1215" s="311">
        <f t="shared" si="4"/>
        <v>477.31526448600351</v>
      </c>
      <c r="G1215" s="332">
        <v>534.23810000000003</v>
      </c>
      <c r="H1215" s="327" t="s">
        <v>146</v>
      </c>
      <c r="I1215" s="125" t="s">
        <v>2260</v>
      </c>
      <c r="J1215" s="125" t="s">
        <v>96</v>
      </c>
      <c r="K1215" s="125" t="s">
        <v>1137</v>
      </c>
      <c r="L1215" s="143" t="s">
        <v>153</v>
      </c>
      <c r="M1215" s="125"/>
      <c r="N1215" s="125"/>
      <c r="O1215" s="125"/>
    </row>
    <row r="1216" spans="1:15" ht="15.6" hidden="1">
      <c r="A1216" s="326">
        <v>45849</v>
      </c>
      <c r="B1216" s="320" t="s">
        <v>2261</v>
      </c>
      <c r="C1216" s="177" t="s">
        <v>125</v>
      </c>
      <c r="D1216" s="177" t="s">
        <v>440</v>
      </c>
      <c r="E1216" s="324">
        <v>255000</v>
      </c>
      <c r="F1216" s="311">
        <f t="shared" si="4"/>
        <v>477.31526448600351</v>
      </c>
      <c r="G1216" s="332">
        <v>534.23810000000003</v>
      </c>
      <c r="H1216" s="327" t="s">
        <v>146</v>
      </c>
      <c r="I1216" s="125" t="s">
        <v>2262</v>
      </c>
      <c r="J1216" s="125" t="s">
        <v>96</v>
      </c>
      <c r="K1216" s="125" t="s">
        <v>1137</v>
      </c>
      <c r="L1216" s="143" t="s">
        <v>153</v>
      </c>
      <c r="M1216" s="125"/>
      <c r="N1216" s="125"/>
      <c r="O1216" s="125"/>
    </row>
    <row r="1217" spans="1:15" ht="15.6" hidden="1">
      <c r="A1217" s="326">
        <v>45849</v>
      </c>
      <c r="B1217" s="320" t="s">
        <v>2338</v>
      </c>
      <c r="C1217" s="177" t="s">
        <v>125</v>
      </c>
      <c r="D1217" s="177" t="s">
        <v>116</v>
      </c>
      <c r="E1217" s="324">
        <v>230000</v>
      </c>
      <c r="F1217" s="311">
        <f t="shared" si="4"/>
        <v>430.51965032070905</v>
      </c>
      <c r="G1217" s="332">
        <v>534.23810000000003</v>
      </c>
      <c r="H1217" s="327" t="s">
        <v>146</v>
      </c>
      <c r="I1217" s="125" t="s">
        <v>2263</v>
      </c>
      <c r="J1217" s="125" t="s">
        <v>96</v>
      </c>
      <c r="K1217" s="125" t="s">
        <v>1137</v>
      </c>
      <c r="L1217" s="143" t="s">
        <v>153</v>
      </c>
      <c r="M1217" s="125"/>
      <c r="N1217" s="125"/>
      <c r="O1217" s="125"/>
    </row>
    <row r="1218" spans="1:15" ht="15.6" hidden="1">
      <c r="A1218" s="326">
        <v>45849</v>
      </c>
      <c r="B1218" s="320" t="s">
        <v>2339</v>
      </c>
      <c r="C1218" s="328" t="s">
        <v>125</v>
      </c>
      <c r="D1218" s="333" t="s">
        <v>115</v>
      </c>
      <c r="E1218" s="324">
        <v>200000</v>
      </c>
      <c r="F1218" s="311">
        <f t="shared" si="4"/>
        <v>374.36491332235568</v>
      </c>
      <c r="G1218" s="332">
        <v>534.23810000000003</v>
      </c>
      <c r="H1218" s="327" t="s">
        <v>146</v>
      </c>
      <c r="I1218" s="125" t="s">
        <v>2264</v>
      </c>
      <c r="J1218" s="125" t="s">
        <v>96</v>
      </c>
      <c r="K1218" s="125" t="s">
        <v>1137</v>
      </c>
      <c r="L1218" s="143" t="s">
        <v>153</v>
      </c>
      <c r="M1218" s="125"/>
      <c r="N1218" s="125"/>
      <c r="O1218" s="125"/>
    </row>
    <row r="1219" spans="1:15" ht="15.6" hidden="1">
      <c r="A1219" s="326">
        <v>45849</v>
      </c>
      <c r="B1219" s="320" t="s">
        <v>2265</v>
      </c>
      <c r="C1219" s="328" t="s">
        <v>125</v>
      </c>
      <c r="D1219" s="333" t="s">
        <v>115</v>
      </c>
      <c r="E1219" s="324">
        <v>551482</v>
      </c>
      <c r="F1219" s="311">
        <f t="shared" si="4"/>
        <v>1032.2775556441968</v>
      </c>
      <c r="G1219" s="332">
        <v>534.23810000000003</v>
      </c>
      <c r="H1219" s="327" t="s">
        <v>146</v>
      </c>
      <c r="I1219" s="125" t="s">
        <v>2266</v>
      </c>
      <c r="J1219" s="125" t="s">
        <v>96</v>
      </c>
      <c r="K1219" s="125" t="s">
        <v>1137</v>
      </c>
      <c r="L1219" s="143" t="s">
        <v>153</v>
      </c>
      <c r="M1219" s="125"/>
      <c r="N1219" s="125"/>
      <c r="O1219" s="125"/>
    </row>
    <row r="1220" spans="1:15" ht="15.6" hidden="1">
      <c r="A1220" s="326">
        <v>45849</v>
      </c>
      <c r="B1220" s="320" t="s">
        <v>2267</v>
      </c>
      <c r="C1220" s="177" t="s">
        <v>125</v>
      </c>
      <c r="D1220" s="328" t="s">
        <v>115</v>
      </c>
      <c r="E1220" s="324">
        <v>300000</v>
      </c>
      <c r="F1220" s="311">
        <f t="shared" si="4"/>
        <v>561.54736998353349</v>
      </c>
      <c r="G1220" s="332">
        <v>534.23810000000003</v>
      </c>
      <c r="H1220" s="327" t="s">
        <v>146</v>
      </c>
      <c r="I1220" s="125" t="s">
        <v>2268</v>
      </c>
      <c r="J1220" s="125" t="s">
        <v>96</v>
      </c>
      <c r="K1220" s="125" t="s">
        <v>1137</v>
      </c>
      <c r="L1220" s="143" t="s">
        <v>153</v>
      </c>
      <c r="M1220" s="125"/>
      <c r="N1220" s="125"/>
      <c r="O1220" s="125"/>
    </row>
    <row r="1221" spans="1:15" ht="15.6" hidden="1">
      <c r="A1221" s="326">
        <v>45849</v>
      </c>
      <c r="B1221" s="320" t="s">
        <v>2269</v>
      </c>
      <c r="C1221" s="177" t="s">
        <v>125</v>
      </c>
      <c r="D1221" s="328" t="s">
        <v>118</v>
      </c>
      <c r="E1221" s="324">
        <v>238140</v>
      </c>
      <c r="F1221" s="311">
        <f t="shared" si="4"/>
        <v>445.75630229292892</v>
      </c>
      <c r="G1221" s="332">
        <v>534.23810000000003</v>
      </c>
      <c r="H1221" s="327" t="s">
        <v>146</v>
      </c>
      <c r="I1221" s="125" t="s">
        <v>2270</v>
      </c>
      <c r="J1221" s="125" t="s">
        <v>96</v>
      </c>
      <c r="K1221" s="125" t="s">
        <v>1137</v>
      </c>
      <c r="L1221" s="143" t="s">
        <v>153</v>
      </c>
      <c r="M1221" s="125"/>
      <c r="N1221" s="125"/>
      <c r="O1221" s="125"/>
    </row>
    <row r="1222" spans="1:15" ht="15.6" hidden="1">
      <c r="A1222" s="326">
        <v>45849</v>
      </c>
      <c r="B1222" s="320" t="s">
        <v>2340</v>
      </c>
      <c r="C1222" s="328" t="s">
        <v>125</v>
      </c>
      <c r="D1222" s="333" t="s">
        <v>117</v>
      </c>
      <c r="E1222" s="324">
        <v>786600</v>
      </c>
      <c r="F1222" s="311">
        <f t="shared" si="4"/>
        <v>1472.3772040968249</v>
      </c>
      <c r="G1222" s="332">
        <v>534.23810000000003</v>
      </c>
      <c r="H1222" s="327" t="s">
        <v>146</v>
      </c>
      <c r="I1222" s="125" t="s">
        <v>2271</v>
      </c>
      <c r="J1222" s="125" t="s">
        <v>96</v>
      </c>
      <c r="K1222" s="125" t="s">
        <v>1137</v>
      </c>
      <c r="L1222" s="143" t="s">
        <v>153</v>
      </c>
      <c r="M1222" s="125"/>
      <c r="N1222" s="125"/>
      <c r="O1222" s="125"/>
    </row>
    <row r="1223" spans="1:15" ht="15.6" hidden="1">
      <c r="A1223" s="326">
        <v>45849</v>
      </c>
      <c r="B1223" s="320" t="s">
        <v>2341</v>
      </c>
      <c r="C1223" s="328" t="s">
        <v>125</v>
      </c>
      <c r="D1223" s="333" t="s">
        <v>117</v>
      </c>
      <c r="E1223" s="324">
        <v>524400</v>
      </c>
      <c r="F1223" s="311">
        <f t="shared" si="4"/>
        <v>981.58480273121666</v>
      </c>
      <c r="G1223" s="332">
        <v>534.23810000000003</v>
      </c>
      <c r="H1223" s="327" t="s">
        <v>146</v>
      </c>
      <c r="I1223" s="125" t="s">
        <v>2272</v>
      </c>
      <c r="J1223" s="125" t="s">
        <v>96</v>
      </c>
      <c r="K1223" s="125" t="s">
        <v>1137</v>
      </c>
      <c r="L1223" s="143" t="s">
        <v>153</v>
      </c>
      <c r="M1223" s="125"/>
      <c r="N1223" s="125"/>
      <c r="O1223" s="125"/>
    </row>
    <row r="1224" spans="1:15" ht="15.6" hidden="1">
      <c r="A1224" s="326">
        <v>45849</v>
      </c>
      <c r="B1224" s="320" t="s">
        <v>2305</v>
      </c>
      <c r="C1224" s="328" t="s">
        <v>126</v>
      </c>
      <c r="D1224" s="333" t="s">
        <v>116</v>
      </c>
      <c r="E1224" s="324">
        <v>10665</v>
      </c>
      <c r="F1224" s="311">
        <f t="shared" si="4"/>
        <v>19.963009002914617</v>
      </c>
      <c r="G1224" s="332">
        <v>534.23810000000003</v>
      </c>
      <c r="H1224" s="327" t="s">
        <v>146</v>
      </c>
      <c r="I1224" s="125" t="s">
        <v>2274</v>
      </c>
      <c r="J1224" s="125" t="s">
        <v>96</v>
      </c>
      <c r="K1224" s="125" t="s">
        <v>1137</v>
      </c>
      <c r="L1224" s="143" t="s">
        <v>153</v>
      </c>
      <c r="M1224" s="125"/>
      <c r="N1224" s="125"/>
      <c r="O1224" s="125"/>
    </row>
    <row r="1225" spans="1:15" ht="15.6" hidden="1">
      <c r="A1225" s="326">
        <v>45852</v>
      </c>
      <c r="B1225" s="298" t="s">
        <v>2103</v>
      </c>
      <c r="C1225" s="299" t="s">
        <v>172</v>
      </c>
      <c r="D1225" s="300" t="s">
        <v>117</v>
      </c>
      <c r="E1225" s="298">
        <v>1000</v>
      </c>
      <c r="F1225" s="311">
        <f t="shared" si="4"/>
        <v>1.8718245666117783</v>
      </c>
      <c r="G1225" s="332">
        <v>534.23810000000003</v>
      </c>
      <c r="H1225" s="302" t="s">
        <v>151</v>
      </c>
      <c r="I1225" s="303" t="s">
        <v>2119</v>
      </c>
      <c r="J1225" s="125" t="s">
        <v>96</v>
      </c>
      <c r="K1225" s="125" t="s">
        <v>1137</v>
      </c>
      <c r="L1225" s="143" t="s">
        <v>153</v>
      </c>
      <c r="M1225" s="125"/>
      <c r="N1225" s="125"/>
      <c r="O1225" s="125"/>
    </row>
    <row r="1226" spans="1:15" ht="15.6" hidden="1">
      <c r="A1226" s="326">
        <v>45852</v>
      </c>
      <c r="B1226" s="298" t="s">
        <v>2104</v>
      </c>
      <c r="C1226" s="299" t="s">
        <v>172</v>
      </c>
      <c r="D1226" s="300" t="s">
        <v>117</v>
      </c>
      <c r="E1226" s="298">
        <v>1000</v>
      </c>
      <c r="F1226" s="311">
        <f t="shared" si="4"/>
        <v>1.8718245666117783</v>
      </c>
      <c r="G1226" s="332">
        <v>534.23810000000003</v>
      </c>
      <c r="H1226" s="302" t="s">
        <v>151</v>
      </c>
      <c r="I1226" s="303" t="s">
        <v>2119</v>
      </c>
      <c r="J1226" s="125" t="s">
        <v>96</v>
      </c>
      <c r="K1226" s="125" t="s">
        <v>1137</v>
      </c>
      <c r="L1226" s="143" t="s">
        <v>153</v>
      </c>
      <c r="M1226" s="125"/>
      <c r="N1226" s="125"/>
      <c r="O1226" s="125"/>
    </row>
    <row r="1227" spans="1:15" ht="15.6" hidden="1">
      <c r="A1227" s="326">
        <v>45852</v>
      </c>
      <c r="B1227" s="320" t="s">
        <v>2337</v>
      </c>
      <c r="C1227" s="177" t="s">
        <v>125</v>
      </c>
      <c r="D1227" s="334" t="s">
        <v>115</v>
      </c>
      <c r="E1227" s="324">
        <v>200000</v>
      </c>
      <c r="F1227" s="311">
        <f t="shared" si="4"/>
        <v>374.36491332235568</v>
      </c>
      <c r="G1227" s="332">
        <v>534.23810000000003</v>
      </c>
      <c r="H1227" s="327" t="s">
        <v>146</v>
      </c>
      <c r="I1227" s="125" t="s">
        <v>2275</v>
      </c>
      <c r="J1227" s="125" t="s">
        <v>96</v>
      </c>
      <c r="K1227" s="125" t="s">
        <v>1137</v>
      </c>
      <c r="L1227" s="143" t="s">
        <v>153</v>
      </c>
      <c r="M1227" s="125"/>
      <c r="N1227" s="125"/>
      <c r="O1227" s="125"/>
    </row>
    <row r="1228" spans="1:15" ht="15.6" hidden="1">
      <c r="A1228" s="326">
        <v>45853</v>
      </c>
      <c r="B1228" s="298" t="s">
        <v>2109</v>
      </c>
      <c r="C1228" s="299" t="s">
        <v>172</v>
      </c>
      <c r="D1228" s="300" t="s">
        <v>117</v>
      </c>
      <c r="E1228" s="298">
        <v>1000</v>
      </c>
      <c r="F1228" s="311">
        <f t="shared" si="4"/>
        <v>1.8718245666117783</v>
      </c>
      <c r="G1228" s="332">
        <v>534.23810000000003</v>
      </c>
      <c r="H1228" s="302" t="s">
        <v>151</v>
      </c>
      <c r="I1228" s="303" t="s">
        <v>2119</v>
      </c>
      <c r="J1228" s="125" t="s">
        <v>96</v>
      </c>
      <c r="K1228" s="125" t="s">
        <v>1137</v>
      </c>
      <c r="L1228" s="143" t="s">
        <v>153</v>
      </c>
      <c r="M1228" s="125"/>
      <c r="N1228" s="125"/>
      <c r="O1228" s="125"/>
    </row>
    <row r="1229" spans="1:15" ht="15.6" hidden="1">
      <c r="A1229" s="326">
        <v>45853</v>
      </c>
      <c r="B1229" s="298" t="s">
        <v>2108</v>
      </c>
      <c r="C1229" s="299" t="s">
        <v>172</v>
      </c>
      <c r="D1229" s="300" t="s">
        <v>117</v>
      </c>
      <c r="E1229" s="298">
        <v>1000</v>
      </c>
      <c r="F1229" s="311">
        <f t="shared" si="4"/>
        <v>1.8718245666117783</v>
      </c>
      <c r="G1229" s="332">
        <v>534.23810000000003</v>
      </c>
      <c r="H1229" s="302" t="s">
        <v>151</v>
      </c>
      <c r="I1229" s="303" t="s">
        <v>2119</v>
      </c>
      <c r="J1229" s="125" t="s">
        <v>96</v>
      </c>
      <c r="K1229" s="125" t="s">
        <v>1137</v>
      </c>
      <c r="L1229" s="143" t="s">
        <v>153</v>
      </c>
      <c r="M1229" s="125"/>
      <c r="N1229" s="125"/>
      <c r="O1229" s="125"/>
    </row>
    <row r="1230" spans="1:15" ht="15.6" hidden="1">
      <c r="A1230" s="326">
        <v>45853</v>
      </c>
      <c r="B1230" s="298" t="s">
        <v>2104</v>
      </c>
      <c r="C1230" s="299" t="s">
        <v>172</v>
      </c>
      <c r="D1230" s="300" t="s">
        <v>117</v>
      </c>
      <c r="E1230" s="298">
        <v>1000</v>
      </c>
      <c r="F1230" s="311">
        <f t="shared" si="4"/>
        <v>1.8718245666117783</v>
      </c>
      <c r="G1230" s="332">
        <v>534.23810000000003</v>
      </c>
      <c r="H1230" s="302" t="s">
        <v>151</v>
      </c>
      <c r="I1230" s="303" t="s">
        <v>2119</v>
      </c>
      <c r="J1230" s="125" t="s">
        <v>96</v>
      </c>
      <c r="K1230" s="125" t="s">
        <v>1137</v>
      </c>
      <c r="L1230" s="143" t="s">
        <v>153</v>
      </c>
      <c r="M1230" s="125"/>
      <c r="N1230" s="125"/>
      <c r="O1230" s="125"/>
    </row>
    <row r="1231" spans="1:15" ht="15.6" hidden="1">
      <c r="A1231" s="326">
        <v>45853</v>
      </c>
      <c r="B1231" s="327" t="s">
        <v>2139</v>
      </c>
      <c r="C1231" s="327" t="s">
        <v>172</v>
      </c>
      <c r="D1231" s="327" t="s">
        <v>116</v>
      </c>
      <c r="E1231" s="316">
        <v>1000</v>
      </c>
      <c r="F1231" s="311">
        <f t="shared" si="4"/>
        <v>1.8718245666117783</v>
      </c>
      <c r="G1231" s="332">
        <v>534.23810000000003</v>
      </c>
      <c r="H1231" s="327" t="s">
        <v>581</v>
      </c>
      <c r="I1231" s="125" t="s">
        <v>2168</v>
      </c>
      <c r="J1231" s="125" t="s">
        <v>96</v>
      </c>
      <c r="K1231" s="125" t="s">
        <v>1137</v>
      </c>
      <c r="L1231" s="143" t="s">
        <v>153</v>
      </c>
      <c r="M1231" s="125"/>
      <c r="N1231" s="125"/>
      <c r="O1231" s="125"/>
    </row>
    <row r="1232" spans="1:15" ht="15.6" hidden="1">
      <c r="A1232" s="326">
        <v>45853</v>
      </c>
      <c r="B1232" s="327" t="s">
        <v>2140</v>
      </c>
      <c r="C1232" s="327" t="s">
        <v>172</v>
      </c>
      <c r="D1232" s="327" t="s">
        <v>116</v>
      </c>
      <c r="E1232" s="316">
        <v>1000</v>
      </c>
      <c r="F1232" s="311">
        <f t="shared" si="4"/>
        <v>1.8718245666117783</v>
      </c>
      <c r="G1232" s="332">
        <v>534.23810000000003</v>
      </c>
      <c r="H1232" s="327" t="s">
        <v>581</v>
      </c>
      <c r="I1232" s="125" t="s">
        <v>2168</v>
      </c>
      <c r="J1232" s="125" t="s">
        <v>96</v>
      </c>
      <c r="K1232" s="125" t="s">
        <v>1137</v>
      </c>
      <c r="L1232" s="143" t="s">
        <v>153</v>
      </c>
      <c r="M1232" s="125"/>
      <c r="N1232" s="125"/>
      <c r="O1232" s="125"/>
    </row>
    <row r="1233" spans="1:15" ht="15.6" hidden="1">
      <c r="A1233" s="326">
        <v>45853</v>
      </c>
      <c r="B1233" s="327" t="s">
        <v>2141</v>
      </c>
      <c r="C1233" s="327" t="s">
        <v>172</v>
      </c>
      <c r="D1233" s="327" t="s">
        <v>116</v>
      </c>
      <c r="E1233" s="316">
        <v>1000</v>
      </c>
      <c r="F1233" s="311">
        <f t="shared" si="4"/>
        <v>1.8718245666117783</v>
      </c>
      <c r="G1233" s="332">
        <v>534.23810000000003</v>
      </c>
      <c r="H1233" s="327" t="s">
        <v>581</v>
      </c>
      <c r="I1233" s="125" t="s">
        <v>2168</v>
      </c>
      <c r="J1233" s="125" t="s">
        <v>96</v>
      </c>
      <c r="K1233" s="125" t="s">
        <v>1137</v>
      </c>
      <c r="L1233" s="143" t="s">
        <v>153</v>
      </c>
      <c r="M1233" s="125"/>
      <c r="N1233" s="125"/>
      <c r="O1233" s="125"/>
    </row>
    <row r="1234" spans="1:15" ht="15.6" hidden="1">
      <c r="A1234" s="326">
        <v>45853</v>
      </c>
      <c r="B1234" s="318" t="s">
        <v>2276</v>
      </c>
      <c r="C1234" s="318" t="s">
        <v>125</v>
      </c>
      <c r="D1234" s="318" t="s">
        <v>115</v>
      </c>
      <c r="E1234" s="324">
        <v>368700</v>
      </c>
      <c r="F1234" s="311">
        <f t="shared" si="4"/>
        <v>690.1417177097627</v>
      </c>
      <c r="G1234" s="332">
        <v>534.23810000000003</v>
      </c>
      <c r="H1234" s="327" t="s">
        <v>146</v>
      </c>
      <c r="I1234" s="125" t="s">
        <v>2277</v>
      </c>
      <c r="J1234" s="125" t="s">
        <v>96</v>
      </c>
      <c r="K1234" s="125" t="s">
        <v>1137</v>
      </c>
      <c r="L1234" s="143" t="s">
        <v>153</v>
      </c>
      <c r="M1234" s="125"/>
      <c r="N1234" s="125"/>
      <c r="O1234" s="125"/>
    </row>
    <row r="1235" spans="1:15" ht="15.6" hidden="1">
      <c r="A1235" s="326">
        <v>45853</v>
      </c>
      <c r="B1235" s="318" t="s">
        <v>2278</v>
      </c>
      <c r="C1235" s="318" t="s">
        <v>125</v>
      </c>
      <c r="D1235" s="318" t="s">
        <v>115</v>
      </c>
      <c r="E1235" s="324">
        <v>177789</v>
      </c>
      <c r="F1235" s="311">
        <f t="shared" si="4"/>
        <v>332.78981787334146</v>
      </c>
      <c r="G1235" s="332">
        <v>534.23810000000003</v>
      </c>
      <c r="H1235" s="327" t="s">
        <v>146</v>
      </c>
      <c r="I1235" s="125" t="s">
        <v>2279</v>
      </c>
      <c r="J1235" s="125" t="s">
        <v>96</v>
      </c>
      <c r="K1235" s="125" t="s">
        <v>1137</v>
      </c>
      <c r="L1235" s="143" t="s">
        <v>153</v>
      </c>
      <c r="M1235" s="125"/>
      <c r="N1235" s="125"/>
      <c r="O1235" s="125"/>
    </row>
    <row r="1236" spans="1:15" ht="15.6" hidden="1">
      <c r="A1236" s="326">
        <v>45853</v>
      </c>
      <c r="B1236" s="318" t="s">
        <v>2280</v>
      </c>
      <c r="C1236" s="318" t="s">
        <v>125</v>
      </c>
      <c r="D1236" s="318" t="s">
        <v>115</v>
      </c>
      <c r="E1236" s="324">
        <v>118814</v>
      </c>
      <c r="F1236" s="311">
        <f t="shared" si="4"/>
        <v>222.39896405741183</v>
      </c>
      <c r="G1236" s="332">
        <v>534.23810000000003</v>
      </c>
      <c r="H1236" s="327" t="s">
        <v>146</v>
      </c>
      <c r="I1236" s="125" t="s">
        <v>2281</v>
      </c>
      <c r="J1236" s="125" t="s">
        <v>96</v>
      </c>
      <c r="K1236" s="125" t="s">
        <v>1137</v>
      </c>
      <c r="L1236" s="143" t="s">
        <v>153</v>
      </c>
      <c r="M1236" s="125"/>
      <c r="N1236" s="125"/>
      <c r="O1236" s="125"/>
    </row>
    <row r="1237" spans="1:15" ht="15.6" hidden="1">
      <c r="A1237" s="326">
        <v>45853</v>
      </c>
      <c r="B1237" s="318" t="s">
        <v>2282</v>
      </c>
      <c r="C1237" s="318" t="s">
        <v>125</v>
      </c>
      <c r="D1237" s="318" t="s">
        <v>115</v>
      </c>
      <c r="E1237" s="324">
        <v>103494</v>
      </c>
      <c r="F1237" s="311">
        <f t="shared" si="4"/>
        <v>193.72261169691939</v>
      </c>
      <c r="G1237" s="332">
        <v>534.23810000000003</v>
      </c>
      <c r="H1237" s="327" t="s">
        <v>146</v>
      </c>
      <c r="I1237" s="125" t="s">
        <v>2283</v>
      </c>
      <c r="J1237" s="125" t="s">
        <v>96</v>
      </c>
      <c r="K1237" s="125" t="s">
        <v>1137</v>
      </c>
      <c r="L1237" s="143" t="s">
        <v>153</v>
      </c>
      <c r="M1237" s="125"/>
      <c r="N1237" s="125"/>
      <c r="O1237" s="125"/>
    </row>
    <row r="1238" spans="1:15" ht="15.6" hidden="1">
      <c r="A1238" s="326">
        <v>45853</v>
      </c>
      <c r="B1238" s="318" t="s">
        <v>2284</v>
      </c>
      <c r="C1238" s="318" t="s">
        <v>125</v>
      </c>
      <c r="D1238" s="318" t="s">
        <v>115</v>
      </c>
      <c r="E1238" s="324">
        <v>103494</v>
      </c>
      <c r="F1238" s="311">
        <f t="shared" si="4"/>
        <v>193.72261169691939</v>
      </c>
      <c r="G1238" s="332">
        <v>534.23810000000003</v>
      </c>
      <c r="H1238" s="327" t="s">
        <v>146</v>
      </c>
      <c r="I1238" s="125" t="s">
        <v>2285</v>
      </c>
      <c r="J1238" s="125" t="s">
        <v>96</v>
      </c>
      <c r="K1238" s="125" t="s">
        <v>1137</v>
      </c>
      <c r="L1238" s="143" t="s">
        <v>153</v>
      </c>
      <c r="M1238" s="125"/>
      <c r="N1238" s="125"/>
      <c r="O1238" s="125"/>
    </row>
    <row r="1239" spans="1:15" ht="15.6" hidden="1">
      <c r="A1239" s="326">
        <v>45853</v>
      </c>
      <c r="B1239" s="318" t="s">
        <v>2286</v>
      </c>
      <c r="C1239" s="318" t="s">
        <v>125</v>
      </c>
      <c r="D1239" s="318" t="s">
        <v>116</v>
      </c>
      <c r="E1239" s="324">
        <v>124433</v>
      </c>
      <c r="F1239" s="311">
        <f t="shared" si="4"/>
        <v>232.91674629720342</v>
      </c>
      <c r="G1239" s="332">
        <v>534.23810000000003</v>
      </c>
      <c r="H1239" s="327" t="s">
        <v>146</v>
      </c>
      <c r="I1239" s="125" t="s">
        <v>2287</v>
      </c>
      <c r="J1239" s="125" t="s">
        <v>96</v>
      </c>
      <c r="K1239" s="125" t="s">
        <v>1137</v>
      </c>
      <c r="L1239" s="143" t="s">
        <v>153</v>
      </c>
      <c r="M1239" s="125"/>
      <c r="N1239" s="125"/>
      <c r="O1239" s="125"/>
    </row>
    <row r="1240" spans="1:15" ht="15.6" hidden="1">
      <c r="A1240" s="326">
        <v>45853</v>
      </c>
      <c r="B1240" s="318" t="s">
        <v>2288</v>
      </c>
      <c r="C1240" s="318" t="s">
        <v>125</v>
      </c>
      <c r="D1240" s="318" t="s">
        <v>118</v>
      </c>
      <c r="E1240" s="324">
        <v>155330</v>
      </c>
      <c r="F1240" s="311">
        <f t="shared" si="4"/>
        <v>276.90896221658943</v>
      </c>
      <c r="G1240" s="312">
        <v>560.94248000000005</v>
      </c>
      <c r="H1240" s="327" t="s">
        <v>146</v>
      </c>
      <c r="I1240" s="125" t="s">
        <v>2289</v>
      </c>
      <c r="J1240" s="125" t="s">
        <v>96</v>
      </c>
      <c r="K1240" s="125" t="s">
        <v>1906</v>
      </c>
      <c r="L1240" s="143" t="s">
        <v>153</v>
      </c>
      <c r="M1240" s="125"/>
      <c r="N1240" s="125"/>
      <c r="O1240" s="125"/>
    </row>
    <row r="1241" spans="1:15" ht="15.6" hidden="1">
      <c r="A1241" s="326">
        <v>45854</v>
      </c>
      <c r="B1241" s="298" t="s">
        <v>2103</v>
      </c>
      <c r="C1241" s="299" t="s">
        <v>172</v>
      </c>
      <c r="D1241" s="300" t="s">
        <v>117</v>
      </c>
      <c r="E1241" s="298">
        <v>1000</v>
      </c>
      <c r="F1241" s="311">
        <f t="shared" si="4"/>
        <v>1.8718245666117783</v>
      </c>
      <c r="G1241" s="332">
        <v>534.23810000000003</v>
      </c>
      <c r="H1241" s="302" t="s">
        <v>151</v>
      </c>
      <c r="I1241" s="303" t="s">
        <v>2119</v>
      </c>
      <c r="J1241" s="125" t="s">
        <v>96</v>
      </c>
      <c r="K1241" s="125" t="s">
        <v>1137</v>
      </c>
      <c r="L1241" s="143" t="s">
        <v>153</v>
      </c>
      <c r="M1241" s="125"/>
      <c r="N1241" s="125"/>
      <c r="O1241" s="143"/>
    </row>
    <row r="1242" spans="1:15" ht="15.6" hidden="1">
      <c r="A1242" s="326">
        <v>45854</v>
      </c>
      <c r="B1242" s="298" t="s">
        <v>2104</v>
      </c>
      <c r="C1242" s="299" t="s">
        <v>172</v>
      </c>
      <c r="D1242" s="300" t="s">
        <v>117</v>
      </c>
      <c r="E1242" s="298">
        <v>1000</v>
      </c>
      <c r="F1242" s="311">
        <f t="shared" si="4"/>
        <v>1.8718245666117783</v>
      </c>
      <c r="G1242" s="332">
        <v>534.23810000000003</v>
      </c>
      <c r="H1242" s="302" t="s">
        <v>151</v>
      </c>
      <c r="I1242" s="303" t="s">
        <v>2119</v>
      </c>
      <c r="J1242" s="125" t="s">
        <v>96</v>
      </c>
      <c r="K1242" s="125" t="s">
        <v>1137</v>
      </c>
      <c r="L1242" s="143" t="s">
        <v>153</v>
      </c>
      <c r="M1242" s="125"/>
      <c r="N1242" s="125"/>
      <c r="O1242" s="125"/>
    </row>
    <row r="1243" spans="1:15" ht="15.6" hidden="1">
      <c r="A1243" s="326">
        <v>45854</v>
      </c>
      <c r="B1243" s="327" t="s">
        <v>2142</v>
      </c>
      <c r="C1243" s="327" t="s">
        <v>172</v>
      </c>
      <c r="D1243" s="327" t="s">
        <v>116</v>
      </c>
      <c r="E1243" s="316">
        <v>1000</v>
      </c>
      <c r="F1243" s="311">
        <f t="shared" si="4"/>
        <v>1.8718245666117783</v>
      </c>
      <c r="G1243" s="332">
        <v>534.23810000000003</v>
      </c>
      <c r="H1243" s="327" t="s">
        <v>581</v>
      </c>
      <c r="I1243" s="125" t="s">
        <v>2168</v>
      </c>
      <c r="J1243" s="125" t="s">
        <v>96</v>
      </c>
      <c r="K1243" s="125" t="s">
        <v>1137</v>
      </c>
      <c r="L1243" s="143" t="s">
        <v>153</v>
      </c>
      <c r="M1243" s="125"/>
      <c r="N1243" s="125"/>
      <c r="O1243" s="125"/>
    </row>
    <row r="1244" spans="1:15" ht="15.6" hidden="1">
      <c r="A1244" s="326">
        <v>45854</v>
      </c>
      <c r="B1244" s="327" t="s">
        <v>2143</v>
      </c>
      <c r="C1244" s="327" t="s">
        <v>172</v>
      </c>
      <c r="D1244" s="327" t="s">
        <v>116</v>
      </c>
      <c r="E1244" s="316">
        <v>1000</v>
      </c>
      <c r="F1244" s="311">
        <f t="shared" si="4"/>
        <v>1.8718245666117783</v>
      </c>
      <c r="G1244" s="332">
        <v>534.23810000000003</v>
      </c>
      <c r="H1244" s="327" t="s">
        <v>581</v>
      </c>
      <c r="I1244" s="125" t="s">
        <v>2168</v>
      </c>
      <c r="J1244" s="125" t="s">
        <v>96</v>
      </c>
      <c r="K1244" s="125" t="s">
        <v>1137</v>
      </c>
      <c r="L1244" s="143" t="s">
        <v>153</v>
      </c>
      <c r="M1244" s="125"/>
      <c r="N1244" s="125"/>
      <c r="O1244" s="125"/>
    </row>
    <row r="1245" spans="1:15" ht="15.6" hidden="1">
      <c r="A1245" s="326">
        <v>45854</v>
      </c>
      <c r="B1245" s="327" t="s">
        <v>2327</v>
      </c>
      <c r="C1245" s="335" t="s">
        <v>150</v>
      </c>
      <c r="D1245" s="327" t="s">
        <v>117</v>
      </c>
      <c r="E1245" s="316">
        <v>5000</v>
      </c>
      <c r="F1245" s="311">
        <f t="shared" ref="F1245:F1276" si="5">E1245/G1245</f>
        <v>9.3591228330588923</v>
      </c>
      <c r="G1245" s="332">
        <v>534.23810000000003</v>
      </c>
      <c r="H1245" s="327" t="s">
        <v>581</v>
      </c>
      <c r="I1245" s="125" t="s">
        <v>2171</v>
      </c>
      <c r="J1245" s="125" t="s">
        <v>96</v>
      </c>
      <c r="K1245" s="125" t="s">
        <v>1137</v>
      </c>
      <c r="L1245" s="143" t="s">
        <v>153</v>
      </c>
      <c r="M1245" s="125"/>
      <c r="N1245" s="125"/>
      <c r="O1245" s="125"/>
    </row>
    <row r="1246" spans="1:15" s="339" customFormat="1" ht="15.6" hidden="1">
      <c r="A1246" s="326">
        <v>45854</v>
      </c>
      <c r="B1246" s="327" t="s">
        <v>2322</v>
      </c>
      <c r="C1246" s="335" t="s">
        <v>150</v>
      </c>
      <c r="D1246" s="327" t="s">
        <v>117</v>
      </c>
      <c r="E1246" s="316">
        <v>20000</v>
      </c>
      <c r="F1246" s="311">
        <f t="shared" si="5"/>
        <v>35.654279561783227</v>
      </c>
      <c r="G1246" s="312">
        <v>560.94248000000005</v>
      </c>
      <c r="H1246" s="327" t="s">
        <v>151</v>
      </c>
      <c r="I1246" s="125" t="s">
        <v>2323</v>
      </c>
      <c r="J1246" s="125" t="s">
        <v>96</v>
      </c>
      <c r="K1246" s="125" t="s">
        <v>1906</v>
      </c>
      <c r="L1246" s="143" t="s">
        <v>153</v>
      </c>
      <c r="M1246" s="125"/>
      <c r="N1246" s="125"/>
      <c r="O1246" s="125"/>
    </row>
    <row r="1247" spans="1:15" ht="15.6" hidden="1">
      <c r="A1247" s="326">
        <v>45855</v>
      </c>
      <c r="B1247" s="298" t="s">
        <v>2103</v>
      </c>
      <c r="C1247" s="299" t="s">
        <v>172</v>
      </c>
      <c r="D1247" s="300" t="s">
        <v>117</v>
      </c>
      <c r="E1247" s="298">
        <v>1000</v>
      </c>
      <c r="F1247" s="311">
        <f t="shared" si="5"/>
        <v>1.8718245666117783</v>
      </c>
      <c r="G1247" s="332">
        <v>534.23810000000003</v>
      </c>
      <c r="H1247" s="302" t="s">
        <v>151</v>
      </c>
      <c r="I1247" s="303" t="s">
        <v>2119</v>
      </c>
      <c r="J1247" s="125" t="s">
        <v>96</v>
      </c>
      <c r="K1247" s="125" t="s">
        <v>1137</v>
      </c>
      <c r="L1247" s="143" t="s">
        <v>153</v>
      </c>
      <c r="M1247" s="125"/>
      <c r="N1247" s="125"/>
      <c r="O1247" s="125"/>
    </row>
    <row r="1248" spans="1:15" ht="15.6" hidden="1">
      <c r="A1248" s="326">
        <v>45855</v>
      </c>
      <c r="B1248" s="298" t="s">
        <v>2110</v>
      </c>
      <c r="C1248" s="299" t="s">
        <v>172</v>
      </c>
      <c r="D1248" s="300" t="s">
        <v>117</v>
      </c>
      <c r="E1248" s="298">
        <v>1000</v>
      </c>
      <c r="F1248" s="311">
        <f t="shared" si="5"/>
        <v>1.8718245666117783</v>
      </c>
      <c r="G1248" s="332">
        <v>534.23810000000003</v>
      </c>
      <c r="H1248" s="302" t="s">
        <v>151</v>
      </c>
      <c r="I1248" s="303" t="s">
        <v>2119</v>
      </c>
      <c r="J1248" s="125" t="s">
        <v>96</v>
      </c>
      <c r="K1248" s="125" t="s">
        <v>1137</v>
      </c>
      <c r="L1248" s="143" t="s">
        <v>153</v>
      </c>
      <c r="M1248" s="125"/>
      <c r="N1248" s="125"/>
      <c r="O1248" s="125"/>
    </row>
    <row r="1249" spans="1:15" ht="15.6" hidden="1">
      <c r="A1249" s="326">
        <v>45855</v>
      </c>
      <c r="B1249" s="298" t="s">
        <v>2111</v>
      </c>
      <c r="C1249" s="299" t="s">
        <v>172</v>
      </c>
      <c r="D1249" s="300" t="s">
        <v>117</v>
      </c>
      <c r="E1249" s="298">
        <v>1000</v>
      </c>
      <c r="F1249" s="311">
        <f t="shared" si="5"/>
        <v>1.8718245666117783</v>
      </c>
      <c r="G1249" s="332">
        <v>534.23810000000003</v>
      </c>
      <c r="H1249" s="302" t="s">
        <v>151</v>
      </c>
      <c r="I1249" s="303" t="s">
        <v>2119</v>
      </c>
      <c r="J1249" s="125" t="s">
        <v>96</v>
      </c>
      <c r="K1249" s="125" t="s">
        <v>1137</v>
      </c>
      <c r="L1249" s="143" t="s">
        <v>153</v>
      </c>
      <c r="M1249" s="125"/>
      <c r="N1249" s="125"/>
      <c r="O1249" s="125"/>
    </row>
    <row r="1250" spans="1:15" ht="15.6" hidden="1">
      <c r="A1250" s="326">
        <v>45855</v>
      </c>
      <c r="B1250" s="298" t="s">
        <v>2104</v>
      </c>
      <c r="C1250" s="299" t="s">
        <v>172</v>
      </c>
      <c r="D1250" s="300" t="s">
        <v>117</v>
      </c>
      <c r="E1250" s="298">
        <v>1000</v>
      </c>
      <c r="F1250" s="311">
        <f t="shared" si="5"/>
        <v>1.8718245666117783</v>
      </c>
      <c r="G1250" s="332">
        <v>534.23810000000003</v>
      </c>
      <c r="H1250" s="302" t="s">
        <v>151</v>
      </c>
      <c r="I1250" s="303" t="s">
        <v>2119</v>
      </c>
      <c r="J1250" s="125" t="s">
        <v>96</v>
      </c>
      <c r="K1250" s="125" t="s">
        <v>1137</v>
      </c>
      <c r="L1250" s="143" t="s">
        <v>153</v>
      </c>
      <c r="M1250" s="125"/>
      <c r="N1250" s="125"/>
      <c r="O1250" s="125"/>
    </row>
    <row r="1251" spans="1:15" ht="15.6" hidden="1">
      <c r="A1251" s="326">
        <v>45855</v>
      </c>
      <c r="B1251" s="329" t="s">
        <v>2123</v>
      </c>
      <c r="C1251" s="330" t="s">
        <v>172</v>
      </c>
      <c r="D1251" s="329" t="s">
        <v>115</v>
      </c>
      <c r="E1251" s="330">
        <v>1000</v>
      </c>
      <c r="F1251" s="311">
        <f t="shared" si="5"/>
        <v>1.8718245666117783</v>
      </c>
      <c r="G1251" s="332">
        <v>534.23810000000003</v>
      </c>
      <c r="H1251" s="331" t="s">
        <v>198</v>
      </c>
      <c r="I1251" s="307" t="s">
        <v>2130</v>
      </c>
      <c r="J1251" s="125" t="s">
        <v>96</v>
      </c>
      <c r="K1251" s="125" t="s">
        <v>1137</v>
      </c>
      <c r="L1251" s="143" t="s">
        <v>153</v>
      </c>
      <c r="M1251" s="125"/>
      <c r="N1251" s="125"/>
      <c r="O1251" s="125"/>
    </row>
    <row r="1252" spans="1:15" ht="15.6" hidden="1">
      <c r="A1252" s="326">
        <v>45856</v>
      </c>
      <c r="B1252" s="298" t="s">
        <v>2106</v>
      </c>
      <c r="C1252" s="299" t="s">
        <v>172</v>
      </c>
      <c r="D1252" s="300" t="s">
        <v>117</v>
      </c>
      <c r="E1252" s="298">
        <v>1000</v>
      </c>
      <c r="F1252" s="311">
        <f t="shared" si="5"/>
        <v>1.8718245666117783</v>
      </c>
      <c r="G1252" s="332">
        <v>534.23810000000003</v>
      </c>
      <c r="H1252" s="302" t="s">
        <v>151</v>
      </c>
      <c r="I1252" s="303" t="s">
        <v>2119</v>
      </c>
      <c r="J1252" s="125" t="s">
        <v>96</v>
      </c>
      <c r="K1252" s="125" t="s">
        <v>1137</v>
      </c>
      <c r="L1252" s="143" t="s">
        <v>153</v>
      </c>
      <c r="M1252" s="125"/>
      <c r="N1252" s="125"/>
      <c r="O1252" s="125"/>
    </row>
    <row r="1253" spans="1:15" ht="15.6" hidden="1">
      <c r="A1253" s="326">
        <v>45856</v>
      </c>
      <c r="B1253" s="298" t="s">
        <v>2112</v>
      </c>
      <c r="C1253" s="299" t="s">
        <v>172</v>
      </c>
      <c r="D1253" s="300" t="s">
        <v>117</v>
      </c>
      <c r="E1253" s="298">
        <v>1000</v>
      </c>
      <c r="F1253" s="311">
        <f t="shared" si="5"/>
        <v>1.8718245666117783</v>
      </c>
      <c r="G1253" s="332">
        <v>534.23810000000003</v>
      </c>
      <c r="H1253" s="302" t="s">
        <v>151</v>
      </c>
      <c r="I1253" s="303" t="s">
        <v>2119</v>
      </c>
      <c r="J1253" s="125" t="s">
        <v>96</v>
      </c>
      <c r="K1253" s="125" t="s">
        <v>1137</v>
      </c>
      <c r="L1253" s="143" t="s">
        <v>153</v>
      </c>
      <c r="M1253" s="125"/>
      <c r="N1253" s="125"/>
      <c r="O1253" s="125"/>
    </row>
    <row r="1254" spans="1:15" ht="15.6" hidden="1">
      <c r="A1254" s="326">
        <v>45856</v>
      </c>
      <c r="B1254" s="298" t="s">
        <v>2113</v>
      </c>
      <c r="C1254" s="299" t="s">
        <v>172</v>
      </c>
      <c r="D1254" s="300" t="s">
        <v>117</v>
      </c>
      <c r="E1254" s="298">
        <v>1000</v>
      </c>
      <c r="F1254" s="311">
        <f t="shared" si="5"/>
        <v>1.8718245666117783</v>
      </c>
      <c r="G1254" s="332">
        <v>534.23810000000003</v>
      </c>
      <c r="H1254" s="302" t="s">
        <v>151</v>
      </c>
      <c r="I1254" s="303" t="s">
        <v>2119</v>
      </c>
      <c r="J1254" s="125" t="s">
        <v>96</v>
      </c>
      <c r="K1254" s="125" t="s">
        <v>1137</v>
      </c>
      <c r="L1254" s="143" t="s">
        <v>153</v>
      </c>
      <c r="M1254" s="125"/>
      <c r="N1254" s="125"/>
      <c r="O1254" s="125"/>
    </row>
    <row r="1255" spans="1:15" ht="15.6" hidden="1">
      <c r="A1255" s="326">
        <v>45856</v>
      </c>
      <c r="B1255" s="298" t="s">
        <v>2114</v>
      </c>
      <c r="C1255" s="299" t="s">
        <v>172</v>
      </c>
      <c r="D1255" s="300" t="s">
        <v>117</v>
      </c>
      <c r="E1255" s="298">
        <v>1000</v>
      </c>
      <c r="F1255" s="311">
        <f t="shared" si="5"/>
        <v>1.8718245666117783</v>
      </c>
      <c r="G1255" s="336">
        <v>534.23810000000003</v>
      </c>
      <c r="H1255" s="302" t="s">
        <v>151</v>
      </c>
      <c r="I1255" s="303" t="s">
        <v>2119</v>
      </c>
      <c r="J1255" s="125" t="s">
        <v>96</v>
      </c>
      <c r="K1255" s="125" t="s">
        <v>1137</v>
      </c>
      <c r="L1255" s="143" t="s">
        <v>153</v>
      </c>
      <c r="M1255" s="125"/>
      <c r="N1255" s="125"/>
      <c r="O1255" s="125"/>
    </row>
    <row r="1256" spans="1:15" ht="15.6" hidden="1">
      <c r="A1256" s="326">
        <v>45856</v>
      </c>
      <c r="B1256" s="298" t="s">
        <v>2115</v>
      </c>
      <c r="C1256" s="299" t="s">
        <v>172</v>
      </c>
      <c r="D1256" s="300" t="s">
        <v>117</v>
      </c>
      <c r="E1256" s="298">
        <v>1000</v>
      </c>
      <c r="F1256" s="311">
        <f t="shared" si="5"/>
        <v>1.8718245666117783</v>
      </c>
      <c r="G1256" s="336">
        <v>534.23810000000003</v>
      </c>
      <c r="H1256" s="302" t="s">
        <v>151</v>
      </c>
      <c r="I1256" s="303" t="s">
        <v>2119</v>
      </c>
      <c r="J1256" s="125" t="s">
        <v>96</v>
      </c>
      <c r="K1256" s="125" t="s">
        <v>1137</v>
      </c>
      <c r="L1256" s="143" t="s">
        <v>153</v>
      </c>
      <c r="M1256" s="125"/>
      <c r="N1256" s="125"/>
      <c r="O1256" s="125"/>
    </row>
    <row r="1257" spans="1:15" ht="15.6" hidden="1">
      <c r="A1257" s="326">
        <v>45856</v>
      </c>
      <c r="B1257" s="298" t="s">
        <v>2104</v>
      </c>
      <c r="C1257" s="299" t="s">
        <v>172</v>
      </c>
      <c r="D1257" s="300" t="s">
        <v>117</v>
      </c>
      <c r="E1257" s="298">
        <v>1000</v>
      </c>
      <c r="F1257" s="311">
        <f t="shared" si="5"/>
        <v>1.8718245666117783</v>
      </c>
      <c r="G1257" s="336">
        <v>534.23810000000003</v>
      </c>
      <c r="H1257" s="302" t="s">
        <v>151</v>
      </c>
      <c r="I1257" s="303" t="s">
        <v>2119</v>
      </c>
      <c r="J1257" s="125" t="s">
        <v>96</v>
      </c>
      <c r="K1257" s="125" t="s">
        <v>1137</v>
      </c>
      <c r="L1257" s="143" t="s">
        <v>153</v>
      </c>
      <c r="M1257" s="125"/>
      <c r="N1257" s="125"/>
      <c r="O1257" s="125"/>
    </row>
    <row r="1258" spans="1:15" ht="15.6" hidden="1">
      <c r="A1258" s="326">
        <v>45859</v>
      </c>
      <c r="B1258" s="298" t="s">
        <v>2103</v>
      </c>
      <c r="C1258" s="299" t="s">
        <v>172</v>
      </c>
      <c r="D1258" s="300" t="s">
        <v>117</v>
      </c>
      <c r="E1258" s="298">
        <v>1000</v>
      </c>
      <c r="F1258" s="311">
        <f t="shared" si="5"/>
        <v>1.8718245666117783</v>
      </c>
      <c r="G1258" s="336">
        <v>534.23810000000003</v>
      </c>
      <c r="H1258" s="302" t="s">
        <v>151</v>
      </c>
      <c r="I1258" s="303" t="s">
        <v>2119</v>
      </c>
      <c r="J1258" s="125" t="s">
        <v>96</v>
      </c>
      <c r="K1258" s="125" t="s">
        <v>1137</v>
      </c>
      <c r="L1258" s="143" t="s">
        <v>153</v>
      </c>
      <c r="M1258" s="125"/>
      <c r="N1258" s="125"/>
      <c r="O1258" s="125"/>
    </row>
    <row r="1259" spans="1:15" ht="15.6" hidden="1">
      <c r="A1259" s="326">
        <v>45859</v>
      </c>
      <c r="B1259" s="298" t="s">
        <v>2104</v>
      </c>
      <c r="C1259" s="299" t="s">
        <v>172</v>
      </c>
      <c r="D1259" s="300" t="s">
        <v>117</v>
      </c>
      <c r="E1259" s="298">
        <v>1000</v>
      </c>
      <c r="F1259" s="311">
        <f t="shared" si="5"/>
        <v>1.8718245666117783</v>
      </c>
      <c r="G1259" s="336">
        <v>534.23810000000003</v>
      </c>
      <c r="H1259" s="302" t="s">
        <v>151</v>
      </c>
      <c r="I1259" s="303" t="s">
        <v>2119</v>
      </c>
      <c r="J1259" s="125" t="s">
        <v>96</v>
      </c>
      <c r="K1259" s="125" t="s">
        <v>1137</v>
      </c>
      <c r="L1259" s="143" t="s">
        <v>153</v>
      </c>
      <c r="M1259" s="125"/>
      <c r="N1259" s="125"/>
      <c r="O1259" s="125"/>
    </row>
    <row r="1260" spans="1:15" ht="15.6" hidden="1">
      <c r="A1260" s="326">
        <v>45859</v>
      </c>
      <c r="B1260" s="327" t="s">
        <v>2181</v>
      </c>
      <c r="C1260" s="327" t="s">
        <v>172</v>
      </c>
      <c r="D1260" s="327" t="s">
        <v>115</v>
      </c>
      <c r="E1260" s="316">
        <v>2000</v>
      </c>
      <c r="F1260" s="311">
        <f t="shared" si="5"/>
        <v>3.7436491332235566</v>
      </c>
      <c r="G1260" s="336">
        <v>534.23810000000003</v>
      </c>
      <c r="H1260" s="327" t="s">
        <v>188</v>
      </c>
      <c r="I1260" s="125" t="s">
        <v>2188</v>
      </c>
      <c r="J1260" s="125" t="s">
        <v>96</v>
      </c>
      <c r="K1260" s="125" t="s">
        <v>1137</v>
      </c>
      <c r="L1260" s="143" t="s">
        <v>153</v>
      </c>
      <c r="M1260" s="125"/>
      <c r="N1260" s="125"/>
      <c r="O1260" s="125"/>
    </row>
    <row r="1261" spans="1:15" ht="15.6" hidden="1">
      <c r="A1261" s="326">
        <v>45859</v>
      </c>
      <c r="B1261" s="327" t="s">
        <v>2182</v>
      </c>
      <c r="C1261" s="327" t="s">
        <v>172</v>
      </c>
      <c r="D1261" s="327" t="s">
        <v>115</v>
      </c>
      <c r="E1261" s="316">
        <v>1500</v>
      </c>
      <c r="F1261" s="311">
        <f t="shared" si="5"/>
        <v>2.8077368499176676</v>
      </c>
      <c r="G1261" s="336">
        <v>534.23810000000003</v>
      </c>
      <c r="H1261" s="327" t="s">
        <v>188</v>
      </c>
      <c r="I1261" s="125" t="s">
        <v>2188</v>
      </c>
      <c r="J1261" s="125" t="s">
        <v>96</v>
      </c>
      <c r="K1261" s="125" t="s">
        <v>1137</v>
      </c>
      <c r="L1261" s="143" t="s">
        <v>153</v>
      </c>
      <c r="M1261" s="125"/>
      <c r="N1261" s="125"/>
      <c r="O1261" s="125"/>
    </row>
    <row r="1262" spans="1:15" ht="15.6" hidden="1">
      <c r="A1262" s="326">
        <v>45859</v>
      </c>
      <c r="B1262" s="327" t="s">
        <v>2183</v>
      </c>
      <c r="C1262" s="327" t="s">
        <v>172</v>
      </c>
      <c r="D1262" s="327" t="s">
        <v>115</v>
      </c>
      <c r="E1262" s="316">
        <v>1500</v>
      </c>
      <c r="F1262" s="311">
        <f t="shared" si="5"/>
        <v>2.8077368499176676</v>
      </c>
      <c r="G1262" s="336">
        <v>534.23810000000003</v>
      </c>
      <c r="H1262" s="327" t="s">
        <v>188</v>
      </c>
      <c r="I1262" s="125" t="s">
        <v>2188</v>
      </c>
      <c r="J1262" s="125" t="s">
        <v>96</v>
      </c>
      <c r="K1262" s="125" t="s">
        <v>1137</v>
      </c>
      <c r="L1262" s="143" t="s">
        <v>153</v>
      </c>
      <c r="M1262" s="125"/>
      <c r="N1262" s="125"/>
      <c r="O1262" s="125"/>
    </row>
    <row r="1263" spans="1:15" ht="15.6" hidden="1">
      <c r="A1263" s="326">
        <v>45859</v>
      </c>
      <c r="B1263" s="327" t="s">
        <v>2184</v>
      </c>
      <c r="C1263" s="327" t="s">
        <v>172</v>
      </c>
      <c r="D1263" s="327" t="s">
        <v>115</v>
      </c>
      <c r="E1263" s="316">
        <v>2000</v>
      </c>
      <c r="F1263" s="311">
        <f t="shared" si="5"/>
        <v>3.7436491332235566</v>
      </c>
      <c r="G1263" s="336">
        <v>534.23810000000003</v>
      </c>
      <c r="H1263" s="327" t="s">
        <v>188</v>
      </c>
      <c r="I1263" s="125" t="s">
        <v>2188</v>
      </c>
      <c r="J1263" s="125" t="s">
        <v>96</v>
      </c>
      <c r="K1263" s="125" t="s">
        <v>1137</v>
      </c>
      <c r="L1263" s="143" t="s">
        <v>153</v>
      </c>
      <c r="M1263" s="125"/>
      <c r="N1263" s="125"/>
      <c r="O1263" s="125"/>
    </row>
    <row r="1264" spans="1:15" ht="15.6" hidden="1">
      <c r="A1264" s="326">
        <v>45859</v>
      </c>
      <c r="B1264" s="327" t="s">
        <v>2185</v>
      </c>
      <c r="C1264" s="327" t="s">
        <v>172</v>
      </c>
      <c r="D1264" s="327" t="s">
        <v>115</v>
      </c>
      <c r="E1264" s="316">
        <v>2000</v>
      </c>
      <c r="F1264" s="311">
        <f t="shared" si="5"/>
        <v>3.7436491332235566</v>
      </c>
      <c r="G1264" s="336">
        <v>534.23810000000003</v>
      </c>
      <c r="H1264" s="327" t="s">
        <v>188</v>
      </c>
      <c r="I1264" s="125" t="s">
        <v>2188</v>
      </c>
      <c r="J1264" s="125" t="s">
        <v>96</v>
      </c>
      <c r="K1264" s="125" t="s">
        <v>1137</v>
      </c>
      <c r="L1264" s="143" t="s">
        <v>153</v>
      </c>
      <c r="M1264" s="125"/>
      <c r="N1264" s="125"/>
      <c r="O1264" s="125"/>
    </row>
    <row r="1265" spans="1:15" ht="15.6" hidden="1">
      <c r="A1265" s="326">
        <v>45859</v>
      </c>
      <c r="B1265" s="327" t="s">
        <v>2186</v>
      </c>
      <c r="C1265" s="327" t="s">
        <v>172</v>
      </c>
      <c r="D1265" s="327" t="s">
        <v>115</v>
      </c>
      <c r="E1265" s="316">
        <v>1000</v>
      </c>
      <c r="F1265" s="311">
        <f t="shared" si="5"/>
        <v>1.8718245666117783</v>
      </c>
      <c r="G1265" s="336">
        <v>534.23810000000003</v>
      </c>
      <c r="H1265" s="327" t="s">
        <v>188</v>
      </c>
      <c r="I1265" s="125" t="s">
        <v>2188</v>
      </c>
      <c r="J1265" s="125" t="s">
        <v>96</v>
      </c>
      <c r="K1265" s="125" t="s">
        <v>1137</v>
      </c>
      <c r="L1265" s="143" t="s">
        <v>153</v>
      </c>
      <c r="M1265" s="125"/>
      <c r="N1265" s="125"/>
      <c r="O1265" s="125"/>
    </row>
    <row r="1266" spans="1:15" ht="15.6" hidden="1">
      <c r="A1266" s="326">
        <v>45859</v>
      </c>
      <c r="B1266" s="327" t="s">
        <v>820</v>
      </c>
      <c r="C1266" s="327" t="s">
        <v>170</v>
      </c>
      <c r="D1266" s="327" t="s">
        <v>116</v>
      </c>
      <c r="E1266" s="316">
        <v>31250</v>
      </c>
      <c r="F1266" s="311">
        <f t="shared" si="5"/>
        <v>58.494517706618076</v>
      </c>
      <c r="G1266" s="336">
        <v>534.23810000000003</v>
      </c>
      <c r="H1266" s="244" t="s">
        <v>188</v>
      </c>
      <c r="I1266" s="127" t="s">
        <v>2189</v>
      </c>
      <c r="J1266" s="125" t="s">
        <v>96</v>
      </c>
      <c r="K1266" s="125" t="s">
        <v>1137</v>
      </c>
      <c r="L1266" s="143" t="s">
        <v>153</v>
      </c>
      <c r="M1266" s="125"/>
      <c r="N1266" s="125"/>
      <c r="O1266" s="125"/>
    </row>
    <row r="1267" spans="1:15" ht="15.6" hidden="1">
      <c r="A1267" s="326">
        <v>45859</v>
      </c>
      <c r="B1267" s="179" t="s">
        <v>2198</v>
      </c>
      <c r="C1267" s="179" t="s">
        <v>172</v>
      </c>
      <c r="D1267" s="179" t="s">
        <v>115</v>
      </c>
      <c r="E1267" s="316">
        <v>2000</v>
      </c>
      <c r="F1267" s="311">
        <f t="shared" si="5"/>
        <v>3.7436491332235566</v>
      </c>
      <c r="G1267" s="336">
        <v>534.23810000000003</v>
      </c>
      <c r="H1267" s="179" t="s">
        <v>191</v>
      </c>
      <c r="I1267" s="179" t="s">
        <v>2204</v>
      </c>
      <c r="J1267" s="125" t="s">
        <v>96</v>
      </c>
      <c r="K1267" s="125" t="s">
        <v>1137</v>
      </c>
      <c r="L1267" s="143" t="s">
        <v>153</v>
      </c>
      <c r="M1267" s="125"/>
      <c r="N1267" s="125"/>
      <c r="O1267" s="125"/>
    </row>
    <row r="1268" spans="1:15" ht="15.6" hidden="1">
      <c r="A1268" s="326">
        <v>45859</v>
      </c>
      <c r="B1268" s="179" t="s">
        <v>2199</v>
      </c>
      <c r="C1268" s="179" t="s">
        <v>172</v>
      </c>
      <c r="D1268" s="179" t="s">
        <v>115</v>
      </c>
      <c r="E1268" s="316">
        <v>2000</v>
      </c>
      <c r="F1268" s="311">
        <f t="shared" si="5"/>
        <v>3.7436491332235566</v>
      </c>
      <c r="G1268" s="336">
        <v>534.23810000000003</v>
      </c>
      <c r="H1268" s="179" t="s">
        <v>191</v>
      </c>
      <c r="I1268" s="179" t="s">
        <v>2204</v>
      </c>
      <c r="J1268" s="125" t="s">
        <v>96</v>
      </c>
      <c r="K1268" s="125" t="s">
        <v>1137</v>
      </c>
      <c r="L1268" s="143" t="s">
        <v>153</v>
      </c>
      <c r="M1268" s="125"/>
      <c r="N1268" s="125"/>
      <c r="O1268" s="125"/>
    </row>
    <row r="1269" spans="1:15" ht="15.6" hidden="1">
      <c r="A1269" s="326">
        <v>45859</v>
      </c>
      <c r="B1269" s="179" t="s">
        <v>2200</v>
      </c>
      <c r="C1269" s="179" t="s">
        <v>172</v>
      </c>
      <c r="D1269" s="179" t="s">
        <v>115</v>
      </c>
      <c r="E1269" s="316">
        <v>3000</v>
      </c>
      <c r="F1269" s="311">
        <f t="shared" si="5"/>
        <v>5.6154736998353352</v>
      </c>
      <c r="G1269" s="336">
        <v>534.23810000000003</v>
      </c>
      <c r="H1269" s="179" t="s">
        <v>191</v>
      </c>
      <c r="I1269" s="179" t="s">
        <v>2204</v>
      </c>
      <c r="J1269" s="125" t="s">
        <v>96</v>
      </c>
      <c r="K1269" s="125" t="s">
        <v>1137</v>
      </c>
      <c r="L1269" s="143" t="s">
        <v>153</v>
      </c>
      <c r="M1269" s="125"/>
      <c r="N1269" s="125"/>
      <c r="O1269" s="125"/>
    </row>
    <row r="1270" spans="1:15" ht="15.6" hidden="1">
      <c r="A1270" s="326">
        <v>45859</v>
      </c>
      <c r="B1270" s="179" t="s">
        <v>820</v>
      </c>
      <c r="C1270" s="179" t="s">
        <v>170</v>
      </c>
      <c r="D1270" s="327" t="s">
        <v>116</v>
      </c>
      <c r="E1270" s="316">
        <v>31250</v>
      </c>
      <c r="F1270" s="311">
        <f t="shared" si="5"/>
        <v>58.494517706618076</v>
      </c>
      <c r="G1270" s="336">
        <v>534.23810000000003</v>
      </c>
      <c r="H1270" s="244" t="s">
        <v>191</v>
      </c>
      <c r="I1270" s="244" t="s">
        <v>2206</v>
      </c>
      <c r="J1270" s="125" t="s">
        <v>96</v>
      </c>
      <c r="K1270" s="125" t="s">
        <v>1137</v>
      </c>
      <c r="L1270" s="143" t="s">
        <v>153</v>
      </c>
      <c r="M1270" s="125"/>
      <c r="N1270" s="125"/>
      <c r="O1270" s="125"/>
    </row>
    <row r="1271" spans="1:15" ht="15.6" hidden="1">
      <c r="A1271" s="326">
        <v>45860</v>
      </c>
      <c r="B1271" s="298" t="s">
        <v>2103</v>
      </c>
      <c r="C1271" s="299" t="s">
        <v>172</v>
      </c>
      <c r="D1271" s="300" t="s">
        <v>117</v>
      </c>
      <c r="E1271" s="298">
        <v>1000</v>
      </c>
      <c r="F1271" s="311">
        <f t="shared" si="5"/>
        <v>1.8718245666117783</v>
      </c>
      <c r="G1271" s="336">
        <v>534.23810000000003</v>
      </c>
      <c r="H1271" s="302" t="s">
        <v>151</v>
      </c>
      <c r="I1271" s="303" t="s">
        <v>2119</v>
      </c>
      <c r="J1271" s="125" t="s">
        <v>96</v>
      </c>
      <c r="K1271" s="125" t="s">
        <v>1137</v>
      </c>
      <c r="L1271" s="143" t="s">
        <v>153</v>
      </c>
      <c r="M1271" s="125"/>
      <c r="N1271" s="125"/>
      <c r="O1271" s="125"/>
    </row>
    <row r="1272" spans="1:15" ht="15.6" hidden="1">
      <c r="A1272" s="326">
        <v>45860</v>
      </c>
      <c r="B1272" s="298" t="s">
        <v>2116</v>
      </c>
      <c r="C1272" s="299" t="s">
        <v>172</v>
      </c>
      <c r="D1272" s="300" t="s">
        <v>117</v>
      </c>
      <c r="E1272" s="298">
        <v>1000</v>
      </c>
      <c r="F1272" s="311">
        <f t="shared" si="5"/>
        <v>1.8718245666117783</v>
      </c>
      <c r="G1272" s="336">
        <v>534.23810000000003</v>
      </c>
      <c r="H1272" s="302" t="s">
        <v>151</v>
      </c>
      <c r="I1272" s="303" t="s">
        <v>2119</v>
      </c>
      <c r="J1272" s="125" t="s">
        <v>96</v>
      </c>
      <c r="K1272" s="125" t="s">
        <v>1137</v>
      </c>
      <c r="L1272" s="143" t="s">
        <v>153</v>
      </c>
      <c r="M1272" s="125"/>
      <c r="N1272" s="125"/>
      <c r="O1272" s="125"/>
    </row>
    <row r="1273" spans="1:15" ht="15.6" hidden="1">
      <c r="A1273" s="326">
        <v>45860</v>
      </c>
      <c r="B1273" s="327" t="s">
        <v>2144</v>
      </c>
      <c r="C1273" s="327" t="s">
        <v>172</v>
      </c>
      <c r="D1273" s="327" t="s">
        <v>116</v>
      </c>
      <c r="E1273" s="316">
        <v>1000</v>
      </c>
      <c r="F1273" s="311">
        <f t="shared" si="5"/>
        <v>1.8718245666117783</v>
      </c>
      <c r="G1273" s="336">
        <v>534.23810000000003</v>
      </c>
      <c r="H1273" s="327" t="s">
        <v>581</v>
      </c>
      <c r="I1273" s="125" t="s">
        <v>2168</v>
      </c>
      <c r="J1273" s="125" t="s">
        <v>96</v>
      </c>
      <c r="K1273" s="125" t="s">
        <v>1137</v>
      </c>
      <c r="L1273" s="143" t="s">
        <v>153</v>
      </c>
      <c r="M1273" s="125"/>
      <c r="N1273" s="125"/>
      <c r="O1273" s="125"/>
    </row>
    <row r="1274" spans="1:15" ht="15.6" hidden="1">
      <c r="A1274" s="326">
        <v>45860</v>
      </c>
      <c r="B1274" s="327" t="s">
        <v>2145</v>
      </c>
      <c r="C1274" s="327" t="s">
        <v>172</v>
      </c>
      <c r="D1274" s="327" t="s">
        <v>116</v>
      </c>
      <c r="E1274" s="316">
        <v>1000</v>
      </c>
      <c r="F1274" s="311">
        <f t="shared" si="5"/>
        <v>1.8718245666117783</v>
      </c>
      <c r="G1274" s="336">
        <v>534.23810000000003</v>
      </c>
      <c r="H1274" s="327" t="s">
        <v>581</v>
      </c>
      <c r="I1274" s="125" t="s">
        <v>2168</v>
      </c>
      <c r="J1274" s="125" t="s">
        <v>96</v>
      </c>
      <c r="K1274" s="125" t="s">
        <v>1137</v>
      </c>
      <c r="L1274" s="143" t="s">
        <v>153</v>
      </c>
      <c r="M1274" s="125"/>
      <c r="N1274" s="125"/>
      <c r="O1274" s="125"/>
    </row>
    <row r="1275" spans="1:15" ht="15.6" hidden="1">
      <c r="A1275" s="326">
        <v>45860</v>
      </c>
      <c r="B1275" s="327" t="s">
        <v>2146</v>
      </c>
      <c r="C1275" s="327" t="s">
        <v>172</v>
      </c>
      <c r="D1275" s="327" t="s">
        <v>116</v>
      </c>
      <c r="E1275" s="316">
        <v>1000</v>
      </c>
      <c r="F1275" s="311">
        <f t="shared" si="5"/>
        <v>1.8718245666117783</v>
      </c>
      <c r="G1275" s="336">
        <v>534.23810000000003</v>
      </c>
      <c r="H1275" s="327" t="s">
        <v>581</v>
      </c>
      <c r="I1275" s="125" t="s">
        <v>2168</v>
      </c>
      <c r="J1275" s="125" t="s">
        <v>96</v>
      </c>
      <c r="K1275" s="125" t="s">
        <v>1137</v>
      </c>
      <c r="L1275" s="143" t="s">
        <v>153</v>
      </c>
      <c r="M1275" s="125"/>
      <c r="N1275" s="125"/>
      <c r="O1275" s="125"/>
    </row>
    <row r="1276" spans="1:15" ht="15.6" hidden="1">
      <c r="A1276" s="326">
        <v>45860</v>
      </c>
      <c r="B1276" s="327" t="s">
        <v>2147</v>
      </c>
      <c r="C1276" s="327" t="s">
        <v>172</v>
      </c>
      <c r="D1276" s="327" t="s">
        <v>116</v>
      </c>
      <c r="E1276" s="316">
        <v>1000</v>
      </c>
      <c r="F1276" s="311">
        <f t="shared" si="5"/>
        <v>1.8718245666117783</v>
      </c>
      <c r="G1276" s="336">
        <v>534.23810000000003</v>
      </c>
      <c r="H1276" s="327" t="s">
        <v>581</v>
      </c>
      <c r="I1276" s="125" t="s">
        <v>2168</v>
      </c>
      <c r="J1276" s="125" t="s">
        <v>96</v>
      </c>
      <c r="K1276" s="125" t="s">
        <v>1137</v>
      </c>
      <c r="L1276" s="143" t="s">
        <v>153</v>
      </c>
      <c r="M1276" s="125"/>
      <c r="N1276" s="125"/>
      <c r="O1276" s="125"/>
    </row>
    <row r="1277" spans="1:15" ht="15.6" hidden="1">
      <c r="A1277" s="326">
        <v>45860</v>
      </c>
      <c r="B1277" s="327" t="s">
        <v>2148</v>
      </c>
      <c r="C1277" s="327" t="s">
        <v>172</v>
      </c>
      <c r="D1277" s="327" t="s">
        <v>116</v>
      </c>
      <c r="E1277" s="316">
        <v>1000</v>
      </c>
      <c r="F1277" s="311">
        <f t="shared" ref="F1277:F1282" si="6">E1277/G1277</f>
        <v>1.8718245666117783</v>
      </c>
      <c r="G1277" s="336">
        <v>534.23810000000003</v>
      </c>
      <c r="H1277" s="327" t="s">
        <v>581</v>
      </c>
      <c r="I1277" s="125" t="s">
        <v>2168</v>
      </c>
      <c r="J1277" s="125" t="s">
        <v>96</v>
      </c>
      <c r="K1277" s="125" t="s">
        <v>1137</v>
      </c>
      <c r="L1277" s="143" t="s">
        <v>153</v>
      </c>
      <c r="M1277" s="317"/>
      <c r="N1277" s="317"/>
      <c r="O1277" s="125"/>
    </row>
    <row r="1278" spans="1:15" ht="15.6" hidden="1">
      <c r="A1278" s="326">
        <v>45860</v>
      </c>
      <c r="B1278" s="179" t="s">
        <v>2335</v>
      </c>
      <c r="C1278" s="179" t="s">
        <v>150</v>
      </c>
      <c r="D1278" s="179" t="s">
        <v>115</v>
      </c>
      <c r="E1278" s="240">
        <v>5000</v>
      </c>
      <c r="F1278" s="311">
        <f t="shared" si="6"/>
        <v>9.3591228330588923</v>
      </c>
      <c r="G1278" s="336">
        <v>534.23810000000003</v>
      </c>
      <c r="H1278" s="252" t="s">
        <v>195</v>
      </c>
      <c r="I1278" s="179" t="s">
        <v>2220</v>
      </c>
      <c r="J1278" s="125" t="s">
        <v>96</v>
      </c>
      <c r="K1278" s="125" t="s">
        <v>1137</v>
      </c>
      <c r="L1278" s="143" t="s">
        <v>153</v>
      </c>
      <c r="M1278" s="125"/>
      <c r="N1278" s="125"/>
      <c r="O1278" s="125"/>
    </row>
    <row r="1279" spans="1:15" ht="15.6" hidden="1">
      <c r="A1279" s="326">
        <v>45860</v>
      </c>
      <c r="B1279" s="179" t="s">
        <v>2208</v>
      </c>
      <c r="C1279" s="239" t="s">
        <v>194</v>
      </c>
      <c r="D1279" s="239" t="s">
        <v>115</v>
      </c>
      <c r="E1279" s="240">
        <v>1000</v>
      </c>
      <c r="F1279" s="311">
        <f t="shared" si="6"/>
        <v>1.8718245666117783</v>
      </c>
      <c r="G1279" s="336">
        <v>534.23810000000003</v>
      </c>
      <c r="H1279" s="252" t="s">
        <v>195</v>
      </c>
      <c r="I1279" s="179" t="s">
        <v>2221</v>
      </c>
      <c r="J1279" s="125" t="s">
        <v>96</v>
      </c>
      <c r="K1279" s="125" t="s">
        <v>1137</v>
      </c>
      <c r="L1279" s="143" t="s">
        <v>153</v>
      </c>
      <c r="M1279" s="125"/>
      <c r="N1279" s="125"/>
      <c r="O1279" s="125"/>
    </row>
    <row r="1280" spans="1:15" ht="15.6" hidden="1">
      <c r="A1280" s="326">
        <v>45860</v>
      </c>
      <c r="B1280" s="179" t="s">
        <v>1401</v>
      </c>
      <c r="C1280" s="239" t="s">
        <v>194</v>
      </c>
      <c r="D1280" s="239" t="s">
        <v>115</v>
      </c>
      <c r="E1280" s="240">
        <v>7000</v>
      </c>
      <c r="F1280" s="311">
        <f t="shared" si="6"/>
        <v>13.102771966282448</v>
      </c>
      <c r="G1280" s="336">
        <v>534.23810000000003</v>
      </c>
      <c r="H1280" s="252" t="s">
        <v>195</v>
      </c>
      <c r="I1280" s="179" t="s">
        <v>2222</v>
      </c>
      <c r="J1280" s="125" t="s">
        <v>96</v>
      </c>
      <c r="K1280" s="125" t="s">
        <v>1137</v>
      </c>
      <c r="L1280" s="143" t="s">
        <v>153</v>
      </c>
      <c r="M1280" s="125"/>
      <c r="N1280" s="125"/>
      <c r="O1280" s="125"/>
    </row>
    <row r="1281" spans="1:15" ht="15.6" hidden="1">
      <c r="A1281" s="326">
        <v>45860</v>
      </c>
      <c r="B1281" s="179" t="s">
        <v>2209</v>
      </c>
      <c r="C1281" s="239" t="s">
        <v>194</v>
      </c>
      <c r="D1281" s="239" t="s">
        <v>115</v>
      </c>
      <c r="E1281" s="240">
        <v>1000</v>
      </c>
      <c r="F1281" s="311">
        <f t="shared" si="6"/>
        <v>1.8718245666117783</v>
      </c>
      <c r="G1281" s="336">
        <v>534.23810000000003</v>
      </c>
      <c r="H1281" s="252" t="s">
        <v>195</v>
      </c>
      <c r="I1281" s="179" t="s">
        <v>2221</v>
      </c>
      <c r="J1281" s="125" t="s">
        <v>96</v>
      </c>
      <c r="K1281" s="125" t="s">
        <v>1137</v>
      </c>
      <c r="L1281" s="143" t="s">
        <v>153</v>
      </c>
      <c r="M1281" s="125"/>
      <c r="N1281" s="125"/>
      <c r="O1281" s="125"/>
    </row>
    <row r="1282" spans="1:15" ht="15.6" hidden="1">
      <c r="A1282" s="326">
        <v>45860</v>
      </c>
      <c r="B1282" s="327" t="s">
        <v>2226</v>
      </c>
      <c r="C1282" s="179" t="s">
        <v>172</v>
      </c>
      <c r="D1282" s="337" t="s">
        <v>118</v>
      </c>
      <c r="E1282" s="335">
        <v>1000</v>
      </c>
      <c r="F1282" s="311">
        <f t="shared" si="6"/>
        <v>1.8718245666117783</v>
      </c>
      <c r="G1282" s="336">
        <v>534.23810000000003</v>
      </c>
      <c r="H1282" s="327" t="s">
        <v>211</v>
      </c>
      <c r="I1282" s="125" t="s">
        <v>2237</v>
      </c>
      <c r="J1282" s="125" t="s">
        <v>96</v>
      </c>
      <c r="K1282" s="125" t="s">
        <v>1137</v>
      </c>
      <c r="L1282" s="143" t="s">
        <v>153</v>
      </c>
      <c r="M1282" s="125"/>
      <c r="N1282" s="125"/>
      <c r="O1282" s="125"/>
    </row>
    <row r="1283" spans="1:15" ht="15.6" hidden="1">
      <c r="A1283" s="326">
        <v>45860</v>
      </c>
      <c r="B1283" s="320" t="s">
        <v>2290</v>
      </c>
      <c r="C1283" s="177" t="s">
        <v>123</v>
      </c>
      <c r="D1283" s="177"/>
      <c r="E1283" s="324"/>
      <c r="F1283" s="311"/>
      <c r="G1283" s="338">
        <f>+M1283/N1283</f>
        <v>537.75419999999997</v>
      </c>
      <c r="H1283" s="327" t="s">
        <v>146</v>
      </c>
      <c r="I1283" s="125" t="s">
        <v>2313</v>
      </c>
      <c r="J1283" s="125" t="s">
        <v>96</v>
      </c>
      <c r="K1283" s="125" t="s">
        <v>2314</v>
      </c>
      <c r="L1283" s="143" t="s">
        <v>153</v>
      </c>
      <c r="M1283" s="317">
        <v>5377542</v>
      </c>
      <c r="N1283" s="125">
        <v>10000</v>
      </c>
      <c r="O1283" s="125"/>
    </row>
    <row r="1284" spans="1:15" ht="15.6" hidden="1">
      <c r="A1284" s="326">
        <v>45861</v>
      </c>
      <c r="B1284" s="298" t="s">
        <v>2103</v>
      </c>
      <c r="C1284" s="299" t="s">
        <v>172</v>
      </c>
      <c r="D1284" s="300" t="s">
        <v>117</v>
      </c>
      <c r="E1284" s="298">
        <v>1000</v>
      </c>
      <c r="F1284" s="311">
        <f t="shared" ref="F1284:F1315" si="7">E1284/G1284</f>
        <v>1.8595856619994786</v>
      </c>
      <c r="G1284" s="336">
        <v>537.75419999999997</v>
      </c>
      <c r="H1284" s="302" t="s">
        <v>151</v>
      </c>
      <c r="I1284" s="303" t="s">
        <v>2119</v>
      </c>
      <c r="J1284" s="125" t="s">
        <v>96</v>
      </c>
      <c r="K1284" s="125" t="s">
        <v>2314</v>
      </c>
      <c r="L1284" s="143" t="s">
        <v>153</v>
      </c>
      <c r="M1284" s="125"/>
      <c r="N1284" s="125"/>
      <c r="O1284" s="125"/>
    </row>
    <row r="1285" spans="1:15" ht="15.6" hidden="1">
      <c r="A1285" s="326">
        <v>45861</v>
      </c>
      <c r="B1285" s="298" t="s">
        <v>2104</v>
      </c>
      <c r="C1285" s="299" t="s">
        <v>172</v>
      </c>
      <c r="D1285" s="300" t="s">
        <v>117</v>
      </c>
      <c r="E1285" s="298">
        <v>1000</v>
      </c>
      <c r="F1285" s="311">
        <f t="shared" si="7"/>
        <v>1.8595856619994786</v>
      </c>
      <c r="G1285" s="336">
        <v>537.75419999999997</v>
      </c>
      <c r="H1285" s="302" t="s">
        <v>151</v>
      </c>
      <c r="I1285" s="303" t="s">
        <v>2119</v>
      </c>
      <c r="J1285" s="125" t="s">
        <v>96</v>
      </c>
      <c r="K1285" s="125" t="s">
        <v>2314</v>
      </c>
      <c r="L1285" s="143" t="s">
        <v>153</v>
      </c>
      <c r="M1285" s="125"/>
      <c r="N1285" s="125"/>
      <c r="O1285" s="125"/>
    </row>
    <row r="1286" spans="1:15" ht="15.6" hidden="1">
      <c r="A1286" s="326">
        <v>45861</v>
      </c>
      <c r="B1286" s="179" t="s">
        <v>2210</v>
      </c>
      <c r="C1286" s="239" t="s">
        <v>194</v>
      </c>
      <c r="D1286" s="239" t="s">
        <v>115</v>
      </c>
      <c r="E1286" s="240">
        <v>1000</v>
      </c>
      <c r="F1286" s="311">
        <f t="shared" si="7"/>
        <v>1.8595856619994786</v>
      </c>
      <c r="G1286" s="336">
        <v>537.75419999999997</v>
      </c>
      <c r="H1286" s="252" t="s">
        <v>195</v>
      </c>
      <c r="I1286" s="179" t="s">
        <v>2221</v>
      </c>
      <c r="J1286" s="125" t="s">
        <v>96</v>
      </c>
      <c r="K1286" s="125" t="s">
        <v>2314</v>
      </c>
      <c r="L1286" s="143" t="s">
        <v>153</v>
      </c>
      <c r="M1286" s="125"/>
      <c r="N1286" s="125"/>
      <c r="O1286" s="125"/>
    </row>
    <row r="1287" spans="1:15" ht="15.6" hidden="1">
      <c r="A1287" s="326">
        <v>45861</v>
      </c>
      <c r="B1287" s="179" t="s">
        <v>2211</v>
      </c>
      <c r="C1287" s="239" t="s">
        <v>194</v>
      </c>
      <c r="D1287" s="239" t="s">
        <v>115</v>
      </c>
      <c r="E1287" s="240">
        <v>500</v>
      </c>
      <c r="F1287" s="311">
        <f t="shared" si="7"/>
        <v>0.92979283099973931</v>
      </c>
      <c r="G1287" s="336">
        <v>537.75419999999997</v>
      </c>
      <c r="H1287" s="252" t="s">
        <v>195</v>
      </c>
      <c r="I1287" s="179" t="s">
        <v>2221</v>
      </c>
      <c r="J1287" s="125" t="s">
        <v>96</v>
      </c>
      <c r="K1287" s="125" t="s">
        <v>2314</v>
      </c>
      <c r="L1287" s="143" t="s">
        <v>153</v>
      </c>
      <c r="M1287" s="125"/>
      <c r="N1287" s="125"/>
      <c r="O1287" s="125"/>
    </row>
    <row r="1288" spans="1:15" ht="15.6" hidden="1">
      <c r="A1288" s="326">
        <v>45861</v>
      </c>
      <c r="B1288" s="243" t="s">
        <v>2212</v>
      </c>
      <c r="C1288" s="243" t="s">
        <v>175</v>
      </c>
      <c r="D1288" s="243" t="s">
        <v>115</v>
      </c>
      <c r="E1288" s="240">
        <v>20000</v>
      </c>
      <c r="F1288" s="311">
        <f t="shared" si="7"/>
        <v>37.191713239989575</v>
      </c>
      <c r="G1288" s="336">
        <v>537.75419999999997</v>
      </c>
      <c r="H1288" s="252" t="s">
        <v>195</v>
      </c>
      <c r="I1288" s="179" t="s">
        <v>2223</v>
      </c>
      <c r="J1288" s="125" t="s">
        <v>96</v>
      </c>
      <c r="K1288" s="125" t="s">
        <v>2314</v>
      </c>
      <c r="L1288" s="143" t="s">
        <v>153</v>
      </c>
      <c r="M1288" s="125"/>
      <c r="N1288" s="125"/>
      <c r="O1288" s="125"/>
    </row>
    <row r="1289" spans="1:15" ht="15.6" hidden="1">
      <c r="A1289" s="326">
        <v>45862</v>
      </c>
      <c r="B1289" s="298" t="s">
        <v>2103</v>
      </c>
      <c r="C1289" s="299" t="s">
        <v>172</v>
      </c>
      <c r="D1289" s="300" t="s">
        <v>117</v>
      </c>
      <c r="E1289" s="298">
        <v>1000</v>
      </c>
      <c r="F1289" s="311">
        <f t="shared" si="7"/>
        <v>1.8595856619994786</v>
      </c>
      <c r="G1289" s="336">
        <v>537.75419999999997</v>
      </c>
      <c r="H1289" s="302" t="s">
        <v>151</v>
      </c>
      <c r="I1289" s="303" t="s">
        <v>2119</v>
      </c>
      <c r="J1289" s="125" t="s">
        <v>96</v>
      </c>
      <c r="K1289" s="125" t="s">
        <v>2314</v>
      </c>
      <c r="L1289" s="143" t="s">
        <v>153</v>
      </c>
      <c r="M1289" s="125"/>
      <c r="N1289" s="125"/>
      <c r="O1289" s="125"/>
    </row>
    <row r="1290" spans="1:15" ht="15.6" hidden="1">
      <c r="A1290" s="326">
        <v>45862</v>
      </c>
      <c r="B1290" s="298" t="s">
        <v>2104</v>
      </c>
      <c r="C1290" s="299" t="s">
        <v>172</v>
      </c>
      <c r="D1290" s="300" t="s">
        <v>117</v>
      </c>
      <c r="E1290" s="298">
        <v>1000</v>
      </c>
      <c r="F1290" s="311">
        <f t="shared" si="7"/>
        <v>1.8595856619994786</v>
      </c>
      <c r="G1290" s="336">
        <v>537.75419999999997</v>
      </c>
      <c r="H1290" s="302" t="s">
        <v>151</v>
      </c>
      <c r="I1290" s="303" t="s">
        <v>2119</v>
      </c>
      <c r="J1290" s="125" t="s">
        <v>96</v>
      </c>
      <c r="K1290" s="125" t="s">
        <v>2314</v>
      </c>
      <c r="L1290" s="143" t="s">
        <v>153</v>
      </c>
      <c r="M1290" s="125"/>
      <c r="N1290" s="125"/>
      <c r="O1290" s="125"/>
    </row>
    <row r="1291" spans="1:15" ht="15.6" hidden="1">
      <c r="A1291" s="326">
        <v>45862</v>
      </c>
      <c r="B1291" s="329" t="s">
        <v>2124</v>
      </c>
      <c r="C1291" s="330" t="s">
        <v>172</v>
      </c>
      <c r="D1291" s="329" t="s">
        <v>115</v>
      </c>
      <c r="E1291" s="330">
        <v>1000</v>
      </c>
      <c r="F1291" s="311">
        <f t="shared" si="7"/>
        <v>1.8595856619994786</v>
      </c>
      <c r="G1291" s="336">
        <v>537.75419999999997</v>
      </c>
      <c r="H1291" s="331" t="s">
        <v>198</v>
      </c>
      <c r="I1291" s="307" t="s">
        <v>2130</v>
      </c>
      <c r="J1291" s="125" t="s">
        <v>96</v>
      </c>
      <c r="K1291" s="125" t="s">
        <v>2314</v>
      </c>
      <c r="L1291" s="143" t="s">
        <v>153</v>
      </c>
      <c r="M1291" s="125"/>
      <c r="N1291" s="125"/>
      <c r="O1291" s="125"/>
    </row>
    <row r="1292" spans="1:15" ht="15.6" hidden="1">
      <c r="A1292" s="326">
        <v>45862</v>
      </c>
      <c r="B1292" s="329" t="s">
        <v>2125</v>
      </c>
      <c r="C1292" s="330" t="s">
        <v>172</v>
      </c>
      <c r="D1292" s="329" t="s">
        <v>115</v>
      </c>
      <c r="E1292" s="330">
        <v>1000</v>
      </c>
      <c r="F1292" s="311">
        <f t="shared" si="7"/>
        <v>1.8595856619994786</v>
      </c>
      <c r="G1292" s="336">
        <v>537.75419999999997</v>
      </c>
      <c r="H1292" s="331" t="s">
        <v>198</v>
      </c>
      <c r="I1292" s="307" t="s">
        <v>2130</v>
      </c>
      <c r="J1292" s="125" t="s">
        <v>96</v>
      </c>
      <c r="K1292" s="125" t="s">
        <v>2314</v>
      </c>
      <c r="L1292" s="143" t="s">
        <v>153</v>
      </c>
      <c r="M1292" s="125"/>
      <c r="N1292" s="125"/>
      <c r="O1292" s="125"/>
    </row>
    <row r="1293" spans="1:15" ht="15.6" hidden="1">
      <c r="A1293" s="326">
        <v>45862</v>
      </c>
      <c r="B1293" s="329" t="s">
        <v>2126</v>
      </c>
      <c r="C1293" s="330" t="s">
        <v>172</v>
      </c>
      <c r="D1293" s="329" t="s">
        <v>115</v>
      </c>
      <c r="E1293" s="330">
        <v>1000</v>
      </c>
      <c r="F1293" s="311">
        <f t="shared" si="7"/>
        <v>1.8595856619994786</v>
      </c>
      <c r="G1293" s="336">
        <v>537.75419999999997</v>
      </c>
      <c r="H1293" s="331" t="s">
        <v>198</v>
      </c>
      <c r="I1293" s="307" t="s">
        <v>2130</v>
      </c>
      <c r="J1293" s="125" t="s">
        <v>96</v>
      </c>
      <c r="K1293" s="125" t="s">
        <v>2314</v>
      </c>
      <c r="L1293" s="143" t="s">
        <v>153</v>
      </c>
      <c r="M1293" s="125"/>
      <c r="N1293" s="125"/>
      <c r="O1293" s="125"/>
    </row>
    <row r="1294" spans="1:15" ht="15.6" hidden="1">
      <c r="A1294" s="326">
        <v>45862</v>
      </c>
      <c r="B1294" s="329" t="s">
        <v>2127</v>
      </c>
      <c r="C1294" s="330" t="s">
        <v>172</v>
      </c>
      <c r="D1294" s="329" t="s">
        <v>115</v>
      </c>
      <c r="E1294" s="330">
        <v>1000</v>
      </c>
      <c r="F1294" s="311">
        <f t="shared" si="7"/>
        <v>1.8595856619994786</v>
      </c>
      <c r="G1294" s="336">
        <v>537.75419999999997</v>
      </c>
      <c r="H1294" s="331" t="s">
        <v>198</v>
      </c>
      <c r="I1294" s="307" t="s">
        <v>2130</v>
      </c>
      <c r="J1294" s="125" t="s">
        <v>96</v>
      </c>
      <c r="K1294" s="125" t="s">
        <v>2314</v>
      </c>
      <c r="L1294" s="143" t="s">
        <v>153</v>
      </c>
      <c r="M1294" s="125"/>
      <c r="N1294" s="125"/>
      <c r="O1294" s="125"/>
    </row>
    <row r="1295" spans="1:15" ht="15.6" hidden="1">
      <c r="A1295" s="326">
        <v>45862</v>
      </c>
      <c r="B1295" s="327" t="s">
        <v>2149</v>
      </c>
      <c r="C1295" s="327" t="s">
        <v>172</v>
      </c>
      <c r="D1295" s="327" t="s">
        <v>116</v>
      </c>
      <c r="E1295" s="316">
        <v>1000</v>
      </c>
      <c r="F1295" s="311">
        <f t="shared" si="7"/>
        <v>1.8595856619994786</v>
      </c>
      <c r="G1295" s="336">
        <v>537.75419999999997</v>
      </c>
      <c r="H1295" s="327" t="s">
        <v>581</v>
      </c>
      <c r="I1295" s="125" t="s">
        <v>2168</v>
      </c>
      <c r="J1295" s="125" t="s">
        <v>96</v>
      </c>
      <c r="K1295" s="125" t="s">
        <v>2314</v>
      </c>
      <c r="L1295" s="143" t="s">
        <v>153</v>
      </c>
      <c r="M1295" s="143"/>
      <c r="N1295" s="125"/>
      <c r="O1295" s="125"/>
    </row>
    <row r="1296" spans="1:15" ht="15.6" hidden="1">
      <c r="A1296" s="326">
        <v>45862</v>
      </c>
      <c r="B1296" s="327" t="s">
        <v>2150</v>
      </c>
      <c r="C1296" s="327" t="s">
        <v>172</v>
      </c>
      <c r="D1296" s="327" t="s">
        <v>116</v>
      </c>
      <c r="E1296" s="316">
        <v>1000</v>
      </c>
      <c r="F1296" s="311">
        <f t="shared" si="7"/>
        <v>1.8595856619994786</v>
      </c>
      <c r="G1296" s="336">
        <v>537.75419999999997</v>
      </c>
      <c r="H1296" s="327" t="s">
        <v>581</v>
      </c>
      <c r="I1296" s="125" t="s">
        <v>2168</v>
      </c>
      <c r="J1296" s="125" t="s">
        <v>96</v>
      </c>
      <c r="K1296" s="125" t="s">
        <v>2314</v>
      </c>
      <c r="L1296" s="143" t="s">
        <v>153</v>
      </c>
      <c r="M1296" s="125"/>
      <c r="N1296" s="125"/>
      <c r="O1296" s="125"/>
    </row>
    <row r="1297" spans="1:15" ht="15.6" hidden="1">
      <c r="A1297" s="326">
        <v>45862</v>
      </c>
      <c r="B1297" s="327" t="s">
        <v>2151</v>
      </c>
      <c r="C1297" s="327" t="s">
        <v>172</v>
      </c>
      <c r="D1297" s="327" t="s">
        <v>116</v>
      </c>
      <c r="E1297" s="316">
        <v>1000</v>
      </c>
      <c r="F1297" s="311">
        <f t="shared" si="7"/>
        <v>1.8595856619994786</v>
      </c>
      <c r="G1297" s="336">
        <v>537.75419999999997</v>
      </c>
      <c r="H1297" s="327" t="s">
        <v>581</v>
      </c>
      <c r="I1297" s="125" t="s">
        <v>2168</v>
      </c>
      <c r="J1297" s="125" t="s">
        <v>96</v>
      </c>
      <c r="K1297" s="125" t="s">
        <v>2314</v>
      </c>
      <c r="L1297" s="143" t="s">
        <v>153</v>
      </c>
      <c r="M1297" s="125"/>
      <c r="N1297" s="125"/>
      <c r="O1297" s="125"/>
    </row>
    <row r="1298" spans="1:15" ht="15.6" hidden="1">
      <c r="A1298" s="326">
        <v>45862</v>
      </c>
      <c r="B1298" s="327" t="s">
        <v>2328</v>
      </c>
      <c r="C1298" s="327" t="s">
        <v>180</v>
      </c>
      <c r="D1298" s="327" t="s">
        <v>116</v>
      </c>
      <c r="E1298" s="316">
        <v>700</v>
      </c>
      <c r="F1298" s="311">
        <f t="shared" si="7"/>
        <v>1.3017099633996352</v>
      </c>
      <c r="G1298" s="336">
        <v>537.75419999999997</v>
      </c>
      <c r="H1298" s="327" t="s">
        <v>581</v>
      </c>
      <c r="I1298" s="125" t="s">
        <v>2172</v>
      </c>
      <c r="J1298" s="125" t="s">
        <v>96</v>
      </c>
      <c r="K1298" s="125" t="s">
        <v>2314</v>
      </c>
      <c r="L1298" s="143" t="s">
        <v>153</v>
      </c>
      <c r="M1298" s="125"/>
      <c r="N1298" s="125"/>
      <c r="O1298" s="125"/>
    </row>
    <row r="1299" spans="1:15" ht="15.6" hidden="1">
      <c r="A1299" s="326">
        <v>45862</v>
      </c>
      <c r="B1299" s="179" t="s">
        <v>2213</v>
      </c>
      <c r="C1299" s="239" t="s">
        <v>194</v>
      </c>
      <c r="D1299" s="239" t="s">
        <v>115</v>
      </c>
      <c r="E1299" s="240">
        <v>500</v>
      </c>
      <c r="F1299" s="311">
        <f t="shared" si="7"/>
        <v>0.92979283099973931</v>
      </c>
      <c r="G1299" s="336">
        <v>537.75419999999997</v>
      </c>
      <c r="H1299" s="252" t="s">
        <v>195</v>
      </c>
      <c r="I1299" s="179" t="s">
        <v>2221</v>
      </c>
      <c r="J1299" s="125" t="s">
        <v>96</v>
      </c>
      <c r="K1299" s="125" t="s">
        <v>2314</v>
      </c>
      <c r="L1299" s="143" t="s">
        <v>153</v>
      </c>
      <c r="M1299" s="125"/>
      <c r="N1299" s="125"/>
      <c r="O1299" s="125"/>
    </row>
    <row r="1300" spans="1:15" ht="15.6" hidden="1">
      <c r="A1300" s="326">
        <v>45862</v>
      </c>
      <c r="B1300" s="179" t="s">
        <v>2214</v>
      </c>
      <c r="C1300" s="239" t="s">
        <v>194</v>
      </c>
      <c r="D1300" s="239" t="s">
        <v>115</v>
      </c>
      <c r="E1300" s="240">
        <v>500</v>
      </c>
      <c r="F1300" s="311">
        <f t="shared" si="7"/>
        <v>0.92979283099973931</v>
      </c>
      <c r="G1300" s="336">
        <v>537.75419999999997</v>
      </c>
      <c r="H1300" s="252" t="s">
        <v>195</v>
      </c>
      <c r="I1300" s="179" t="s">
        <v>2221</v>
      </c>
      <c r="J1300" s="125" t="s">
        <v>96</v>
      </c>
      <c r="K1300" s="125" t="s">
        <v>2314</v>
      </c>
      <c r="L1300" s="143" t="s">
        <v>153</v>
      </c>
      <c r="M1300" s="125"/>
      <c r="N1300" s="125"/>
      <c r="O1300" s="125"/>
    </row>
    <row r="1301" spans="1:15" ht="15.6" hidden="1">
      <c r="A1301" s="326">
        <v>45862</v>
      </c>
      <c r="B1301" s="179" t="s">
        <v>2215</v>
      </c>
      <c r="C1301" s="239" t="s">
        <v>194</v>
      </c>
      <c r="D1301" s="239" t="s">
        <v>115</v>
      </c>
      <c r="E1301" s="240">
        <v>500</v>
      </c>
      <c r="F1301" s="311">
        <f t="shared" si="7"/>
        <v>0.92979283099973931</v>
      </c>
      <c r="G1301" s="336">
        <v>537.75419999999997</v>
      </c>
      <c r="H1301" s="252" t="s">
        <v>195</v>
      </c>
      <c r="I1301" s="179" t="s">
        <v>2221</v>
      </c>
      <c r="J1301" s="125" t="s">
        <v>96</v>
      </c>
      <c r="K1301" s="125" t="s">
        <v>2314</v>
      </c>
      <c r="L1301" s="143" t="s">
        <v>153</v>
      </c>
      <c r="M1301" s="125"/>
      <c r="N1301" s="125"/>
      <c r="O1301" s="125"/>
    </row>
    <row r="1302" spans="1:15" ht="15.6" hidden="1">
      <c r="A1302" s="326">
        <v>45862</v>
      </c>
      <c r="B1302" s="179" t="s">
        <v>475</v>
      </c>
      <c r="C1302" s="239" t="s">
        <v>194</v>
      </c>
      <c r="D1302" s="239" t="s">
        <v>115</v>
      </c>
      <c r="E1302" s="240">
        <v>7000</v>
      </c>
      <c r="F1302" s="311">
        <f t="shared" si="7"/>
        <v>13.017099633996351</v>
      </c>
      <c r="G1302" s="336">
        <v>537.75419999999997</v>
      </c>
      <c r="H1302" s="252" t="s">
        <v>195</v>
      </c>
      <c r="I1302" s="179" t="s">
        <v>2224</v>
      </c>
      <c r="J1302" s="125" t="s">
        <v>96</v>
      </c>
      <c r="K1302" s="125" t="s">
        <v>2314</v>
      </c>
      <c r="L1302" s="143" t="s">
        <v>153</v>
      </c>
      <c r="M1302" s="125"/>
      <c r="N1302" s="125"/>
      <c r="O1302" s="125"/>
    </row>
    <row r="1303" spans="1:15" ht="15.6" hidden="1">
      <c r="A1303" s="326">
        <v>45863</v>
      </c>
      <c r="B1303" s="298" t="s">
        <v>2103</v>
      </c>
      <c r="C1303" s="299" t="s">
        <v>172</v>
      </c>
      <c r="D1303" s="300" t="s">
        <v>117</v>
      </c>
      <c r="E1303" s="298">
        <v>1000</v>
      </c>
      <c r="F1303" s="311">
        <f t="shared" si="7"/>
        <v>1.8595856619994786</v>
      </c>
      <c r="G1303" s="336">
        <v>537.75419999999997</v>
      </c>
      <c r="H1303" s="302" t="s">
        <v>151</v>
      </c>
      <c r="I1303" s="303" t="s">
        <v>2119</v>
      </c>
      <c r="J1303" s="125" t="s">
        <v>96</v>
      </c>
      <c r="K1303" s="125" t="s">
        <v>2314</v>
      </c>
      <c r="L1303" s="143" t="s">
        <v>153</v>
      </c>
      <c r="M1303" s="125"/>
      <c r="N1303" s="125"/>
      <c r="O1303" s="125"/>
    </row>
    <row r="1304" spans="1:15" ht="15.6" hidden="1">
      <c r="A1304" s="326">
        <v>45863</v>
      </c>
      <c r="B1304" s="298" t="s">
        <v>2104</v>
      </c>
      <c r="C1304" s="299" t="s">
        <v>172</v>
      </c>
      <c r="D1304" s="300" t="s">
        <v>117</v>
      </c>
      <c r="E1304" s="298">
        <v>1000</v>
      </c>
      <c r="F1304" s="311">
        <f t="shared" si="7"/>
        <v>1.8595856619994786</v>
      </c>
      <c r="G1304" s="336">
        <v>537.75419999999997</v>
      </c>
      <c r="H1304" s="302" t="s">
        <v>151</v>
      </c>
      <c r="I1304" s="303" t="s">
        <v>2119</v>
      </c>
      <c r="J1304" s="125" t="s">
        <v>96</v>
      </c>
      <c r="K1304" s="125" t="s">
        <v>2314</v>
      </c>
      <c r="L1304" s="143" t="s">
        <v>153</v>
      </c>
      <c r="M1304" s="125"/>
      <c r="N1304" s="125"/>
      <c r="O1304" s="125"/>
    </row>
    <row r="1305" spans="1:15" ht="15.6" hidden="1">
      <c r="A1305" s="326">
        <v>45863</v>
      </c>
      <c r="B1305" s="329" t="s">
        <v>2128</v>
      </c>
      <c r="C1305" s="330" t="s">
        <v>172</v>
      </c>
      <c r="D1305" s="329" t="s">
        <v>115</v>
      </c>
      <c r="E1305" s="330">
        <v>1000</v>
      </c>
      <c r="F1305" s="311">
        <f t="shared" si="7"/>
        <v>1.8595856619994786</v>
      </c>
      <c r="G1305" s="336">
        <v>537.75419999999997</v>
      </c>
      <c r="H1305" s="331" t="s">
        <v>198</v>
      </c>
      <c r="I1305" s="307" t="s">
        <v>2130</v>
      </c>
      <c r="J1305" s="125" t="s">
        <v>96</v>
      </c>
      <c r="K1305" s="125" t="s">
        <v>2314</v>
      </c>
      <c r="L1305" s="143" t="s">
        <v>153</v>
      </c>
      <c r="M1305" s="125"/>
      <c r="N1305" s="125"/>
      <c r="O1305" s="125"/>
    </row>
    <row r="1306" spans="1:15" ht="15.6" hidden="1">
      <c r="A1306" s="326">
        <v>45863</v>
      </c>
      <c r="B1306" s="329" t="s">
        <v>2129</v>
      </c>
      <c r="C1306" s="330" t="s">
        <v>172</v>
      </c>
      <c r="D1306" s="329" t="s">
        <v>115</v>
      </c>
      <c r="E1306" s="330">
        <v>1000</v>
      </c>
      <c r="F1306" s="311">
        <f t="shared" si="7"/>
        <v>1.8595856619994786</v>
      </c>
      <c r="G1306" s="336">
        <v>537.75419999999997</v>
      </c>
      <c r="H1306" s="331" t="s">
        <v>198</v>
      </c>
      <c r="I1306" s="307" t="s">
        <v>2130</v>
      </c>
      <c r="J1306" s="125" t="s">
        <v>96</v>
      </c>
      <c r="K1306" s="125" t="s">
        <v>2314</v>
      </c>
      <c r="L1306" s="143" t="s">
        <v>153</v>
      </c>
      <c r="M1306" s="125"/>
      <c r="N1306" s="125"/>
      <c r="O1306" s="125"/>
    </row>
    <row r="1307" spans="1:15" ht="15.6" hidden="1">
      <c r="A1307" s="326">
        <v>45863</v>
      </c>
      <c r="B1307" s="327" t="s">
        <v>2152</v>
      </c>
      <c r="C1307" s="327" t="s">
        <v>172</v>
      </c>
      <c r="D1307" s="327" t="s">
        <v>116</v>
      </c>
      <c r="E1307" s="316">
        <v>1000</v>
      </c>
      <c r="F1307" s="311">
        <f t="shared" si="7"/>
        <v>1.8595856619994786</v>
      </c>
      <c r="G1307" s="336">
        <v>537.75419999999997</v>
      </c>
      <c r="H1307" s="327" t="s">
        <v>581</v>
      </c>
      <c r="I1307" s="125" t="s">
        <v>2168</v>
      </c>
      <c r="J1307" s="125" t="s">
        <v>96</v>
      </c>
      <c r="K1307" s="125" t="s">
        <v>2314</v>
      </c>
      <c r="L1307" s="143" t="s">
        <v>153</v>
      </c>
      <c r="M1307" s="125"/>
      <c r="N1307" s="125"/>
      <c r="O1307" s="125"/>
    </row>
    <row r="1308" spans="1:15" ht="15.6" hidden="1">
      <c r="A1308" s="326">
        <v>45863</v>
      </c>
      <c r="B1308" s="327" t="s">
        <v>2153</v>
      </c>
      <c r="C1308" s="327" t="s">
        <v>172</v>
      </c>
      <c r="D1308" s="327" t="s">
        <v>116</v>
      </c>
      <c r="E1308" s="316">
        <v>1000</v>
      </c>
      <c r="F1308" s="311">
        <f t="shared" si="7"/>
        <v>1.8595856619994786</v>
      </c>
      <c r="G1308" s="336">
        <v>537.75419999999997</v>
      </c>
      <c r="H1308" s="327" t="s">
        <v>581</v>
      </c>
      <c r="I1308" s="125" t="s">
        <v>2168</v>
      </c>
      <c r="J1308" s="125" t="s">
        <v>96</v>
      </c>
      <c r="K1308" s="125" t="s">
        <v>2314</v>
      </c>
      <c r="L1308" s="143" t="s">
        <v>153</v>
      </c>
      <c r="M1308" s="125"/>
      <c r="N1308" s="125"/>
      <c r="O1308" s="125"/>
    </row>
    <row r="1309" spans="1:15" ht="15.6" hidden="1">
      <c r="A1309" s="326">
        <v>45863</v>
      </c>
      <c r="B1309" s="327" t="s">
        <v>2154</v>
      </c>
      <c r="C1309" s="327" t="s">
        <v>172</v>
      </c>
      <c r="D1309" s="327" t="s">
        <v>116</v>
      </c>
      <c r="E1309" s="316">
        <v>1000</v>
      </c>
      <c r="F1309" s="311">
        <f t="shared" si="7"/>
        <v>1.8595856619994786</v>
      </c>
      <c r="G1309" s="336">
        <v>537.75419999999997</v>
      </c>
      <c r="H1309" s="327" t="s">
        <v>581</v>
      </c>
      <c r="I1309" s="125" t="s">
        <v>2168</v>
      </c>
      <c r="J1309" s="125" t="s">
        <v>96</v>
      </c>
      <c r="K1309" s="125" t="s">
        <v>2314</v>
      </c>
      <c r="L1309" s="143" t="s">
        <v>153</v>
      </c>
      <c r="M1309" s="125"/>
      <c r="N1309" s="125"/>
      <c r="O1309" s="125"/>
    </row>
    <row r="1310" spans="1:15" ht="15.6" hidden="1">
      <c r="A1310" s="326">
        <v>45863</v>
      </c>
      <c r="B1310" s="327" t="s">
        <v>2155</v>
      </c>
      <c r="C1310" s="327" t="s">
        <v>172</v>
      </c>
      <c r="D1310" s="327" t="s">
        <v>116</v>
      </c>
      <c r="E1310" s="316">
        <v>1000</v>
      </c>
      <c r="F1310" s="311">
        <f t="shared" si="7"/>
        <v>1.8595856619994786</v>
      </c>
      <c r="G1310" s="336">
        <v>537.75419999999997</v>
      </c>
      <c r="H1310" s="327" t="s">
        <v>581</v>
      </c>
      <c r="I1310" s="125" t="s">
        <v>2168</v>
      </c>
      <c r="J1310" s="125" t="s">
        <v>96</v>
      </c>
      <c r="K1310" s="125" t="s">
        <v>2314</v>
      </c>
      <c r="L1310" s="143" t="s">
        <v>153</v>
      </c>
      <c r="M1310" s="125"/>
      <c r="N1310" s="125"/>
      <c r="O1310" s="125"/>
    </row>
    <row r="1311" spans="1:15" ht="15.6" hidden="1">
      <c r="A1311" s="326">
        <v>45863</v>
      </c>
      <c r="B1311" s="327" t="s">
        <v>2156</v>
      </c>
      <c r="C1311" s="327" t="s">
        <v>172</v>
      </c>
      <c r="D1311" s="327" t="s">
        <v>116</v>
      </c>
      <c r="E1311" s="316">
        <v>1000</v>
      </c>
      <c r="F1311" s="311">
        <f t="shared" si="7"/>
        <v>1.8595856619994786</v>
      </c>
      <c r="G1311" s="336">
        <v>537.75419999999997</v>
      </c>
      <c r="H1311" s="327" t="s">
        <v>581</v>
      </c>
      <c r="I1311" s="125" t="s">
        <v>2168</v>
      </c>
      <c r="J1311" s="125" t="s">
        <v>96</v>
      </c>
      <c r="K1311" s="125" t="s">
        <v>2314</v>
      </c>
      <c r="L1311" s="143" t="s">
        <v>153</v>
      </c>
      <c r="M1311" s="125"/>
      <c r="N1311" s="125"/>
      <c r="O1311" s="125"/>
    </row>
    <row r="1312" spans="1:15" ht="15.6" hidden="1">
      <c r="A1312" s="326">
        <v>45863</v>
      </c>
      <c r="B1312" s="327" t="s">
        <v>2157</v>
      </c>
      <c r="C1312" s="327" t="s">
        <v>172</v>
      </c>
      <c r="D1312" s="327" t="s">
        <v>116</v>
      </c>
      <c r="E1312" s="316">
        <v>1000</v>
      </c>
      <c r="F1312" s="311">
        <f t="shared" si="7"/>
        <v>1.8595856619994786</v>
      </c>
      <c r="G1312" s="336">
        <v>537.75419999999997</v>
      </c>
      <c r="H1312" s="327" t="s">
        <v>581</v>
      </c>
      <c r="I1312" s="125" t="s">
        <v>2168</v>
      </c>
      <c r="J1312" s="125" t="s">
        <v>96</v>
      </c>
      <c r="K1312" s="125" t="s">
        <v>2314</v>
      </c>
      <c r="L1312" s="143" t="s">
        <v>153</v>
      </c>
      <c r="M1312" s="125"/>
      <c r="N1312" s="125"/>
      <c r="O1312" s="125"/>
    </row>
    <row r="1313" spans="1:15" ht="15.6" hidden="1">
      <c r="A1313" s="326">
        <v>45863</v>
      </c>
      <c r="B1313" s="327" t="s">
        <v>2158</v>
      </c>
      <c r="C1313" s="327" t="s">
        <v>172</v>
      </c>
      <c r="D1313" s="327" t="s">
        <v>116</v>
      </c>
      <c r="E1313" s="316">
        <v>1000</v>
      </c>
      <c r="F1313" s="311">
        <f t="shared" si="7"/>
        <v>1.8595856619994786</v>
      </c>
      <c r="G1313" s="336">
        <v>537.75419999999997</v>
      </c>
      <c r="H1313" s="327" t="s">
        <v>581</v>
      </c>
      <c r="I1313" s="125" t="s">
        <v>2168</v>
      </c>
      <c r="J1313" s="125" t="s">
        <v>96</v>
      </c>
      <c r="K1313" s="125" t="s">
        <v>2314</v>
      </c>
      <c r="L1313" s="143" t="s">
        <v>153</v>
      </c>
      <c r="M1313" s="125"/>
      <c r="N1313" s="125"/>
      <c r="O1313" s="125"/>
    </row>
    <row r="1314" spans="1:15" ht="15.6" hidden="1">
      <c r="A1314" s="326">
        <v>45863</v>
      </c>
      <c r="B1314" s="327" t="s">
        <v>2329</v>
      </c>
      <c r="C1314" s="327" t="s">
        <v>124</v>
      </c>
      <c r="D1314" s="327" t="s">
        <v>116</v>
      </c>
      <c r="E1314" s="316">
        <v>71274</v>
      </c>
      <c r="F1314" s="311">
        <f t="shared" si="7"/>
        <v>132.54010847335084</v>
      </c>
      <c r="G1314" s="336">
        <v>537.75419999999997</v>
      </c>
      <c r="H1314" s="327" t="s">
        <v>581</v>
      </c>
      <c r="I1314" s="125" t="s">
        <v>2173</v>
      </c>
      <c r="J1314" s="125" t="s">
        <v>96</v>
      </c>
      <c r="K1314" s="125" t="s">
        <v>2314</v>
      </c>
      <c r="L1314" s="143" t="s">
        <v>153</v>
      </c>
      <c r="M1314" s="125"/>
      <c r="N1314" s="125"/>
      <c r="O1314" s="125"/>
    </row>
    <row r="1315" spans="1:15" ht="15.6" hidden="1">
      <c r="A1315" s="326">
        <v>45863</v>
      </c>
      <c r="B1315" s="243" t="s">
        <v>2216</v>
      </c>
      <c r="C1315" s="243" t="s">
        <v>175</v>
      </c>
      <c r="D1315" s="243" t="s">
        <v>115</v>
      </c>
      <c r="E1315" s="240">
        <v>30000</v>
      </c>
      <c r="F1315" s="311">
        <f t="shared" si="7"/>
        <v>55.787569859984359</v>
      </c>
      <c r="G1315" s="336">
        <v>537.75419999999997</v>
      </c>
      <c r="H1315" s="252" t="s">
        <v>195</v>
      </c>
      <c r="I1315" s="179" t="s">
        <v>2225</v>
      </c>
      <c r="J1315" s="125" t="s">
        <v>96</v>
      </c>
      <c r="K1315" s="125" t="s">
        <v>2314</v>
      </c>
      <c r="L1315" s="143" t="s">
        <v>153</v>
      </c>
      <c r="M1315" s="125"/>
      <c r="N1315" s="125"/>
      <c r="O1315" s="125"/>
    </row>
    <row r="1316" spans="1:15" ht="15.6" hidden="1">
      <c r="A1316" s="326">
        <v>45863</v>
      </c>
      <c r="B1316" s="179" t="s">
        <v>2217</v>
      </c>
      <c r="C1316" s="239" t="s">
        <v>194</v>
      </c>
      <c r="D1316" s="239" t="s">
        <v>115</v>
      </c>
      <c r="E1316" s="240">
        <v>500</v>
      </c>
      <c r="F1316" s="311">
        <f t="shared" ref="F1316:F1347" si="8">E1316/G1316</f>
        <v>0.92979283099973931</v>
      </c>
      <c r="G1316" s="336">
        <v>537.75419999999997</v>
      </c>
      <c r="H1316" s="252" t="s">
        <v>195</v>
      </c>
      <c r="I1316" s="179" t="s">
        <v>2221</v>
      </c>
      <c r="J1316" s="125" t="s">
        <v>96</v>
      </c>
      <c r="K1316" s="125" t="s">
        <v>2314</v>
      </c>
      <c r="L1316" s="143" t="s">
        <v>153</v>
      </c>
      <c r="M1316" s="125"/>
      <c r="N1316" s="125"/>
      <c r="O1316" s="125"/>
    </row>
    <row r="1317" spans="1:15" ht="15.6" hidden="1">
      <c r="A1317" s="326">
        <v>45863</v>
      </c>
      <c r="B1317" s="179" t="s">
        <v>2209</v>
      </c>
      <c r="C1317" s="239" t="s">
        <v>194</v>
      </c>
      <c r="D1317" s="239" t="s">
        <v>115</v>
      </c>
      <c r="E1317" s="240">
        <v>1000</v>
      </c>
      <c r="F1317" s="311">
        <f t="shared" si="8"/>
        <v>1.8595856619994786</v>
      </c>
      <c r="G1317" s="336">
        <v>537.75419999999997</v>
      </c>
      <c r="H1317" s="252" t="s">
        <v>195</v>
      </c>
      <c r="I1317" s="179" t="s">
        <v>2221</v>
      </c>
      <c r="J1317" s="125" t="s">
        <v>96</v>
      </c>
      <c r="K1317" s="125" t="s">
        <v>2314</v>
      </c>
      <c r="L1317" s="143" t="s">
        <v>153</v>
      </c>
      <c r="M1317" s="125"/>
      <c r="N1317" s="125"/>
      <c r="O1317" s="125"/>
    </row>
    <row r="1318" spans="1:15" ht="15.6" hidden="1">
      <c r="A1318" s="326">
        <v>45863</v>
      </c>
      <c r="B1318" s="320" t="s">
        <v>2291</v>
      </c>
      <c r="C1318" s="177" t="s">
        <v>125</v>
      </c>
      <c r="D1318" s="177" t="s">
        <v>116</v>
      </c>
      <c r="E1318" s="324">
        <v>230000</v>
      </c>
      <c r="F1318" s="311">
        <f t="shared" si="8"/>
        <v>427.70470225988009</v>
      </c>
      <c r="G1318" s="336">
        <v>537.75419999999997</v>
      </c>
      <c r="H1318" s="327" t="s">
        <v>146</v>
      </c>
      <c r="I1318" s="125" t="s">
        <v>2292</v>
      </c>
      <c r="J1318" s="125" t="s">
        <v>96</v>
      </c>
      <c r="K1318" s="125" t="s">
        <v>2314</v>
      </c>
      <c r="L1318" s="143" t="s">
        <v>153</v>
      </c>
      <c r="M1318" s="125"/>
      <c r="N1318" s="125"/>
      <c r="O1318" s="125"/>
    </row>
    <row r="1319" spans="1:15" ht="15.6" hidden="1">
      <c r="A1319" s="326">
        <v>45863</v>
      </c>
      <c r="B1319" s="320" t="s">
        <v>2293</v>
      </c>
      <c r="C1319" s="177" t="s">
        <v>125</v>
      </c>
      <c r="D1319" s="334" t="s">
        <v>115</v>
      </c>
      <c r="E1319" s="324">
        <v>200000</v>
      </c>
      <c r="F1319" s="311">
        <f t="shared" si="8"/>
        <v>371.91713239989576</v>
      </c>
      <c r="G1319" s="336">
        <v>537.75419999999997</v>
      </c>
      <c r="H1319" s="327" t="s">
        <v>146</v>
      </c>
      <c r="I1319" s="125" t="s">
        <v>2294</v>
      </c>
      <c r="J1319" s="125" t="s">
        <v>96</v>
      </c>
      <c r="K1319" s="125" t="s">
        <v>2314</v>
      </c>
      <c r="L1319" s="143" t="s">
        <v>153</v>
      </c>
      <c r="M1319" s="125"/>
      <c r="N1319" s="125"/>
      <c r="O1319" s="125"/>
    </row>
    <row r="1320" spans="1:15" ht="15.6" hidden="1">
      <c r="A1320" s="326">
        <v>45863</v>
      </c>
      <c r="B1320" s="320" t="s">
        <v>2295</v>
      </c>
      <c r="C1320" s="328" t="s">
        <v>125</v>
      </c>
      <c r="D1320" s="333" t="s">
        <v>115</v>
      </c>
      <c r="E1320" s="324">
        <v>200000</v>
      </c>
      <c r="F1320" s="311">
        <f t="shared" si="8"/>
        <v>371.91713239989576</v>
      </c>
      <c r="G1320" s="336">
        <v>537.75419999999997</v>
      </c>
      <c r="H1320" s="327" t="s">
        <v>146</v>
      </c>
      <c r="I1320" s="125" t="s">
        <v>2296</v>
      </c>
      <c r="J1320" s="125" t="s">
        <v>96</v>
      </c>
      <c r="K1320" s="125" t="s">
        <v>2314</v>
      </c>
      <c r="L1320" s="143" t="s">
        <v>153</v>
      </c>
      <c r="M1320" s="125"/>
      <c r="N1320" s="125"/>
      <c r="O1320" s="125"/>
    </row>
    <row r="1321" spans="1:15" ht="15.6" hidden="1">
      <c r="A1321" s="326">
        <v>45863</v>
      </c>
      <c r="B1321" s="320" t="s">
        <v>2297</v>
      </c>
      <c r="C1321" s="328" t="s">
        <v>125</v>
      </c>
      <c r="D1321" s="333" t="s">
        <v>115</v>
      </c>
      <c r="E1321" s="324">
        <v>1037411</v>
      </c>
      <c r="F1321" s="311">
        <f t="shared" si="8"/>
        <v>1929.1546212005412</v>
      </c>
      <c r="G1321" s="336">
        <v>537.75419999999997</v>
      </c>
      <c r="H1321" s="327" t="s">
        <v>146</v>
      </c>
      <c r="I1321" s="125" t="s">
        <v>2298</v>
      </c>
      <c r="J1321" s="125" t="s">
        <v>96</v>
      </c>
      <c r="K1321" s="125" t="s">
        <v>2314</v>
      </c>
      <c r="L1321" s="143" t="s">
        <v>153</v>
      </c>
      <c r="M1321" s="125"/>
      <c r="N1321" s="125"/>
      <c r="O1321" s="125"/>
    </row>
    <row r="1322" spans="1:15" ht="15.6" hidden="1">
      <c r="A1322" s="326">
        <v>45863</v>
      </c>
      <c r="B1322" s="320" t="s">
        <v>2299</v>
      </c>
      <c r="C1322" s="177" t="s">
        <v>125</v>
      </c>
      <c r="D1322" s="328" t="s">
        <v>115</v>
      </c>
      <c r="E1322" s="324">
        <v>300000</v>
      </c>
      <c r="F1322" s="311">
        <f t="shared" si="8"/>
        <v>557.87569859984364</v>
      </c>
      <c r="G1322" s="336">
        <v>537.75419999999997</v>
      </c>
      <c r="H1322" s="327" t="s">
        <v>146</v>
      </c>
      <c r="I1322" s="125" t="s">
        <v>2300</v>
      </c>
      <c r="J1322" s="125" t="s">
        <v>96</v>
      </c>
      <c r="K1322" s="125" t="s">
        <v>2314</v>
      </c>
      <c r="L1322" s="143" t="s">
        <v>153</v>
      </c>
      <c r="M1322" s="125"/>
      <c r="N1322" s="125"/>
      <c r="O1322" s="125"/>
    </row>
    <row r="1323" spans="1:15" ht="15.6" hidden="1">
      <c r="A1323" s="326">
        <v>45863</v>
      </c>
      <c r="B1323" s="320" t="s">
        <v>2301</v>
      </c>
      <c r="C1323" s="177" t="s">
        <v>125</v>
      </c>
      <c r="D1323" s="328" t="s">
        <v>118</v>
      </c>
      <c r="E1323" s="324">
        <v>238140</v>
      </c>
      <c r="F1323" s="311">
        <f t="shared" si="8"/>
        <v>442.84172954855586</v>
      </c>
      <c r="G1323" s="336">
        <v>537.75419999999997</v>
      </c>
      <c r="H1323" s="327" t="s">
        <v>146</v>
      </c>
      <c r="I1323" s="125" t="s">
        <v>2302</v>
      </c>
      <c r="J1323" s="125" t="s">
        <v>96</v>
      </c>
      <c r="K1323" s="125" t="s">
        <v>2314</v>
      </c>
      <c r="L1323" s="143" t="s">
        <v>153</v>
      </c>
      <c r="M1323" s="125"/>
      <c r="N1323" s="125"/>
      <c r="O1323" s="125"/>
    </row>
    <row r="1324" spans="1:15" ht="15.6" hidden="1">
      <c r="A1324" s="326">
        <v>45863</v>
      </c>
      <c r="B1324" s="320" t="s">
        <v>2303</v>
      </c>
      <c r="C1324" s="177" t="s">
        <v>125</v>
      </c>
      <c r="D1324" s="177" t="s">
        <v>115</v>
      </c>
      <c r="E1324" s="324">
        <v>70968</v>
      </c>
      <c r="F1324" s="311">
        <f t="shared" si="8"/>
        <v>131.971075260779</v>
      </c>
      <c r="G1324" s="336">
        <v>537.75419999999997</v>
      </c>
      <c r="H1324" s="327" t="s">
        <v>146</v>
      </c>
      <c r="I1324" s="125" t="s">
        <v>2304</v>
      </c>
      <c r="J1324" s="125" t="s">
        <v>96</v>
      </c>
      <c r="K1324" s="125" t="s">
        <v>2314</v>
      </c>
      <c r="L1324" s="143" t="s">
        <v>153</v>
      </c>
      <c r="M1324" s="125"/>
      <c r="N1324" s="125"/>
      <c r="O1324" s="125"/>
    </row>
    <row r="1325" spans="1:15" ht="15.6" hidden="1">
      <c r="A1325" s="326">
        <v>45863</v>
      </c>
      <c r="B1325" s="320" t="s">
        <v>2273</v>
      </c>
      <c r="C1325" s="328" t="s">
        <v>126</v>
      </c>
      <c r="D1325" s="333" t="s">
        <v>116</v>
      </c>
      <c r="E1325" s="324">
        <v>10665</v>
      </c>
      <c r="F1325" s="311">
        <f t="shared" si="8"/>
        <v>19.83248108522444</v>
      </c>
      <c r="G1325" s="336">
        <v>537.75419999999997</v>
      </c>
      <c r="H1325" s="327" t="s">
        <v>146</v>
      </c>
      <c r="I1325" s="125" t="s">
        <v>2306</v>
      </c>
      <c r="J1325" s="125" t="s">
        <v>96</v>
      </c>
      <c r="K1325" s="125" t="s">
        <v>2314</v>
      </c>
      <c r="L1325" s="143" t="s">
        <v>153</v>
      </c>
      <c r="M1325" s="125"/>
      <c r="N1325" s="125"/>
      <c r="O1325" s="125"/>
    </row>
    <row r="1326" spans="1:15" ht="15.6" hidden="1">
      <c r="A1326" s="326">
        <v>45866</v>
      </c>
      <c r="B1326" s="298" t="s">
        <v>2103</v>
      </c>
      <c r="C1326" s="299" t="s">
        <v>172</v>
      </c>
      <c r="D1326" s="300" t="s">
        <v>117</v>
      </c>
      <c r="E1326" s="298">
        <v>1000</v>
      </c>
      <c r="F1326" s="311">
        <f t="shared" si="8"/>
        <v>1.8595856619994786</v>
      </c>
      <c r="G1326" s="336">
        <v>537.75419999999997</v>
      </c>
      <c r="H1326" s="302" t="s">
        <v>151</v>
      </c>
      <c r="I1326" s="303" t="s">
        <v>2119</v>
      </c>
      <c r="J1326" s="125" t="s">
        <v>96</v>
      </c>
      <c r="K1326" s="125" t="s">
        <v>2314</v>
      </c>
      <c r="L1326" s="143" t="s">
        <v>153</v>
      </c>
      <c r="M1326" s="125"/>
      <c r="N1326" s="125"/>
      <c r="O1326" s="125"/>
    </row>
    <row r="1327" spans="1:15" ht="15.6" hidden="1">
      <c r="A1327" s="326">
        <v>45866</v>
      </c>
      <c r="B1327" s="298" t="s">
        <v>2117</v>
      </c>
      <c r="C1327" s="299" t="s">
        <v>172</v>
      </c>
      <c r="D1327" s="300" t="s">
        <v>117</v>
      </c>
      <c r="E1327" s="298">
        <v>1000</v>
      </c>
      <c r="F1327" s="311">
        <f t="shared" si="8"/>
        <v>1.8595856619994786</v>
      </c>
      <c r="G1327" s="336">
        <v>537.75419999999997</v>
      </c>
      <c r="H1327" s="302" t="s">
        <v>151</v>
      </c>
      <c r="I1327" s="303" t="s">
        <v>2119</v>
      </c>
      <c r="J1327" s="125" t="s">
        <v>96</v>
      </c>
      <c r="K1327" s="125" t="s">
        <v>2314</v>
      </c>
      <c r="L1327" s="143" t="s">
        <v>153</v>
      </c>
      <c r="M1327" s="125"/>
      <c r="N1327" s="125"/>
      <c r="O1327" s="125"/>
    </row>
    <row r="1328" spans="1:15" ht="15.6" hidden="1">
      <c r="A1328" s="326">
        <v>45866</v>
      </c>
      <c r="B1328" s="298" t="s">
        <v>2118</v>
      </c>
      <c r="C1328" s="299" t="s">
        <v>172</v>
      </c>
      <c r="D1328" s="300" t="s">
        <v>117</v>
      </c>
      <c r="E1328" s="298">
        <v>1000</v>
      </c>
      <c r="F1328" s="311">
        <f t="shared" si="8"/>
        <v>1.8595856619994786</v>
      </c>
      <c r="G1328" s="336">
        <v>537.75419999999997</v>
      </c>
      <c r="H1328" s="302" t="s">
        <v>151</v>
      </c>
      <c r="I1328" s="303" t="s">
        <v>2119</v>
      </c>
      <c r="J1328" s="125" t="s">
        <v>96</v>
      </c>
      <c r="K1328" s="125" t="s">
        <v>2314</v>
      </c>
      <c r="L1328" s="143" t="s">
        <v>153</v>
      </c>
      <c r="M1328" s="143"/>
      <c r="N1328" s="143"/>
      <c r="O1328" s="125"/>
    </row>
    <row r="1329" spans="1:15" ht="15.6" hidden="1">
      <c r="A1329" s="326">
        <v>45866</v>
      </c>
      <c r="B1329" s="298" t="s">
        <v>2104</v>
      </c>
      <c r="C1329" s="299" t="s">
        <v>172</v>
      </c>
      <c r="D1329" s="300" t="s">
        <v>117</v>
      </c>
      <c r="E1329" s="298">
        <v>1000</v>
      </c>
      <c r="F1329" s="311">
        <f t="shared" si="8"/>
        <v>1.8595856619994786</v>
      </c>
      <c r="G1329" s="336">
        <v>537.75419999999997</v>
      </c>
      <c r="H1329" s="302" t="s">
        <v>151</v>
      </c>
      <c r="I1329" s="303" t="s">
        <v>2119</v>
      </c>
      <c r="J1329" s="125" t="s">
        <v>96</v>
      </c>
      <c r="K1329" s="125" t="s">
        <v>2314</v>
      </c>
      <c r="L1329" s="143" t="s">
        <v>153</v>
      </c>
      <c r="M1329" s="125"/>
      <c r="N1329" s="125"/>
      <c r="O1329" s="125"/>
    </row>
    <row r="1330" spans="1:15" ht="15.6" hidden="1">
      <c r="A1330" s="326">
        <v>45866</v>
      </c>
      <c r="B1330" s="327" t="s">
        <v>2331</v>
      </c>
      <c r="C1330" s="327" t="s">
        <v>1952</v>
      </c>
      <c r="D1330" s="327" t="s">
        <v>116</v>
      </c>
      <c r="E1330" s="316">
        <v>6000</v>
      </c>
      <c r="F1330" s="311">
        <f t="shared" si="8"/>
        <v>11.157513971996872</v>
      </c>
      <c r="G1330" s="336">
        <v>537.75419999999997</v>
      </c>
      <c r="H1330" s="340" t="s">
        <v>581</v>
      </c>
      <c r="I1330" s="125" t="s">
        <v>2174</v>
      </c>
      <c r="J1330" s="125" t="s">
        <v>96</v>
      </c>
      <c r="K1330" s="125" t="s">
        <v>2314</v>
      </c>
      <c r="L1330" s="143" t="s">
        <v>153</v>
      </c>
      <c r="M1330" s="125"/>
      <c r="N1330" s="125"/>
      <c r="O1330" s="125"/>
    </row>
    <row r="1331" spans="1:15" ht="15.6" hidden="1">
      <c r="A1331" s="326">
        <v>45866</v>
      </c>
      <c r="B1331" s="327" t="s">
        <v>2330</v>
      </c>
      <c r="C1331" s="327" t="s">
        <v>302</v>
      </c>
      <c r="D1331" s="327" t="s">
        <v>116</v>
      </c>
      <c r="E1331" s="316">
        <v>20000</v>
      </c>
      <c r="F1331" s="311">
        <f t="shared" si="8"/>
        <v>37.191713239989575</v>
      </c>
      <c r="G1331" s="336">
        <v>537.75419999999997</v>
      </c>
      <c r="H1331" s="327" t="s">
        <v>581</v>
      </c>
      <c r="I1331" s="125" t="s">
        <v>2175</v>
      </c>
      <c r="J1331" s="125" t="s">
        <v>96</v>
      </c>
      <c r="K1331" s="125" t="s">
        <v>2314</v>
      </c>
      <c r="L1331" s="143" t="s">
        <v>153</v>
      </c>
      <c r="M1331" s="125"/>
      <c r="N1331" s="125"/>
      <c r="O1331" s="125"/>
    </row>
    <row r="1332" spans="1:15" ht="15.6" hidden="1">
      <c r="A1332" s="326">
        <v>45866</v>
      </c>
      <c r="B1332" s="327" t="s">
        <v>2159</v>
      </c>
      <c r="C1332" s="327" t="s">
        <v>302</v>
      </c>
      <c r="D1332" s="327" t="s">
        <v>116</v>
      </c>
      <c r="E1332" s="316">
        <v>75625</v>
      </c>
      <c r="F1332" s="311">
        <f t="shared" si="8"/>
        <v>140.63116568871058</v>
      </c>
      <c r="G1332" s="336">
        <v>537.75419999999997</v>
      </c>
      <c r="H1332" s="327" t="s">
        <v>581</v>
      </c>
      <c r="I1332" s="125" t="s">
        <v>2176</v>
      </c>
      <c r="J1332" s="125" t="s">
        <v>96</v>
      </c>
      <c r="K1332" s="125" t="s">
        <v>2314</v>
      </c>
      <c r="L1332" s="143" t="s">
        <v>153</v>
      </c>
      <c r="M1332" s="125"/>
      <c r="N1332" s="125"/>
      <c r="O1332" s="125"/>
    </row>
    <row r="1333" spans="1:15" ht="15.6" hidden="1">
      <c r="A1333" s="326">
        <v>45866</v>
      </c>
      <c r="B1333" s="327" t="s">
        <v>2332</v>
      </c>
      <c r="C1333" s="327" t="s">
        <v>170</v>
      </c>
      <c r="D1333" s="327" t="s">
        <v>116</v>
      </c>
      <c r="E1333" s="316">
        <v>12500</v>
      </c>
      <c r="F1333" s="311">
        <f t="shared" si="8"/>
        <v>23.244820774993485</v>
      </c>
      <c r="G1333" s="336">
        <v>537.75419999999997</v>
      </c>
      <c r="H1333" s="327" t="s">
        <v>581</v>
      </c>
      <c r="I1333" s="125" t="s">
        <v>2177</v>
      </c>
      <c r="J1333" s="125" t="s">
        <v>96</v>
      </c>
      <c r="K1333" s="125" t="s">
        <v>2314</v>
      </c>
      <c r="L1333" s="143" t="s">
        <v>153</v>
      </c>
      <c r="M1333" s="125"/>
      <c r="N1333" s="125"/>
      <c r="O1333" s="125"/>
    </row>
    <row r="1334" spans="1:15" ht="15.6" hidden="1">
      <c r="A1334" s="326">
        <v>45866</v>
      </c>
      <c r="B1334" s="179" t="s">
        <v>2218</v>
      </c>
      <c r="C1334" s="239" t="s">
        <v>194</v>
      </c>
      <c r="D1334" s="239" t="s">
        <v>115</v>
      </c>
      <c r="E1334" s="240">
        <v>1000</v>
      </c>
      <c r="F1334" s="311">
        <f t="shared" si="8"/>
        <v>1.8595856619994786</v>
      </c>
      <c r="G1334" s="336">
        <v>537.75419999999997</v>
      </c>
      <c r="H1334" s="252" t="s">
        <v>195</v>
      </c>
      <c r="I1334" s="179" t="s">
        <v>2221</v>
      </c>
      <c r="J1334" s="125" t="s">
        <v>96</v>
      </c>
      <c r="K1334" s="125" t="s">
        <v>2314</v>
      </c>
      <c r="L1334" s="143" t="s">
        <v>153</v>
      </c>
      <c r="M1334" s="125"/>
      <c r="N1334" s="125"/>
      <c r="O1334" s="125"/>
    </row>
    <row r="1335" spans="1:15" ht="15.6" hidden="1">
      <c r="A1335" s="326">
        <v>45866</v>
      </c>
      <c r="B1335" s="179" t="s">
        <v>2219</v>
      </c>
      <c r="C1335" s="239" t="s">
        <v>194</v>
      </c>
      <c r="D1335" s="239" t="s">
        <v>115</v>
      </c>
      <c r="E1335" s="240">
        <v>1000</v>
      </c>
      <c r="F1335" s="311">
        <f t="shared" si="8"/>
        <v>1.8595856619994786</v>
      </c>
      <c r="G1335" s="336">
        <v>537.75419999999997</v>
      </c>
      <c r="H1335" s="252" t="s">
        <v>195</v>
      </c>
      <c r="I1335" s="179" t="s">
        <v>2221</v>
      </c>
      <c r="J1335" s="125" t="s">
        <v>96</v>
      </c>
      <c r="K1335" s="125" t="s">
        <v>2314</v>
      </c>
      <c r="L1335" s="143" t="s">
        <v>153</v>
      </c>
      <c r="M1335" s="125"/>
      <c r="N1335" s="125"/>
      <c r="O1335" s="125"/>
    </row>
    <row r="1336" spans="1:15" ht="15.6" hidden="1">
      <c r="A1336" s="326">
        <v>45866</v>
      </c>
      <c r="B1336" s="327" t="s">
        <v>2227</v>
      </c>
      <c r="C1336" s="179" t="s">
        <v>172</v>
      </c>
      <c r="D1336" s="337" t="s">
        <v>118</v>
      </c>
      <c r="E1336" s="335">
        <v>1000</v>
      </c>
      <c r="F1336" s="311">
        <f t="shared" si="8"/>
        <v>1.8595856619994786</v>
      </c>
      <c r="G1336" s="336">
        <v>537.75419999999997</v>
      </c>
      <c r="H1336" s="327" t="s">
        <v>211</v>
      </c>
      <c r="I1336" s="125" t="s">
        <v>2237</v>
      </c>
      <c r="J1336" s="125" t="s">
        <v>96</v>
      </c>
      <c r="K1336" s="125" t="s">
        <v>2314</v>
      </c>
      <c r="L1336" s="143" t="s">
        <v>153</v>
      </c>
      <c r="M1336" s="125"/>
      <c r="N1336" s="125"/>
      <c r="O1336" s="125"/>
    </row>
    <row r="1337" spans="1:15" ht="15.6" hidden="1">
      <c r="A1337" s="326">
        <v>45866</v>
      </c>
      <c r="B1337" s="327" t="s">
        <v>2228</v>
      </c>
      <c r="C1337" s="179" t="s">
        <v>172</v>
      </c>
      <c r="D1337" s="337" t="s">
        <v>118</v>
      </c>
      <c r="E1337" s="335">
        <v>1000</v>
      </c>
      <c r="F1337" s="311">
        <f t="shared" si="8"/>
        <v>1.8595856619994786</v>
      </c>
      <c r="G1337" s="336">
        <v>537.75419999999997</v>
      </c>
      <c r="H1337" s="327" t="s">
        <v>211</v>
      </c>
      <c r="I1337" s="125" t="s">
        <v>2237</v>
      </c>
      <c r="J1337" s="125" t="s">
        <v>96</v>
      </c>
      <c r="K1337" s="125" t="s">
        <v>2314</v>
      </c>
      <c r="L1337" s="143" t="s">
        <v>153</v>
      </c>
      <c r="M1337" s="125"/>
      <c r="N1337" s="125"/>
      <c r="O1337" s="125"/>
    </row>
    <row r="1338" spans="1:15" ht="15.6" hidden="1">
      <c r="A1338" s="326">
        <v>45866</v>
      </c>
      <c r="B1338" s="327" t="s">
        <v>2333</v>
      </c>
      <c r="C1338" s="327" t="s">
        <v>2092</v>
      </c>
      <c r="D1338" s="327" t="s">
        <v>118</v>
      </c>
      <c r="E1338" s="316">
        <v>66000</v>
      </c>
      <c r="F1338" s="311">
        <f t="shared" si="8"/>
        <v>122.7326536919656</v>
      </c>
      <c r="G1338" s="336">
        <v>537.75419999999997</v>
      </c>
      <c r="H1338" s="327" t="s">
        <v>211</v>
      </c>
      <c r="I1338" s="127" t="s">
        <v>2238</v>
      </c>
      <c r="J1338" s="125" t="s">
        <v>96</v>
      </c>
      <c r="K1338" s="125" t="s">
        <v>2314</v>
      </c>
      <c r="L1338" s="143" t="s">
        <v>153</v>
      </c>
      <c r="M1338" s="125"/>
      <c r="N1338" s="125"/>
      <c r="O1338" s="125"/>
    </row>
    <row r="1339" spans="1:15" ht="15.6" hidden="1">
      <c r="A1339" s="326">
        <v>45866</v>
      </c>
      <c r="B1339" s="327" t="s">
        <v>2334</v>
      </c>
      <c r="C1339" s="327" t="s">
        <v>2092</v>
      </c>
      <c r="D1339" s="327" t="s">
        <v>118</v>
      </c>
      <c r="E1339" s="316">
        <v>30000</v>
      </c>
      <c r="F1339" s="311">
        <f t="shared" si="8"/>
        <v>55.787569859984359</v>
      </c>
      <c r="G1339" s="336">
        <v>537.75419999999997</v>
      </c>
      <c r="H1339" s="327" t="s">
        <v>211</v>
      </c>
      <c r="I1339" s="127" t="s">
        <v>2239</v>
      </c>
      <c r="J1339" s="125" t="s">
        <v>96</v>
      </c>
      <c r="K1339" s="125" t="s">
        <v>2314</v>
      </c>
      <c r="L1339" s="143" t="s">
        <v>153</v>
      </c>
      <c r="M1339" s="125"/>
      <c r="N1339" s="125"/>
      <c r="O1339" s="125"/>
    </row>
    <row r="1340" spans="1:15" ht="15.6" hidden="1">
      <c r="A1340" s="326">
        <v>45866</v>
      </c>
      <c r="B1340" s="327" t="s">
        <v>2229</v>
      </c>
      <c r="C1340" s="327" t="s">
        <v>2092</v>
      </c>
      <c r="D1340" s="327" t="s">
        <v>118</v>
      </c>
      <c r="E1340" s="316">
        <v>6000</v>
      </c>
      <c r="F1340" s="311">
        <f t="shared" si="8"/>
        <v>11.157513971996872</v>
      </c>
      <c r="G1340" s="336">
        <v>537.75419999999997</v>
      </c>
      <c r="H1340" s="327" t="s">
        <v>211</v>
      </c>
      <c r="I1340" s="127" t="s">
        <v>2240</v>
      </c>
      <c r="J1340" s="125" t="s">
        <v>96</v>
      </c>
      <c r="K1340" s="125" t="s">
        <v>2314</v>
      </c>
      <c r="L1340" s="143" t="s">
        <v>153</v>
      </c>
      <c r="M1340" s="125"/>
      <c r="N1340" s="125"/>
      <c r="O1340" s="125"/>
    </row>
    <row r="1341" spans="1:15" ht="15.6" hidden="1">
      <c r="A1341" s="326">
        <v>45866</v>
      </c>
      <c r="B1341" s="327" t="s">
        <v>2241</v>
      </c>
      <c r="C1341" s="327" t="s">
        <v>172</v>
      </c>
      <c r="D1341" s="327" t="s">
        <v>115</v>
      </c>
      <c r="E1341" s="327">
        <v>1000</v>
      </c>
      <c r="F1341" s="311">
        <f t="shared" si="8"/>
        <v>1.8595856619994786</v>
      </c>
      <c r="G1341" s="336">
        <v>537.75419999999997</v>
      </c>
      <c r="H1341" s="327" t="s">
        <v>185</v>
      </c>
      <c r="I1341" s="125" t="s">
        <v>2243</v>
      </c>
      <c r="J1341" s="125" t="s">
        <v>96</v>
      </c>
      <c r="K1341" s="125" t="s">
        <v>2314</v>
      </c>
      <c r="L1341" s="143" t="s">
        <v>153</v>
      </c>
      <c r="M1341" s="125"/>
      <c r="N1341" s="125"/>
      <c r="O1341" s="125"/>
    </row>
    <row r="1342" spans="1:15" ht="15.6" hidden="1">
      <c r="A1342" s="326">
        <v>45866</v>
      </c>
      <c r="B1342" s="327" t="s">
        <v>2242</v>
      </c>
      <c r="C1342" s="327" t="s">
        <v>172</v>
      </c>
      <c r="D1342" s="327" t="s">
        <v>115</v>
      </c>
      <c r="E1342" s="327">
        <v>1000</v>
      </c>
      <c r="F1342" s="311">
        <f t="shared" si="8"/>
        <v>1.8595856619994786</v>
      </c>
      <c r="G1342" s="336">
        <v>537.75419999999997</v>
      </c>
      <c r="H1342" s="327" t="s">
        <v>185</v>
      </c>
      <c r="I1342" s="125" t="s">
        <v>2243</v>
      </c>
      <c r="J1342" s="125" t="s">
        <v>96</v>
      </c>
      <c r="K1342" s="125" t="s">
        <v>2314</v>
      </c>
      <c r="L1342" s="143" t="s">
        <v>153</v>
      </c>
      <c r="M1342" s="125"/>
      <c r="N1342" s="125"/>
      <c r="O1342" s="125"/>
    </row>
    <row r="1343" spans="1:15" ht="15.6" hidden="1">
      <c r="A1343" s="326">
        <v>45866</v>
      </c>
      <c r="B1343" s="320" t="s">
        <v>2307</v>
      </c>
      <c r="C1343" s="177" t="s">
        <v>121</v>
      </c>
      <c r="D1343" s="177" t="s">
        <v>115</v>
      </c>
      <c r="E1343" s="324">
        <v>300000</v>
      </c>
      <c r="F1343" s="311">
        <f t="shared" si="8"/>
        <v>557.87569859984364</v>
      </c>
      <c r="G1343" s="336">
        <v>537.75419999999997</v>
      </c>
      <c r="H1343" s="327" t="s">
        <v>146</v>
      </c>
      <c r="I1343" s="125" t="s">
        <v>2308</v>
      </c>
      <c r="J1343" s="125" t="s">
        <v>96</v>
      </c>
      <c r="K1343" s="125" t="s">
        <v>2314</v>
      </c>
      <c r="L1343" s="143" t="s">
        <v>153</v>
      </c>
      <c r="M1343" s="125"/>
      <c r="N1343" s="125"/>
      <c r="O1343" s="125"/>
    </row>
    <row r="1344" spans="1:15" ht="15.6" hidden="1">
      <c r="A1344" s="326">
        <v>45867</v>
      </c>
      <c r="B1344" s="298" t="s">
        <v>2103</v>
      </c>
      <c r="C1344" s="299" t="s">
        <v>172</v>
      </c>
      <c r="D1344" s="300" t="s">
        <v>117</v>
      </c>
      <c r="E1344" s="298">
        <v>1000</v>
      </c>
      <c r="F1344" s="311">
        <f t="shared" si="8"/>
        <v>1.8595856619994786</v>
      </c>
      <c r="G1344" s="336">
        <v>537.75419999999997</v>
      </c>
      <c r="H1344" s="302" t="s">
        <v>151</v>
      </c>
      <c r="I1344" s="303" t="s">
        <v>2119</v>
      </c>
      <c r="J1344" s="125" t="s">
        <v>96</v>
      </c>
      <c r="K1344" s="125" t="s">
        <v>2314</v>
      </c>
      <c r="L1344" s="143" t="s">
        <v>153</v>
      </c>
      <c r="M1344" s="125"/>
      <c r="N1344" s="125"/>
      <c r="O1344" s="125"/>
    </row>
    <row r="1345" spans="1:15" ht="15.6" hidden="1">
      <c r="A1345" s="326">
        <v>45867</v>
      </c>
      <c r="B1345" s="298" t="s">
        <v>2104</v>
      </c>
      <c r="C1345" s="299" t="s">
        <v>172</v>
      </c>
      <c r="D1345" s="300" t="s">
        <v>117</v>
      </c>
      <c r="E1345" s="298">
        <v>1000</v>
      </c>
      <c r="F1345" s="311">
        <f t="shared" si="8"/>
        <v>1.8595856619994786</v>
      </c>
      <c r="G1345" s="336">
        <v>537.75419999999997</v>
      </c>
      <c r="H1345" s="302" t="s">
        <v>151</v>
      </c>
      <c r="I1345" s="303" t="s">
        <v>2119</v>
      </c>
      <c r="J1345" s="125" t="s">
        <v>96</v>
      </c>
      <c r="K1345" s="125" t="s">
        <v>2314</v>
      </c>
      <c r="L1345" s="143" t="s">
        <v>153</v>
      </c>
      <c r="M1345" s="125"/>
      <c r="N1345" s="125"/>
      <c r="O1345" s="125"/>
    </row>
    <row r="1346" spans="1:15" ht="15.6" hidden="1">
      <c r="A1346" s="326">
        <v>45867</v>
      </c>
      <c r="B1346" s="327" t="s">
        <v>2160</v>
      </c>
      <c r="C1346" s="327" t="s">
        <v>172</v>
      </c>
      <c r="D1346" s="327" t="s">
        <v>116</v>
      </c>
      <c r="E1346" s="316">
        <v>1000</v>
      </c>
      <c r="F1346" s="311">
        <f t="shared" si="8"/>
        <v>1.8595856619994786</v>
      </c>
      <c r="G1346" s="336">
        <v>537.75419999999997</v>
      </c>
      <c r="H1346" s="327" t="s">
        <v>581</v>
      </c>
      <c r="I1346" s="125" t="s">
        <v>2168</v>
      </c>
      <c r="J1346" s="125" t="s">
        <v>96</v>
      </c>
      <c r="K1346" s="125" t="s">
        <v>2314</v>
      </c>
      <c r="L1346" s="143" t="s">
        <v>153</v>
      </c>
      <c r="M1346" s="125"/>
      <c r="N1346" s="125"/>
      <c r="O1346" s="125"/>
    </row>
    <row r="1347" spans="1:15" ht="15.6" hidden="1">
      <c r="A1347" s="326">
        <v>45867</v>
      </c>
      <c r="B1347" s="327" t="s">
        <v>2161</v>
      </c>
      <c r="C1347" s="327" t="s">
        <v>172</v>
      </c>
      <c r="D1347" s="327" t="s">
        <v>116</v>
      </c>
      <c r="E1347" s="316">
        <v>1000</v>
      </c>
      <c r="F1347" s="311">
        <f t="shared" si="8"/>
        <v>1.8595856619994786</v>
      </c>
      <c r="G1347" s="336">
        <v>537.75419999999997</v>
      </c>
      <c r="H1347" s="327" t="s">
        <v>581</v>
      </c>
      <c r="I1347" s="125" t="s">
        <v>2168</v>
      </c>
      <c r="J1347" s="125" t="s">
        <v>96</v>
      </c>
      <c r="K1347" s="125" t="s">
        <v>2314</v>
      </c>
      <c r="L1347" s="143" t="s">
        <v>153</v>
      </c>
      <c r="M1347" s="125"/>
      <c r="N1347" s="125"/>
      <c r="O1347" s="125"/>
    </row>
    <row r="1348" spans="1:15" ht="15.6" hidden="1">
      <c r="A1348" s="326">
        <v>45867</v>
      </c>
      <c r="B1348" s="327" t="s">
        <v>2162</v>
      </c>
      <c r="C1348" s="177" t="s">
        <v>121</v>
      </c>
      <c r="D1348" s="177" t="s">
        <v>115</v>
      </c>
      <c r="E1348" s="316">
        <v>115000</v>
      </c>
      <c r="F1348" s="311">
        <f t="shared" ref="F1348:F1373" si="9">E1348/G1348</f>
        <v>213.85235112994005</v>
      </c>
      <c r="G1348" s="336">
        <v>537.75419999999997</v>
      </c>
      <c r="H1348" s="327" t="s">
        <v>581</v>
      </c>
      <c r="I1348" s="125" t="s">
        <v>2178</v>
      </c>
      <c r="J1348" s="125" t="s">
        <v>96</v>
      </c>
      <c r="K1348" s="125" t="s">
        <v>2314</v>
      </c>
      <c r="L1348" s="143" t="s">
        <v>153</v>
      </c>
      <c r="M1348" s="125"/>
      <c r="N1348" s="125"/>
      <c r="O1348" s="125"/>
    </row>
    <row r="1349" spans="1:15" ht="15.6" hidden="1">
      <c r="A1349" s="326">
        <v>45867</v>
      </c>
      <c r="B1349" s="327" t="s">
        <v>1553</v>
      </c>
      <c r="C1349" s="327" t="s">
        <v>170</v>
      </c>
      <c r="D1349" s="327" t="s">
        <v>116</v>
      </c>
      <c r="E1349" s="316">
        <v>300000</v>
      </c>
      <c r="F1349" s="311">
        <f t="shared" si="9"/>
        <v>557.87569859984364</v>
      </c>
      <c r="G1349" s="336">
        <v>537.75419999999997</v>
      </c>
      <c r="H1349" s="327" t="s">
        <v>581</v>
      </c>
      <c r="I1349" s="125" t="s">
        <v>2179</v>
      </c>
      <c r="J1349" s="125" t="s">
        <v>96</v>
      </c>
      <c r="K1349" s="125" t="s">
        <v>2314</v>
      </c>
      <c r="L1349" s="143" t="s">
        <v>153</v>
      </c>
      <c r="M1349" s="125"/>
      <c r="N1349" s="125"/>
      <c r="O1349" s="125"/>
    </row>
    <row r="1350" spans="1:15" ht="15.6" hidden="1">
      <c r="A1350" s="326">
        <v>45867</v>
      </c>
      <c r="B1350" s="327" t="s">
        <v>548</v>
      </c>
      <c r="C1350" s="327" t="s">
        <v>170</v>
      </c>
      <c r="D1350" s="327" t="s">
        <v>116</v>
      </c>
      <c r="E1350" s="316">
        <v>25000</v>
      </c>
      <c r="F1350" s="311">
        <f t="shared" si="9"/>
        <v>46.48964154998697</v>
      </c>
      <c r="G1350" s="336">
        <v>537.75419999999997</v>
      </c>
      <c r="H1350" s="327" t="s">
        <v>188</v>
      </c>
      <c r="I1350" s="125" t="s">
        <v>2190</v>
      </c>
      <c r="J1350" s="125" t="s">
        <v>96</v>
      </c>
      <c r="K1350" s="125" t="s">
        <v>2314</v>
      </c>
      <c r="L1350" s="143" t="s">
        <v>153</v>
      </c>
      <c r="M1350" s="125"/>
      <c r="N1350" s="125"/>
      <c r="O1350" s="125"/>
    </row>
    <row r="1351" spans="1:15" ht="15.6" hidden="1">
      <c r="A1351" s="326">
        <v>45867</v>
      </c>
      <c r="B1351" s="327" t="s">
        <v>2230</v>
      </c>
      <c r="C1351" s="179" t="s">
        <v>172</v>
      </c>
      <c r="D1351" s="337" t="s">
        <v>118</v>
      </c>
      <c r="E1351" s="335">
        <v>1000</v>
      </c>
      <c r="F1351" s="311">
        <f t="shared" si="9"/>
        <v>1.8595856619994786</v>
      </c>
      <c r="G1351" s="336">
        <v>537.75419999999997</v>
      </c>
      <c r="H1351" s="327" t="s">
        <v>211</v>
      </c>
      <c r="I1351" s="125" t="s">
        <v>2237</v>
      </c>
      <c r="J1351" s="125" t="s">
        <v>96</v>
      </c>
      <c r="K1351" s="125" t="s">
        <v>2314</v>
      </c>
      <c r="L1351" s="143" t="s">
        <v>153</v>
      </c>
      <c r="M1351" s="125"/>
      <c r="N1351" s="125"/>
      <c r="O1351" s="125"/>
    </row>
    <row r="1352" spans="1:15" ht="15.6" hidden="1">
      <c r="A1352" s="326">
        <v>45867</v>
      </c>
      <c r="B1352" s="327" t="s">
        <v>2231</v>
      </c>
      <c r="C1352" s="179" t="s">
        <v>172</v>
      </c>
      <c r="D1352" s="337" t="s">
        <v>118</v>
      </c>
      <c r="E1352" s="335">
        <v>1000</v>
      </c>
      <c r="F1352" s="311">
        <f t="shared" si="9"/>
        <v>1.8595856619994786</v>
      </c>
      <c r="G1352" s="336">
        <v>537.75419999999997</v>
      </c>
      <c r="H1352" s="327" t="s">
        <v>211</v>
      </c>
      <c r="I1352" s="125" t="s">
        <v>2237</v>
      </c>
      <c r="J1352" s="125" t="s">
        <v>96</v>
      </c>
      <c r="K1352" s="125" t="s">
        <v>2314</v>
      </c>
      <c r="L1352" s="143" t="s">
        <v>153</v>
      </c>
      <c r="M1352" s="125"/>
      <c r="N1352" s="125"/>
      <c r="O1352" s="125"/>
    </row>
    <row r="1353" spans="1:15" ht="15.6" hidden="1">
      <c r="A1353" s="326">
        <v>45867</v>
      </c>
      <c r="B1353" s="327" t="s">
        <v>2232</v>
      </c>
      <c r="C1353" s="179" t="s">
        <v>172</v>
      </c>
      <c r="D1353" s="337" t="s">
        <v>118</v>
      </c>
      <c r="E1353" s="335">
        <v>1000</v>
      </c>
      <c r="F1353" s="311">
        <f t="shared" si="9"/>
        <v>1.8595856619994786</v>
      </c>
      <c r="G1353" s="336">
        <v>537.75419999999997</v>
      </c>
      <c r="H1353" s="327" t="s">
        <v>211</v>
      </c>
      <c r="I1353" s="125" t="s">
        <v>2237</v>
      </c>
      <c r="J1353" s="125" t="s">
        <v>96</v>
      </c>
      <c r="K1353" s="125" t="s">
        <v>2314</v>
      </c>
      <c r="L1353" s="143" t="s">
        <v>153</v>
      </c>
      <c r="M1353" s="125"/>
      <c r="N1353" s="125"/>
      <c r="O1353" s="125"/>
    </row>
    <row r="1354" spans="1:15" ht="15.6" hidden="1">
      <c r="A1354" s="326">
        <v>45867</v>
      </c>
      <c r="B1354" s="327" t="s">
        <v>2233</v>
      </c>
      <c r="C1354" s="179" t="s">
        <v>172</v>
      </c>
      <c r="D1354" s="337" t="s">
        <v>118</v>
      </c>
      <c r="E1354" s="335">
        <v>1000</v>
      </c>
      <c r="F1354" s="311">
        <f t="shared" si="9"/>
        <v>1.8595856619994786</v>
      </c>
      <c r="G1354" s="336">
        <v>537.75419999999997</v>
      </c>
      <c r="H1354" s="327" t="s">
        <v>211</v>
      </c>
      <c r="I1354" s="125" t="s">
        <v>2237</v>
      </c>
      <c r="J1354" s="125" t="s">
        <v>96</v>
      </c>
      <c r="K1354" s="125" t="s">
        <v>2314</v>
      </c>
      <c r="L1354" s="143" t="s">
        <v>153</v>
      </c>
      <c r="M1354" s="125"/>
      <c r="N1354" s="125"/>
      <c r="O1354" s="125"/>
    </row>
    <row r="1355" spans="1:15" ht="15.6" hidden="1">
      <c r="A1355" s="326">
        <v>45867</v>
      </c>
      <c r="B1355" s="327" t="s">
        <v>2234</v>
      </c>
      <c r="C1355" s="179" t="s">
        <v>172</v>
      </c>
      <c r="D1355" s="337" t="s">
        <v>118</v>
      </c>
      <c r="E1355" s="335">
        <v>1000</v>
      </c>
      <c r="F1355" s="311">
        <f t="shared" si="9"/>
        <v>1.8595856619994786</v>
      </c>
      <c r="G1355" s="336">
        <v>537.75419999999997</v>
      </c>
      <c r="H1355" s="327" t="s">
        <v>211</v>
      </c>
      <c r="I1355" s="125" t="s">
        <v>2237</v>
      </c>
      <c r="J1355" s="125" t="s">
        <v>96</v>
      </c>
      <c r="K1355" s="125" t="s">
        <v>2314</v>
      </c>
      <c r="L1355" s="143" t="s">
        <v>153</v>
      </c>
      <c r="M1355" s="125"/>
      <c r="N1355" s="125"/>
      <c r="O1355" s="125"/>
    </row>
    <row r="1356" spans="1:15" ht="15.6" hidden="1">
      <c r="A1356" s="326">
        <v>45867</v>
      </c>
      <c r="B1356" s="327" t="s">
        <v>2235</v>
      </c>
      <c r="C1356" s="179" t="s">
        <v>172</v>
      </c>
      <c r="D1356" s="337" t="s">
        <v>118</v>
      </c>
      <c r="E1356" s="335">
        <v>1000</v>
      </c>
      <c r="F1356" s="311">
        <f t="shared" si="9"/>
        <v>1.8595856619994786</v>
      </c>
      <c r="G1356" s="336">
        <v>537.75419999999997</v>
      </c>
      <c r="H1356" s="327" t="s">
        <v>211</v>
      </c>
      <c r="I1356" s="125" t="s">
        <v>2237</v>
      </c>
      <c r="J1356" s="125" t="s">
        <v>96</v>
      </c>
      <c r="K1356" s="125" t="s">
        <v>2314</v>
      </c>
      <c r="L1356" s="143" t="s">
        <v>153</v>
      </c>
      <c r="M1356" s="125"/>
      <c r="N1356" s="125"/>
      <c r="O1356" s="125"/>
    </row>
    <row r="1357" spans="1:15" ht="15.6" hidden="1">
      <c r="A1357" s="326">
        <v>45867</v>
      </c>
      <c r="B1357" s="327" t="s">
        <v>2236</v>
      </c>
      <c r="C1357" s="179" t="s">
        <v>172</v>
      </c>
      <c r="D1357" s="337" t="s">
        <v>118</v>
      </c>
      <c r="E1357" s="335">
        <v>1000</v>
      </c>
      <c r="F1357" s="311">
        <f t="shared" si="9"/>
        <v>1.8595856619994786</v>
      </c>
      <c r="G1357" s="336">
        <v>537.75419999999997</v>
      </c>
      <c r="H1357" s="327" t="s">
        <v>211</v>
      </c>
      <c r="I1357" s="125" t="s">
        <v>2237</v>
      </c>
      <c r="J1357" s="125" t="s">
        <v>96</v>
      </c>
      <c r="K1357" s="125" t="s">
        <v>2314</v>
      </c>
      <c r="L1357" s="143" t="s">
        <v>153</v>
      </c>
      <c r="M1357" s="125"/>
      <c r="N1357" s="125"/>
      <c r="O1357" s="125"/>
    </row>
    <row r="1358" spans="1:15" ht="15.6" hidden="1">
      <c r="A1358" s="326">
        <v>45868</v>
      </c>
      <c r="B1358" s="298" t="s">
        <v>2103</v>
      </c>
      <c r="C1358" s="299" t="s">
        <v>172</v>
      </c>
      <c r="D1358" s="300" t="s">
        <v>117</v>
      </c>
      <c r="E1358" s="298">
        <v>1000</v>
      </c>
      <c r="F1358" s="311">
        <f t="shared" si="9"/>
        <v>1.8595856619994786</v>
      </c>
      <c r="G1358" s="336">
        <v>537.75419999999997</v>
      </c>
      <c r="H1358" s="302" t="s">
        <v>151</v>
      </c>
      <c r="I1358" s="303" t="s">
        <v>2119</v>
      </c>
      <c r="J1358" s="125" t="s">
        <v>96</v>
      </c>
      <c r="K1358" s="125" t="s">
        <v>2314</v>
      </c>
      <c r="L1358" s="143" t="s">
        <v>153</v>
      </c>
      <c r="M1358" s="125"/>
      <c r="N1358" s="125"/>
      <c r="O1358" s="125"/>
    </row>
    <row r="1359" spans="1:15" ht="15.6" hidden="1">
      <c r="A1359" s="326">
        <v>45868</v>
      </c>
      <c r="B1359" s="298" t="s">
        <v>2104</v>
      </c>
      <c r="C1359" s="299" t="s">
        <v>172</v>
      </c>
      <c r="D1359" s="300" t="s">
        <v>117</v>
      </c>
      <c r="E1359" s="298">
        <v>1000</v>
      </c>
      <c r="F1359" s="311">
        <f t="shared" si="9"/>
        <v>1.8595856619994786</v>
      </c>
      <c r="G1359" s="336">
        <v>537.75419999999997</v>
      </c>
      <c r="H1359" s="302" t="s">
        <v>151</v>
      </c>
      <c r="I1359" s="303" t="s">
        <v>2119</v>
      </c>
      <c r="J1359" s="125" t="s">
        <v>96</v>
      </c>
      <c r="K1359" s="125" t="s">
        <v>2314</v>
      </c>
      <c r="L1359" s="143" t="s">
        <v>153</v>
      </c>
      <c r="M1359" s="125"/>
      <c r="N1359" s="125"/>
      <c r="O1359" s="125"/>
    </row>
    <row r="1360" spans="1:15" ht="15.6" hidden="1">
      <c r="A1360" s="326">
        <v>45868</v>
      </c>
      <c r="B1360" s="327" t="s">
        <v>2163</v>
      </c>
      <c r="C1360" s="327" t="s">
        <v>172</v>
      </c>
      <c r="D1360" s="327" t="s">
        <v>116</v>
      </c>
      <c r="E1360" s="316">
        <v>1000</v>
      </c>
      <c r="F1360" s="311">
        <f t="shared" si="9"/>
        <v>1.8595856619994786</v>
      </c>
      <c r="G1360" s="336">
        <v>537.75419999999997</v>
      </c>
      <c r="H1360" s="327" t="s">
        <v>581</v>
      </c>
      <c r="I1360" s="125" t="s">
        <v>2168</v>
      </c>
      <c r="J1360" s="125" t="s">
        <v>96</v>
      </c>
      <c r="K1360" s="125" t="s">
        <v>2314</v>
      </c>
      <c r="L1360" s="143" t="s">
        <v>153</v>
      </c>
      <c r="M1360" s="125"/>
      <c r="N1360" s="125"/>
      <c r="O1360" s="125"/>
    </row>
    <row r="1361" spans="1:15" ht="15.6" hidden="1">
      <c r="A1361" s="326">
        <v>45868</v>
      </c>
      <c r="B1361" s="327" t="s">
        <v>2164</v>
      </c>
      <c r="C1361" s="327" t="s">
        <v>172</v>
      </c>
      <c r="D1361" s="327" t="s">
        <v>116</v>
      </c>
      <c r="E1361" s="316">
        <v>1000</v>
      </c>
      <c r="F1361" s="311">
        <f t="shared" si="9"/>
        <v>1.8595856619994786</v>
      </c>
      <c r="G1361" s="336">
        <v>537.75419999999997</v>
      </c>
      <c r="H1361" s="327" t="s">
        <v>581</v>
      </c>
      <c r="I1361" s="125" t="s">
        <v>2168</v>
      </c>
      <c r="J1361" s="125" t="s">
        <v>96</v>
      </c>
      <c r="K1361" s="125" t="s">
        <v>2314</v>
      </c>
      <c r="L1361" s="143" t="s">
        <v>153</v>
      </c>
      <c r="M1361" s="125"/>
      <c r="N1361" s="125"/>
      <c r="O1361" s="125"/>
    </row>
    <row r="1362" spans="1:15" ht="15.6" hidden="1">
      <c r="A1362" s="326">
        <v>45868</v>
      </c>
      <c r="B1362" s="327" t="s">
        <v>2165</v>
      </c>
      <c r="C1362" s="327" t="s">
        <v>624</v>
      </c>
      <c r="D1362" s="327" t="s">
        <v>116</v>
      </c>
      <c r="E1362" s="316">
        <v>45050</v>
      </c>
      <c r="F1362" s="311">
        <f t="shared" si="9"/>
        <v>83.774334073076517</v>
      </c>
      <c r="G1362" s="336">
        <v>537.75419999999997</v>
      </c>
      <c r="H1362" s="327" t="s">
        <v>581</v>
      </c>
      <c r="I1362" s="125" t="s">
        <v>2180</v>
      </c>
      <c r="J1362" s="125" t="s">
        <v>96</v>
      </c>
      <c r="K1362" s="125" t="s">
        <v>2314</v>
      </c>
      <c r="L1362" s="143" t="s">
        <v>153</v>
      </c>
      <c r="M1362" s="125"/>
      <c r="N1362" s="125"/>
      <c r="O1362" s="125"/>
    </row>
    <row r="1363" spans="1:15" ht="15.6" hidden="1">
      <c r="A1363" s="326">
        <v>45868</v>
      </c>
      <c r="B1363" s="320" t="s">
        <v>2309</v>
      </c>
      <c r="C1363" s="177" t="s">
        <v>125</v>
      </c>
      <c r="D1363" s="177" t="s">
        <v>440</v>
      </c>
      <c r="E1363" s="324">
        <v>370000</v>
      </c>
      <c r="F1363" s="311">
        <f t="shared" si="9"/>
        <v>688.04669493980714</v>
      </c>
      <c r="G1363" s="336">
        <v>537.75419999999997</v>
      </c>
      <c r="H1363" s="327" t="s">
        <v>146</v>
      </c>
      <c r="I1363" s="125" t="s">
        <v>2310</v>
      </c>
      <c r="J1363" s="125" t="s">
        <v>96</v>
      </c>
      <c r="K1363" s="125" t="s">
        <v>2314</v>
      </c>
      <c r="L1363" s="143" t="s">
        <v>153</v>
      </c>
      <c r="M1363" s="125"/>
      <c r="N1363" s="125"/>
      <c r="O1363" s="125"/>
    </row>
    <row r="1364" spans="1:15" ht="15.6" hidden="1">
      <c r="A1364" s="326">
        <v>45868</v>
      </c>
      <c r="B1364" s="320" t="s">
        <v>2311</v>
      </c>
      <c r="C1364" s="177"/>
      <c r="D1364" s="177" t="s">
        <v>440</v>
      </c>
      <c r="E1364" s="324">
        <v>225000</v>
      </c>
      <c r="F1364" s="311">
        <f t="shared" si="9"/>
        <v>418.40677394988268</v>
      </c>
      <c r="G1364" s="336">
        <v>537.75419999999997</v>
      </c>
      <c r="H1364" s="327" t="s">
        <v>146</v>
      </c>
      <c r="I1364" s="125" t="s">
        <v>2312</v>
      </c>
      <c r="J1364" s="125" t="s">
        <v>96</v>
      </c>
      <c r="K1364" s="125" t="s">
        <v>2314</v>
      </c>
      <c r="L1364" s="143" t="s">
        <v>153</v>
      </c>
      <c r="M1364" s="125"/>
      <c r="N1364" s="125"/>
      <c r="O1364" s="125"/>
    </row>
    <row r="1365" spans="1:15" ht="15.6" hidden="1">
      <c r="A1365" s="326">
        <v>45869</v>
      </c>
      <c r="B1365" s="298" t="s">
        <v>2103</v>
      </c>
      <c r="C1365" s="299" t="s">
        <v>172</v>
      </c>
      <c r="D1365" s="300" t="s">
        <v>117</v>
      </c>
      <c r="E1365" s="298">
        <v>1000</v>
      </c>
      <c r="F1365" s="311">
        <f t="shared" si="9"/>
        <v>1.8595856619994786</v>
      </c>
      <c r="G1365" s="336">
        <v>537.75419999999997</v>
      </c>
      <c r="H1365" s="302" t="s">
        <v>151</v>
      </c>
      <c r="I1365" s="303" t="s">
        <v>2119</v>
      </c>
      <c r="J1365" s="125" t="s">
        <v>96</v>
      </c>
      <c r="K1365" s="125" t="s">
        <v>2314</v>
      </c>
      <c r="L1365" s="143" t="s">
        <v>153</v>
      </c>
      <c r="M1365" s="125"/>
      <c r="N1365" s="125"/>
      <c r="O1365" s="125"/>
    </row>
    <row r="1366" spans="1:15" ht="15.6" hidden="1">
      <c r="A1366" s="326">
        <v>45869</v>
      </c>
      <c r="B1366" s="298" t="s">
        <v>2104</v>
      </c>
      <c r="C1366" s="299" t="s">
        <v>172</v>
      </c>
      <c r="D1366" s="300" t="s">
        <v>117</v>
      </c>
      <c r="E1366" s="298">
        <v>1000</v>
      </c>
      <c r="F1366" s="311">
        <f t="shared" si="9"/>
        <v>1.8595856619994786</v>
      </c>
      <c r="G1366" s="336">
        <v>537.75419999999997</v>
      </c>
      <c r="H1366" s="302" t="s">
        <v>151</v>
      </c>
      <c r="I1366" s="303" t="s">
        <v>2119</v>
      </c>
      <c r="J1366" s="125" t="s">
        <v>96</v>
      </c>
      <c r="K1366" s="125" t="s">
        <v>2314</v>
      </c>
      <c r="L1366" s="143" t="s">
        <v>153</v>
      </c>
      <c r="M1366" s="184"/>
      <c r="N1366" s="184"/>
      <c r="O1366" s="184"/>
    </row>
    <row r="1367" spans="1:15" ht="15.6" hidden="1">
      <c r="A1367" s="326">
        <v>45869</v>
      </c>
      <c r="B1367" s="327" t="s">
        <v>2166</v>
      </c>
      <c r="C1367" s="327" t="s">
        <v>172</v>
      </c>
      <c r="D1367" s="327" t="s">
        <v>116</v>
      </c>
      <c r="E1367" s="316">
        <v>1000</v>
      </c>
      <c r="F1367" s="311">
        <f t="shared" si="9"/>
        <v>1.8595856619994786</v>
      </c>
      <c r="G1367" s="336">
        <v>537.75419999999997</v>
      </c>
      <c r="H1367" s="327" t="s">
        <v>581</v>
      </c>
      <c r="I1367" s="125" t="s">
        <v>2168</v>
      </c>
      <c r="J1367" s="125" t="s">
        <v>96</v>
      </c>
      <c r="K1367" s="125" t="s">
        <v>2314</v>
      </c>
      <c r="L1367" s="143" t="s">
        <v>153</v>
      </c>
      <c r="M1367" s="125"/>
      <c r="N1367" s="125"/>
      <c r="O1367" s="125"/>
    </row>
    <row r="1368" spans="1:15" ht="15.6" hidden="1">
      <c r="A1368" s="326">
        <v>45869</v>
      </c>
      <c r="B1368" s="327" t="s">
        <v>2167</v>
      </c>
      <c r="C1368" s="327" t="s">
        <v>172</v>
      </c>
      <c r="D1368" s="327" t="s">
        <v>116</v>
      </c>
      <c r="E1368" s="316">
        <v>1000</v>
      </c>
      <c r="F1368" s="311">
        <f t="shared" si="9"/>
        <v>1.8595856619994786</v>
      </c>
      <c r="G1368" s="336">
        <v>537.75419999999997</v>
      </c>
      <c r="H1368" s="327" t="s">
        <v>581</v>
      </c>
      <c r="I1368" s="125" t="s">
        <v>2168</v>
      </c>
      <c r="J1368" s="125" t="s">
        <v>96</v>
      </c>
      <c r="K1368" s="125" t="s">
        <v>2314</v>
      </c>
      <c r="L1368" s="143" t="s">
        <v>153</v>
      </c>
      <c r="M1368" s="125"/>
      <c r="N1368" s="125"/>
      <c r="O1368" s="125"/>
    </row>
    <row r="1369" spans="1:15" ht="15.6" hidden="1">
      <c r="A1369" s="326">
        <v>45869</v>
      </c>
      <c r="B1369" s="327" t="s">
        <v>2187</v>
      </c>
      <c r="C1369" s="327" t="s">
        <v>150</v>
      </c>
      <c r="D1369" s="327" t="s">
        <v>115</v>
      </c>
      <c r="E1369" s="316">
        <v>5000</v>
      </c>
      <c r="F1369" s="311">
        <f t="shared" si="9"/>
        <v>9.2979283099973937</v>
      </c>
      <c r="G1369" s="336">
        <v>537.75419999999997</v>
      </c>
      <c r="H1369" s="327" t="s">
        <v>188</v>
      </c>
      <c r="I1369" s="125" t="s">
        <v>2191</v>
      </c>
      <c r="J1369" s="125" t="s">
        <v>96</v>
      </c>
      <c r="K1369" s="125" t="s">
        <v>2314</v>
      </c>
      <c r="L1369" s="143" t="s">
        <v>153</v>
      </c>
      <c r="M1369" s="125"/>
      <c r="N1369" s="125"/>
      <c r="O1369" s="125"/>
    </row>
    <row r="1370" spans="1:15" ht="15.6" hidden="1">
      <c r="A1370" s="326">
        <v>45869</v>
      </c>
      <c r="B1370" s="179" t="s">
        <v>2201</v>
      </c>
      <c r="C1370" s="179" t="s">
        <v>150</v>
      </c>
      <c r="D1370" s="179" t="s">
        <v>115</v>
      </c>
      <c r="E1370" s="316">
        <v>5000</v>
      </c>
      <c r="F1370" s="311">
        <f t="shared" si="9"/>
        <v>9.2979283099973937</v>
      </c>
      <c r="G1370" s="336">
        <v>537.75419999999997</v>
      </c>
      <c r="H1370" s="179" t="s">
        <v>191</v>
      </c>
      <c r="I1370" s="179" t="s">
        <v>2207</v>
      </c>
      <c r="J1370" s="125" t="s">
        <v>96</v>
      </c>
      <c r="K1370" s="125" t="s">
        <v>2314</v>
      </c>
      <c r="L1370" s="143" t="s">
        <v>153</v>
      </c>
      <c r="M1370" s="125"/>
      <c r="N1370" s="125"/>
      <c r="O1370" s="125"/>
    </row>
    <row r="1371" spans="1:15" ht="15.6" hidden="1">
      <c r="A1371" s="326">
        <v>45869</v>
      </c>
      <c r="B1371" s="179" t="s">
        <v>2202</v>
      </c>
      <c r="C1371" s="179" t="s">
        <v>172</v>
      </c>
      <c r="D1371" s="179" t="s">
        <v>115</v>
      </c>
      <c r="E1371" s="316">
        <v>1000</v>
      </c>
      <c r="F1371" s="311">
        <f t="shared" si="9"/>
        <v>1.8595856619994786</v>
      </c>
      <c r="G1371" s="336">
        <v>537.75419999999997</v>
      </c>
      <c r="H1371" s="179" t="s">
        <v>191</v>
      </c>
      <c r="I1371" s="179" t="s">
        <v>2204</v>
      </c>
      <c r="J1371" s="125" t="s">
        <v>96</v>
      </c>
      <c r="K1371" s="125" t="s">
        <v>2314</v>
      </c>
      <c r="L1371" s="143" t="s">
        <v>153</v>
      </c>
      <c r="M1371" s="125"/>
      <c r="N1371" s="125"/>
      <c r="O1371" s="125"/>
    </row>
    <row r="1372" spans="1:15" ht="15.6" hidden="1">
      <c r="A1372" s="326">
        <v>45869</v>
      </c>
      <c r="B1372" s="179" t="s">
        <v>2203</v>
      </c>
      <c r="C1372" s="240" t="s">
        <v>172</v>
      </c>
      <c r="D1372" s="179" t="s">
        <v>115</v>
      </c>
      <c r="E1372" s="316">
        <v>1000</v>
      </c>
      <c r="F1372" s="311">
        <f t="shared" si="9"/>
        <v>1.8595856619994786</v>
      </c>
      <c r="G1372" s="336">
        <v>537.75419999999997</v>
      </c>
      <c r="H1372" s="179" t="s">
        <v>191</v>
      </c>
      <c r="I1372" s="179" t="s">
        <v>2204</v>
      </c>
      <c r="J1372" s="125" t="s">
        <v>96</v>
      </c>
      <c r="K1372" s="125" t="s">
        <v>2314</v>
      </c>
      <c r="L1372" s="143" t="s">
        <v>153</v>
      </c>
      <c r="M1372" s="125"/>
      <c r="N1372" s="125"/>
      <c r="O1372" s="125"/>
    </row>
    <row r="1373" spans="1:15" ht="15.6" hidden="1">
      <c r="A1373" s="326">
        <v>45869</v>
      </c>
      <c r="B1373" s="243" t="s">
        <v>2324</v>
      </c>
      <c r="C1373" s="327" t="s">
        <v>150</v>
      </c>
      <c r="D1373" s="327" t="s">
        <v>115</v>
      </c>
      <c r="E1373" s="327">
        <v>5000</v>
      </c>
      <c r="F1373" s="311">
        <f t="shared" si="9"/>
        <v>9.2979283099973937</v>
      </c>
      <c r="G1373" s="336">
        <v>537.75419999999997</v>
      </c>
      <c r="H1373" s="327" t="s">
        <v>185</v>
      </c>
      <c r="I1373" s="125" t="s">
        <v>2244</v>
      </c>
      <c r="J1373" s="125" t="s">
        <v>96</v>
      </c>
      <c r="K1373" s="125" t="s">
        <v>2314</v>
      </c>
      <c r="L1373" s="143" t="s">
        <v>153</v>
      </c>
      <c r="M1373" s="125"/>
      <c r="N1373" s="125"/>
      <c r="O1373" s="125"/>
    </row>
    <row r="1374" spans="1:15" ht="15.6" hidden="1">
      <c r="A1374" s="352">
        <v>45870</v>
      </c>
      <c r="B1374" s="377" t="s">
        <v>2386</v>
      </c>
      <c r="C1374" s="299" t="s">
        <v>172</v>
      </c>
      <c r="D1374" s="299" t="s">
        <v>117</v>
      </c>
      <c r="E1374" s="377">
        <v>1000</v>
      </c>
      <c r="F1374" s="311">
        <f t="shared" ref="F1374:F1405" si="10">E1374/G1374</f>
        <v>1.7827155035636482</v>
      </c>
      <c r="G1374" s="312">
        <v>560.94200000000001</v>
      </c>
      <c r="H1374" s="384" t="s">
        <v>151</v>
      </c>
      <c r="I1374" s="385" t="s">
        <v>2428</v>
      </c>
      <c r="J1374" s="177" t="s">
        <v>96</v>
      </c>
      <c r="K1374" s="125" t="s">
        <v>1906</v>
      </c>
      <c r="L1374" s="177" t="s">
        <v>153</v>
      </c>
      <c r="M1374" s="125"/>
      <c r="N1374" s="125"/>
    </row>
    <row r="1375" spans="1:15" ht="15.6" hidden="1">
      <c r="A1375" s="352">
        <v>45870</v>
      </c>
      <c r="B1375" s="377" t="s">
        <v>2104</v>
      </c>
      <c r="C1375" s="299" t="s">
        <v>172</v>
      </c>
      <c r="D1375" s="299" t="s">
        <v>117</v>
      </c>
      <c r="E1375" s="377">
        <v>1000</v>
      </c>
      <c r="F1375" s="311">
        <f t="shared" si="10"/>
        <v>1.7827155035636482</v>
      </c>
      <c r="G1375" s="312">
        <v>560.94200000000001</v>
      </c>
      <c r="H1375" s="384" t="s">
        <v>151</v>
      </c>
      <c r="I1375" s="385" t="s">
        <v>2428</v>
      </c>
      <c r="J1375" s="177" t="s">
        <v>96</v>
      </c>
      <c r="K1375" s="125" t="s">
        <v>1906</v>
      </c>
      <c r="L1375" s="177" t="s">
        <v>153</v>
      </c>
      <c r="M1375" s="125"/>
      <c r="N1375" s="125"/>
    </row>
    <row r="1376" spans="1:15" ht="15.6" hidden="1">
      <c r="A1376" s="359">
        <v>45870</v>
      </c>
      <c r="B1376" s="177" t="s">
        <v>2431</v>
      </c>
      <c r="C1376" s="177" t="s">
        <v>172</v>
      </c>
      <c r="D1376" s="177" t="s">
        <v>116</v>
      </c>
      <c r="E1376" s="324">
        <v>1000</v>
      </c>
      <c r="F1376" s="311">
        <f t="shared" si="10"/>
        <v>1.7827155035636482</v>
      </c>
      <c r="G1376" s="312">
        <v>560.94200000000001</v>
      </c>
      <c r="H1376" s="177" t="s">
        <v>581</v>
      </c>
      <c r="I1376" s="177" t="s">
        <v>2467</v>
      </c>
      <c r="J1376" s="177" t="s">
        <v>96</v>
      </c>
      <c r="K1376" s="125" t="s">
        <v>1906</v>
      </c>
      <c r="L1376" s="177" t="s">
        <v>153</v>
      </c>
      <c r="M1376" s="125"/>
      <c r="N1376" s="125"/>
    </row>
    <row r="1377" spans="1:14" ht="15.6" hidden="1">
      <c r="A1377" s="359">
        <v>45870</v>
      </c>
      <c r="B1377" s="177" t="s">
        <v>2432</v>
      </c>
      <c r="C1377" s="177" t="s">
        <v>172</v>
      </c>
      <c r="D1377" s="177" t="s">
        <v>116</v>
      </c>
      <c r="E1377" s="324">
        <v>1000</v>
      </c>
      <c r="F1377" s="311">
        <f t="shared" si="10"/>
        <v>1.7827155035636482</v>
      </c>
      <c r="G1377" s="312">
        <v>560.94200000000001</v>
      </c>
      <c r="H1377" s="177" t="s">
        <v>581</v>
      </c>
      <c r="I1377" s="177" t="s">
        <v>2467</v>
      </c>
      <c r="J1377" s="177" t="s">
        <v>96</v>
      </c>
      <c r="K1377" s="125" t="s">
        <v>1906</v>
      </c>
      <c r="L1377" s="177" t="s">
        <v>153</v>
      </c>
      <c r="M1377" s="125"/>
      <c r="N1377" s="125"/>
    </row>
    <row r="1378" spans="1:14" ht="15.6" hidden="1">
      <c r="A1378" s="366">
        <v>45870</v>
      </c>
      <c r="B1378" s="320" t="s">
        <v>2758</v>
      </c>
      <c r="C1378" s="177" t="s">
        <v>124</v>
      </c>
      <c r="D1378" s="328" t="s">
        <v>116</v>
      </c>
      <c r="E1378" s="324">
        <v>500000</v>
      </c>
      <c r="F1378" s="311">
        <f t="shared" si="10"/>
        <v>891.35775178182416</v>
      </c>
      <c r="G1378" s="312">
        <v>560.94200000000001</v>
      </c>
      <c r="H1378" s="177" t="s">
        <v>146</v>
      </c>
      <c r="I1378" s="177" t="s">
        <v>2741</v>
      </c>
      <c r="J1378" s="177" t="s">
        <v>96</v>
      </c>
      <c r="K1378" s="125" t="s">
        <v>1906</v>
      </c>
      <c r="L1378" s="177" t="s">
        <v>153</v>
      </c>
      <c r="M1378" s="76"/>
      <c r="N1378" s="76"/>
    </row>
    <row r="1379" spans="1:14" ht="15.6" hidden="1">
      <c r="A1379" s="353">
        <v>45873</v>
      </c>
      <c r="B1379" s="377" t="s">
        <v>2103</v>
      </c>
      <c r="C1379" s="299" t="s">
        <v>172</v>
      </c>
      <c r="D1379" s="299" t="s">
        <v>117</v>
      </c>
      <c r="E1379" s="377">
        <v>1000</v>
      </c>
      <c r="F1379" s="311">
        <f t="shared" si="10"/>
        <v>1.7827155035636482</v>
      </c>
      <c r="G1379" s="312">
        <v>560.94200000000001</v>
      </c>
      <c r="H1379" s="384" t="s">
        <v>151</v>
      </c>
      <c r="I1379" s="385" t="s">
        <v>2428</v>
      </c>
      <c r="J1379" s="177" t="s">
        <v>96</v>
      </c>
      <c r="K1379" s="125" t="s">
        <v>1906</v>
      </c>
      <c r="L1379" s="177" t="s">
        <v>153</v>
      </c>
      <c r="M1379" s="125"/>
      <c r="N1379" s="125"/>
    </row>
    <row r="1380" spans="1:14" ht="15.6" hidden="1">
      <c r="A1380" s="353">
        <v>45873</v>
      </c>
      <c r="B1380" s="377" t="s">
        <v>2387</v>
      </c>
      <c r="C1380" s="299" t="s">
        <v>172</v>
      </c>
      <c r="D1380" s="299" t="s">
        <v>117</v>
      </c>
      <c r="E1380" s="377">
        <v>1000</v>
      </c>
      <c r="F1380" s="311">
        <f t="shared" si="10"/>
        <v>1.7827155035636482</v>
      </c>
      <c r="G1380" s="312">
        <v>560.94200000000001</v>
      </c>
      <c r="H1380" s="384" t="s">
        <v>151</v>
      </c>
      <c r="I1380" s="385" t="s">
        <v>2428</v>
      </c>
      <c r="J1380" s="177" t="s">
        <v>96</v>
      </c>
      <c r="K1380" s="125" t="s">
        <v>1906</v>
      </c>
      <c r="L1380" s="177" t="s">
        <v>153</v>
      </c>
      <c r="M1380" s="125"/>
      <c r="N1380" s="125"/>
    </row>
    <row r="1381" spans="1:14" ht="15.6" hidden="1">
      <c r="A1381" s="366">
        <v>45873</v>
      </c>
      <c r="B1381" s="320" t="s">
        <v>2722</v>
      </c>
      <c r="C1381" s="328" t="s">
        <v>125</v>
      </c>
      <c r="D1381" s="177" t="s">
        <v>440</v>
      </c>
      <c r="E1381" s="324">
        <v>159677</v>
      </c>
      <c r="F1381" s="311">
        <f t="shared" si="10"/>
        <v>284.65866346253267</v>
      </c>
      <c r="G1381" s="312">
        <v>560.94200000000001</v>
      </c>
      <c r="H1381" s="177" t="s">
        <v>146</v>
      </c>
      <c r="I1381" s="177" t="s">
        <v>2742</v>
      </c>
      <c r="J1381" s="177" t="s">
        <v>96</v>
      </c>
      <c r="K1381" s="125" t="s">
        <v>1906</v>
      </c>
      <c r="L1381" s="177" t="s">
        <v>153</v>
      </c>
      <c r="M1381" s="76"/>
      <c r="N1381" s="76"/>
    </row>
    <row r="1382" spans="1:14" ht="15.6" hidden="1">
      <c r="A1382" s="353">
        <v>45874</v>
      </c>
      <c r="B1382" s="377" t="s">
        <v>2103</v>
      </c>
      <c r="C1382" s="299" t="s">
        <v>172</v>
      </c>
      <c r="D1382" s="299" t="s">
        <v>117</v>
      </c>
      <c r="E1382" s="377">
        <v>1000</v>
      </c>
      <c r="F1382" s="311">
        <f t="shared" si="10"/>
        <v>1.7827155035636482</v>
      </c>
      <c r="G1382" s="312">
        <v>560.94200000000001</v>
      </c>
      <c r="H1382" s="384" t="s">
        <v>151</v>
      </c>
      <c r="I1382" s="385" t="s">
        <v>2428</v>
      </c>
      <c r="J1382" s="177" t="s">
        <v>96</v>
      </c>
      <c r="K1382" s="125" t="s">
        <v>1906</v>
      </c>
      <c r="L1382" s="177" t="s">
        <v>153</v>
      </c>
      <c r="M1382" s="125"/>
      <c r="N1382" s="125"/>
    </row>
    <row r="1383" spans="1:14" ht="15.6" hidden="1">
      <c r="A1383" s="353">
        <v>45874</v>
      </c>
      <c r="B1383" s="377" t="s">
        <v>2104</v>
      </c>
      <c r="C1383" s="299" t="s">
        <v>172</v>
      </c>
      <c r="D1383" s="299" t="s">
        <v>117</v>
      </c>
      <c r="E1383" s="377">
        <v>1000</v>
      </c>
      <c r="F1383" s="311">
        <f t="shared" si="10"/>
        <v>1.7827155035636482</v>
      </c>
      <c r="G1383" s="312">
        <v>560.94200000000001</v>
      </c>
      <c r="H1383" s="384" t="s">
        <v>151</v>
      </c>
      <c r="I1383" s="385" t="s">
        <v>2428</v>
      </c>
      <c r="J1383" s="177" t="s">
        <v>96</v>
      </c>
      <c r="K1383" s="125" t="s">
        <v>1906</v>
      </c>
      <c r="L1383" s="177" t="s">
        <v>153</v>
      </c>
      <c r="M1383" s="125"/>
      <c r="N1383" s="125"/>
    </row>
    <row r="1384" spans="1:14" ht="15.6" hidden="1">
      <c r="A1384" s="359">
        <v>45874</v>
      </c>
      <c r="B1384" s="177" t="s">
        <v>2433</v>
      </c>
      <c r="C1384" s="177" t="s">
        <v>172</v>
      </c>
      <c r="D1384" s="177" t="s">
        <v>116</v>
      </c>
      <c r="E1384" s="324">
        <v>1000</v>
      </c>
      <c r="F1384" s="311">
        <f t="shared" si="10"/>
        <v>1.7827155035636482</v>
      </c>
      <c r="G1384" s="312">
        <v>560.94200000000001</v>
      </c>
      <c r="H1384" s="177" t="s">
        <v>581</v>
      </c>
      <c r="I1384" s="177" t="s">
        <v>2467</v>
      </c>
      <c r="J1384" s="177" t="s">
        <v>96</v>
      </c>
      <c r="K1384" s="125" t="s">
        <v>1906</v>
      </c>
      <c r="L1384" s="177" t="s">
        <v>153</v>
      </c>
      <c r="M1384" s="125"/>
      <c r="N1384" s="125"/>
    </row>
    <row r="1385" spans="1:14" ht="15.6" hidden="1">
      <c r="A1385" s="359">
        <v>45874</v>
      </c>
      <c r="B1385" s="177" t="s">
        <v>2434</v>
      </c>
      <c r="C1385" s="177" t="s">
        <v>172</v>
      </c>
      <c r="D1385" s="177" t="s">
        <v>116</v>
      </c>
      <c r="E1385" s="324">
        <v>1000</v>
      </c>
      <c r="F1385" s="311">
        <f t="shared" si="10"/>
        <v>1.7827155035636482</v>
      </c>
      <c r="G1385" s="312">
        <v>560.94200000000001</v>
      </c>
      <c r="H1385" s="177" t="s">
        <v>581</v>
      </c>
      <c r="I1385" s="177" t="s">
        <v>2467</v>
      </c>
      <c r="J1385" s="177" t="s">
        <v>96</v>
      </c>
      <c r="K1385" s="125" t="s">
        <v>1906</v>
      </c>
      <c r="L1385" s="177" t="s">
        <v>153</v>
      </c>
      <c r="M1385" s="125"/>
      <c r="N1385" s="125"/>
    </row>
    <row r="1386" spans="1:14" ht="15.6" hidden="1">
      <c r="A1386" s="353">
        <v>45875</v>
      </c>
      <c r="B1386" s="377" t="s">
        <v>2103</v>
      </c>
      <c r="C1386" s="299" t="s">
        <v>172</v>
      </c>
      <c r="D1386" s="299" t="s">
        <v>117</v>
      </c>
      <c r="E1386" s="377">
        <v>1000</v>
      </c>
      <c r="F1386" s="311">
        <f t="shared" si="10"/>
        <v>1.7827155035636482</v>
      </c>
      <c r="G1386" s="312">
        <v>560.94200000000001</v>
      </c>
      <c r="H1386" s="384" t="s">
        <v>151</v>
      </c>
      <c r="I1386" s="385" t="s">
        <v>2428</v>
      </c>
      <c r="J1386" s="177" t="s">
        <v>96</v>
      </c>
      <c r="K1386" s="125" t="s">
        <v>1906</v>
      </c>
      <c r="L1386" s="177" t="s">
        <v>153</v>
      </c>
      <c r="M1386" s="143"/>
      <c r="N1386" s="143"/>
    </row>
    <row r="1387" spans="1:14" ht="15.6" hidden="1">
      <c r="A1387" s="353">
        <v>45875</v>
      </c>
      <c r="B1387" s="377" t="s">
        <v>2104</v>
      </c>
      <c r="C1387" s="299" t="s">
        <v>172</v>
      </c>
      <c r="D1387" s="299" t="s">
        <v>117</v>
      </c>
      <c r="E1387" s="377">
        <v>1000</v>
      </c>
      <c r="F1387" s="311">
        <f t="shared" si="10"/>
        <v>1.7827155035636482</v>
      </c>
      <c r="G1387" s="312">
        <v>560.94200000000001</v>
      </c>
      <c r="H1387" s="384" t="s">
        <v>151</v>
      </c>
      <c r="I1387" s="385" t="s">
        <v>2428</v>
      </c>
      <c r="J1387" s="177" t="s">
        <v>96</v>
      </c>
      <c r="K1387" s="125" t="s">
        <v>1906</v>
      </c>
      <c r="L1387" s="177" t="s">
        <v>153</v>
      </c>
      <c r="M1387" s="125"/>
      <c r="N1387" s="125"/>
    </row>
    <row r="1388" spans="1:14" ht="15.6" hidden="1">
      <c r="A1388" s="359">
        <v>45875</v>
      </c>
      <c r="B1388" s="177" t="s">
        <v>2433</v>
      </c>
      <c r="C1388" s="177" t="s">
        <v>172</v>
      </c>
      <c r="D1388" s="177" t="s">
        <v>116</v>
      </c>
      <c r="E1388" s="324">
        <v>1000</v>
      </c>
      <c r="F1388" s="311">
        <f t="shared" si="10"/>
        <v>1.7827155035636482</v>
      </c>
      <c r="G1388" s="312">
        <v>560.94200000000001</v>
      </c>
      <c r="H1388" s="177" t="s">
        <v>581</v>
      </c>
      <c r="I1388" s="177" t="s">
        <v>2467</v>
      </c>
      <c r="J1388" s="177" t="s">
        <v>96</v>
      </c>
      <c r="K1388" s="125" t="s">
        <v>1906</v>
      </c>
      <c r="L1388" s="177" t="s">
        <v>153</v>
      </c>
      <c r="M1388" s="125"/>
      <c r="N1388" s="125"/>
    </row>
    <row r="1389" spans="1:14" ht="15.6" hidden="1">
      <c r="A1389" s="359">
        <v>45875</v>
      </c>
      <c r="B1389" s="177" t="s">
        <v>2434</v>
      </c>
      <c r="C1389" s="177" t="s">
        <v>172</v>
      </c>
      <c r="D1389" s="177" t="s">
        <v>116</v>
      </c>
      <c r="E1389" s="324">
        <v>1000</v>
      </c>
      <c r="F1389" s="311">
        <f t="shared" si="10"/>
        <v>1.7827155035636482</v>
      </c>
      <c r="G1389" s="312">
        <v>560.94200000000001</v>
      </c>
      <c r="H1389" s="177" t="s">
        <v>581</v>
      </c>
      <c r="I1389" s="177" t="s">
        <v>2467</v>
      </c>
      <c r="J1389" s="177" t="s">
        <v>96</v>
      </c>
      <c r="K1389" s="125" t="s">
        <v>1906</v>
      </c>
      <c r="L1389" s="177" t="s">
        <v>153</v>
      </c>
      <c r="M1389" s="125"/>
      <c r="N1389" s="125"/>
    </row>
    <row r="1390" spans="1:14" ht="15.6" hidden="1">
      <c r="A1390" s="353">
        <v>45876</v>
      </c>
      <c r="B1390" s="377" t="s">
        <v>2106</v>
      </c>
      <c r="C1390" s="299" t="s">
        <v>172</v>
      </c>
      <c r="D1390" s="299" t="s">
        <v>117</v>
      </c>
      <c r="E1390" s="377">
        <v>1000</v>
      </c>
      <c r="F1390" s="311">
        <f t="shared" si="10"/>
        <v>1.7827155035636482</v>
      </c>
      <c r="G1390" s="312">
        <v>560.94200000000001</v>
      </c>
      <c r="H1390" s="384" t="s">
        <v>151</v>
      </c>
      <c r="I1390" s="385" t="s">
        <v>2428</v>
      </c>
      <c r="J1390" s="177" t="s">
        <v>96</v>
      </c>
      <c r="K1390" s="125" t="s">
        <v>1906</v>
      </c>
      <c r="L1390" s="177" t="s">
        <v>153</v>
      </c>
      <c r="M1390" s="125"/>
      <c r="N1390" s="125"/>
    </row>
    <row r="1391" spans="1:14" ht="15.6" hidden="1">
      <c r="A1391" s="353">
        <v>45876</v>
      </c>
      <c r="B1391" s="377" t="s">
        <v>2104</v>
      </c>
      <c r="C1391" s="299" t="s">
        <v>172</v>
      </c>
      <c r="D1391" s="299" t="s">
        <v>117</v>
      </c>
      <c r="E1391" s="377">
        <v>1000</v>
      </c>
      <c r="F1391" s="311">
        <f t="shared" si="10"/>
        <v>1.7827155035636482</v>
      </c>
      <c r="G1391" s="312">
        <v>560.94200000000001</v>
      </c>
      <c r="H1391" s="384" t="s">
        <v>151</v>
      </c>
      <c r="I1391" s="385" t="s">
        <v>2428</v>
      </c>
      <c r="J1391" s="177" t="s">
        <v>96</v>
      </c>
      <c r="K1391" s="125" t="s">
        <v>1906</v>
      </c>
      <c r="L1391" s="177" t="s">
        <v>153</v>
      </c>
      <c r="M1391" s="125"/>
      <c r="N1391" s="125"/>
    </row>
    <row r="1392" spans="1:14" ht="15.6" hidden="1">
      <c r="A1392" s="353">
        <v>45876</v>
      </c>
      <c r="B1392" s="377" t="s">
        <v>2388</v>
      </c>
      <c r="C1392" s="299" t="s">
        <v>125</v>
      </c>
      <c r="D1392" s="299" t="s">
        <v>117</v>
      </c>
      <c r="E1392" s="377">
        <v>174625</v>
      </c>
      <c r="F1392" s="311">
        <f t="shared" si="10"/>
        <v>311.30669480980208</v>
      </c>
      <c r="G1392" s="312">
        <v>560.94200000000001</v>
      </c>
      <c r="H1392" s="384" t="s">
        <v>151</v>
      </c>
      <c r="I1392" s="385" t="s">
        <v>2429</v>
      </c>
      <c r="J1392" s="177" t="s">
        <v>96</v>
      </c>
      <c r="K1392" s="125" t="s">
        <v>1906</v>
      </c>
      <c r="L1392" s="177" t="s">
        <v>153</v>
      </c>
      <c r="M1392" s="125"/>
      <c r="N1392" s="125"/>
    </row>
    <row r="1393" spans="1:14" ht="15.6" hidden="1">
      <c r="A1393" s="359">
        <v>45876</v>
      </c>
      <c r="B1393" s="177" t="s">
        <v>2435</v>
      </c>
      <c r="C1393" s="177" t="s">
        <v>172</v>
      </c>
      <c r="D1393" s="177" t="s">
        <v>116</v>
      </c>
      <c r="E1393" s="324">
        <v>1000</v>
      </c>
      <c r="F1393" s="311">
        <f t="shared" si="10"/>
        <v>1.7827155035636482</v>
      </c>
      <c r="G1393" s="312">
        <v>560.94200000000001</v>
      </c>
      <c r="H1393" s="177" t="s">
        <v>581</v>
      </c>
      <c r="I1393" s="177" t="s">
        <v>2467</v>
      </c>
      <c r="J1393" s="177" t="s">
        <v>96</v>
      </c>
      <c r="K1393" s="125" t="s">
        <v>1906</v>
      </c>
      <c r="L1393" s="177" t="s">
        <v>153</v>
      </c>
      <c r="M1393" s="125"/>
      <c r="N1393" s="125"/>
    </row>
    <row r="1394" spans="1:14" ht="15.6" hidden="1">
      <c r="A1394" s="359">
        <v>45876</v>
      </c>
      <c r="B1394" s="177" t="s">
        <v>2436</v>
      </c>
      <c r="C1394" s="177" t="s">
        <v>172</v>
      </c>
      <c r="D1394" s="177" t="s">
        <v>116</v>
      </c>
      <c r="E1394" s="324">
        <v>1000</v>
      </c>
      <c r="F1394" s="311">
        <f t="shared" si="10"/>
        <v>1.7827155035636482</v>
      </c>
      <c r="G1394" s="312">
        <v>560.94200000000001</v>
      </c>
      <c r="H1394" s="177" t="s">
        <v>581</v>
      </c>
      <c r="I1394" s="177" t="s">
        <v>2467</v>
      </c>
      <c r="J1394" s="177" t="s">
        <v>96</v>
      </c>
      <c r="K1394" s="125" t="s">
        <v>1906</v>
      </c>
      <c r="L1394" s="177" t="s">
        <v>153</v>
      </c>
      <c r="M1394" s="125"/>
      <c r="N1394" s="125"/>
    </row>
    <row r="1395" spans="1:14" ht="15.6" hidden="1">
      <c r="A1395" s="359">
        <v>45876</v>
      </c>
      <c r="B1395" s="177" t="s">
        <v>2437</v>
      </c>
      <c r="C1395" s="177" t="s">
        <v>172</v>
      </c>
      <c r="D1395" s="177" t="s">
        <v>116</v>
      </c>
      <c r="E1395" s="324">
        <v>1000</v>
      </c>
      <c r="F1395" s="311">
        <f t="shared" si="10"/>
        <v>1.7827155035636482</v>
      </c>
      <c r="G1395" s="312">
        <v>560.94200000000001</v>
      </c>
      <c r="H1395" s="177" t="s">
        <v>581</v>
      </c>
      <c r="I1395" s="177" t="s">
        <v>2467</v>
      </c>
      <c r="J1395" s="177" t="s">
        <v>96</v>
      </c>
      <c r="K1395" s="125" t="s">
        <v>1906</v>
      </c>
      <c r="L1395" s="177" t="s">
        <v>153</v>
      </c>
      <c r="M1395" s="125"/>
      <c r="N1395" s="125"/>
    </row>
    <row r="1396" spans="1:14" ht="15.6" hidden="1">
      <c r="A1396" s="359">
        <v>45876</v>
      </c>
      <c r="B1396" s="177" t="s">
        <v>2438</v>
      </c>
      <c r="C1396" s="177" t="s">
        <v>172</v>
      </c>
      <c r="D1396" s="177" t="s">
        <v>116</v>
      </c>
      <c r="E1396" s="324">
        <v>1000</v>
      </c>
      <c r="F1396" s="311">
        <f t="shared" si="10"/>
        <v>1.7827155035636482</v>
      </c>
      <c r="G1396" s="312">
        <v>560.94200000000001</v>
      </c>
      <c r="H1396" s="177" t="s">
        <v>581</v>
      </c>
      <c r="I1396" s="177" t="s">
        <v>2467</v>
      </c>
      <c r="J1396" s="177" t="s">
        <v>96</v>
      </c>
      <c r="K1396" s="125" t="s">
        <v>1906</v>
      </c>
      <c r="L1396" s="177" t="s">
        <v>153</v>
      </c>
      <c r="M1396" s="317"/>
      <c r="N1396" s="317"/>
    </row>
    <row r="1397" spans="1:14" ht="15.6" hidden="1">
      <c r="A1397" s="341">
        <v>45876</v>
      </c>
      <c r="B1397" s="172" t="s">
        <v>2471</v>
      </c>
      <c r="C1397" s="172" t="s">
        <v>150</v>
      </c>
      <c r="D1397" s="177" t="s">
        <v>440</v>
      </c>
      <c r="E1397" s="172">
        <v>5000</v>
      </c>
      <c r="F1397" s="311">
        <f t="shared" si="10"/>
        <v>8.9135775178182417</v>
      </c>
      <c r="G1397" s="312">
        <v>560.94200000000001</v>
      </c>
      <c r="H1397" s="172" t="s">
        <v>182</v>
      </c>
      <c r="I1397" s="172" t="s">
        <v>2476</v>
      </c>
      <c r="J1397" s="177" t="s">
        <v>96</v>
      </c>
      <c r="K1397" s="125" t="s">
        <v>1906</v>
      </c>
      <c r="L1397" s="177" t="s">
        <v>153</v>
      </c>
      <c r="M1397" s="125"/>
      <c r="N1397" s="125"/>
    </row>
    <row r="1398" spans="1:14" ht="15.6" hidden="1">
      <c r="A1398" s="360">
        <v>45876</v>
      </c>
      <c r="B1398" s="172" t="s">
        <v>2492</v>
      </c>
      <c r="C1398" s="172" t="s">
        <v>150</v>
      </c>
      <c r="D1398" s="177" t="s">
        <v>440</v>
      </c>
      <c r="E1398" s="177">
        <v>5000</v>
      </c>
      <c r="F1398" s="311">
        <f t="shared" si="10"/>
        <v>8.9135775178182417</v>
      </c>
      <c r="G1398" s="312">
        <v>560.94200000000001</v>
      </c>
      <c r="H1398" s="177" t="s">
        <v>173</v>
      </c>
      <c r="I1398" s="177" t="s">
        <v>2495</v>
      </c>
      <c r="J1398" s="177" t="s">
        <v>96</v>
      </c>
      <c r="K1398" s="125" t="s">
        <v>1906</v>
      </c>
      <c r="L1398" s="177" t="s">
        <v>153</v>
      </c>
      <c r="M1398" s="76"/>
      <c r="N1398" s="76"/>
    </row>
    <row r="1399" spans="1:14" ht="15.6" hidden="1">
      <c r="A1399" s="357">
        <v>45876</v>
      </c>
      <c r="B1399" s="177" t="s">
        <v>2510</v>
      </c>
      <c r="C1399" s="177" t="s">
        <v>150</v>
      </c>
      <c r="D1399" s="177" t="s">
        <v>440</v>
      </c>
      <c r="E1399" s="177">
        <v>5000</v>
      </c>
      <c r="F1399" s="311">
        <f t="shared" si="10"/>
        <v>8.9135775178182417</v>
      </c>
      <c r="G1399" s="312">
        <v>560.94200000000001</v>
      </c>
      <c r="H1399" s="177" t="s">
        <v>315</v>
      </c>
      <c r="I1399" s="177" t="s">
        <v>2514</v>
      </c>
      <c r="J1399" s="177" t="s">
        <v>96</v>
      </c>
      <c r="K1399" s="125" t="s">
        <v>1906</v>
      </c>
      <c r="L1399" s="177" t="s">
        <v>153</v>
      </c>
      <c r="M1399" s="76"/>
      <c r="N1399" s="76"/>
    </row>
    <row r="1400" spans="1:14" ht="15.6" hidden="1">
      <c r="A1400" s="357">
        <v>45876</v>
      </c>
      <c r="B1400" s="177" t="s">
        <v>2527</v>
      </c>
      <c r="C1400" s="177" t="s">
        <v>150</v>
      </c>
      <c r="D1400" s="177" t="s">
        <v>440</v>
      </c>
      <c r="E1400" s="351">
        <v>5000</v>
      </c>
      <c r="F1400" s="311">
        <f t="shared" si="10"/>
        <v>8.9135775178182417</v>
      </c>
      <c r="G1400" s="312">
        <v>560.94200000000001</v>
      </c>
      <c r="H1400" s="177" t="s">
        <v>321</v>
      </c>
      <c r="I1400" s="177" t="s">
        <v>2531</v>
      </c>
      <c r="J1400" s="177" t="s">
        <v>96</v>
      </c>
      <c r="K1400" s="125" t="s">
        <v>1906</v>
      </c>
      <c r="L1400" s="177" t="s">
        <v>153</v>
      </c>
      <c r="M1400" s="76"/>
      <c r="N1400" s="76"/>
    </row>
    <row r="1401" spans="1:14" ht="15.6" hidden="1">
      <c r="A1401" s="366">
        <v>45876</v>
      </c>
      <c r="B1401" s="177" t="s">
        <v>2723</v>
      </c>
      <c r="C1401" s="177" t="s">
        <v>302</v>
      </c>
      <c r="D1401" s="328" t="s">
        <v>116</v>
      </c>
      <c r="E1401" s="324">
        <v>260000</v>
      </c>
      <c r="F1401" s="311">
        <f t="shared" si="10"/>
        <v>463.50603092654853</v>
      </c>
      <c r="G1401" s="312">
        <v>560.94200000000001</v>
      </c>
      <c r="H1401" s="177" t="s">
        <v>146</v>
      </c>
      <c r="I1401" s="177" t="s">
        <v>2743</v>
      </c>
      <c r="J1401" s="177" t="s">
        <v>96</v>
      </c>
      <c r="K1401" s="125" t="s">
        <v>1906</v>
      </c>
      <c r="L1401" s="177" t="s">
        <v>153</v>
      </c>
      <c r="M1401" s="76"/>
      <c r="N1401" s="76"/>
    </row>
    <row r="1402" spans="1:14" ht="15.6" hidden="1">
      <c r="A1402" s="353">
        <v>45877</v>
      </c>
      <c r="B1402" s="377" t="s">
        <v>2103</v>
      </c>
      <c r="C1402" s="299" t="s">
        <v>172</v>
      </c>
      <c r="D1402" s="299" t="s">
        <v>117</v>
      </c>
      <c r="E1402" s="377">
        <v>1000</v>
      </c>
      <c r="F1402" s="311">
        <f t="shared" si="10"/>
        <v>1.7827155035636482</v>
      </c>
      <c r="G1402" s="312">
        <v>560.94200000000001</v>
      </c>
      <c r="H1402" s="384" t="s">
        <v>151</v>
      </c>
      <c r="I1402" s="385" t="s">
        <v>2428</v>
      </c>
      <c r="J1402" s="177" t="s">
        <v>96</v>
      </c>
      <c r="K1402" s="125" t="s">
        <v>1906</v>
      </c>
      <c r="L1402" s="177" t="s">
        <v>153</v>
      </c>
      <c r="M1402" s="125"/>
      <c r="N1402" s="125"/>
    </row>
    <row r="1403" spans="1:14" ht="15.6" hidden="1">
      <c r="A1403" s="353">
        <v>45877</v>
      </c>
      <c r="B1403" s="377" t="s">
        <v>2104</v>
      </c>
      <c r="C1403" s="299" t="s">
        <v>172</v>
      </c>
      <c r="D1403" s="299" t="s">
        <v>117</v>
      </c>
      <c r="E1403" s="377">
        <v>1000</v>
      </c>
      <c r="F1403" s="311">
        <f t="shared" si="10"/>
        <v>1.7827155035636482</v>
      </c>
      <c r="G1403" s="312">
        <v>560.94200000000001</v>
      </c>
      <c r="H1403" s="384" t="s">
        <v>151</v>
      </c>
      <c r="I1403" s="385" t="s">
        <v>2428</v>
      </c>
      <c r="J1403" s="177" t="s">
        <v>96</v>
      </c>
      <c r="K1403" s="125" t="s">
        <v>1906</v>
      </c>
      <c r="L1403" s="177" t="s">
        <v>153</v>
      </c>
      <c r="M1403" s="125"/>
      <c r="N1403" s="125"/>
    </row>
    <row r="1404" spans="1:14" ht="15.6" hidden="1">
      <c r="A1404" s="359">
        <v>45877</v>
      </c>
      <c r="B1404" s="177" t="s">
        <v>2433</v>
      </c>
      <c r="C1404" s="177" t="s">
        <v>172</v>
      </c>
      <c r="D1404" s="177" t="s">
        <v>116</v>
      </c>
      <c r="E1404" s="324">
        <v>1000</v>
      </c>
      <c r="F1404" s="311">
        <f t="shared" si="10"/>
        <v>1.7827155035636482</v>
      </c>
      <c r="G1404" s="312">
        <v>560.94200000000001</v>
      </c>
      <c r="H1404" s="177" t="s">
        <v>581</v>
      </c>
      <c r="I1404" s="177" t="s">
        <v>2467</v>
      </c>
      <c r="J1404" s="177" t="s">
        <v>96</v>
      </c>
      <c r="K1404" s="125" t="s">
        <v>1906</v>
      </c>
      <c r="L1404" s="177" t="s">
        <v>153</v>
      </c>
      <c r="M1404" s="125"/>
      <c r="N1404" s="125"/>
    </row>
    <row r="1405" spans="1:14" ht="15.6" hidden="1">
      <c r="A1405" s="359">
        <v>45877</v>
      </c>
      <c r="B1405" s="177" t="s">
        <v>2434</v>
      </c>
      <c r="C1405" s="177" t="s">
        <v>172</v>
      </c>
      <c r="D1405" s="177" t="s">
        <v>116</v>
      </c>
      <c r="E1405" s="324">
        <v>1500</v>
      </c>
      <c r="F1405" s="311">
        <f t="shared" si="10"/>
        <v>2.6740732553454722</v>
      </c>
      <c r="G1405" s="312">
        <v>560.94200000000001</v>
      </c>
      <c r="H1405" s="177" t="s">
        <v>581</v>
      </c>
      <c r="I1405" s="177" t="s">
        <v>2467</v>
      </c>
      <c r="J1405" s="177" t="s">
        <v>96</v>
      </c>
      <c r="K1405" s="125" t="s">
        <v>1906</v>
      </c>
      <c r="L1405" s="177" t="s">
        <v>153</v>
      </c>
      <c r="M1405" s="125"/>
      <c r="N1405" s="125"/>
    </row>
    <row r="1406" spans="1:14" ht="15.6" hidden="1">
      <c r="A1406" s="353">
        <v>45880</v>
      </c>
      <c r="B1406" s="377" t="s">
        <v>2103</v>
      </c>
      <c r="C1406" s="299" t="s">
        <v>172</v>
      </c>
      <c r="D1406" s="299" t="s">
        <v>117</v>
      </c>
      <c r="E1406" s="377">
        <v>1000</v>
      </c>
      <c r="F1406" s="311">
        <f t="shared" ref="F1406:F1437" si="11">E1406/G1406</f>
        <v>1.7827155035636482</v>
      </c>
      <c r="G1406" s="312">
        <v>560.94200000000001</v>
      </c>
      <c r="H1406" s="384" t="s">
        <v>151</v>
      </c>
      <c r="I1406" s="385" t="s">
        <v>2428</v>
      </c>
      <c r="J1406" s="177" t="s">
        <v>96</v>
      </c>
      <c r="K1406" s="125" t="s">
        <v>1906</v>
      </c>
      <c r="L1406" s="177" t="s">
        <v>153</v>
      </c>
      <c r="M1406" s="125"/>
      <c r="N1406" s="125"/>
    </row>
    <row r="1407" spans="1:14" ht="15.6" hidden="1">
      <c r="A1407" s="353">
        <v>45880</v>
      </c>
      <c r="B1407" s="377" t="s">
        <v>2104</v>
      </c>
      <c r="C1407" s="299" t="s">
        <v>172</v>
      </c>
      <c r="D1407" s="299" t="s">
        <v>117</v>
      </c>
      <c r="E1407" s="377">
        <v>1000</v>
      </c>
      <c r="F1407" s="311">
        <f t="shared" si="11"/>
        <v>1.7827155035636482</v>
      </c>
      <c r="G1407" s="312">
        <v>560.94200000000001</v>
      </c>
      <c r="H1407" s="384" t="s">
        <v>151</v>
      </c>
      <c r="I1407" s="385" t="s">
        <v>2428</v>
      </c>
      <c r="J1407" s="177" t="s">
        <v>96</v>
      </c>
      <c r="K1407" s="125" t="s">
        <v>1906</v>
      </c>
      <c r="L1407" s="177" t="s">
        <v>153</v>
      </c>
      <c r="M1407" s="125"/>
      <c r="N1407" s="125"/>
    </row>
    <row r="1408" spans="1:14" ht="15.6" hidden="1">
      <c r="A1408" s="359">
        <v>45880</v>
      </c>
      <c r="B1408" s="177" t="s">
        <v>2433</v>
      </c>
      <c r="C1408" s="177" t="s">
        <v>172</v>
      </c>
      <c r="D1408" s="177" t="s">
        <v>116</v>
      </c>
      <c r="E1408" s="324">
        <v>1500</v>
      </c>
      <c r="F1408" s="311">
        <f t="shared" si="11"/>
        <v>2.6740732553454722</v>
      </c>
      <c r="G1408" s="312">
        <v>560.94200000000001</v>
      </c>
      <c r="H1408" s="177" t="s">
        <v>581</v>
      </c>
      <c r="I1408" s="177" t="s">
        <v>2467</v>
      </c>
      <c r="J1408" s="177" t="s">
        <v>96</v>
      </c>
      <c r="K1408" s="125" t="s">
        <v>1906</v>
      </c>
      <c r="L1408" s="177" t="s">
        <v>153</v>
      </c>
      <c r="M1408" s="125"/>
      <c r="N1408" s="125"/>
    </row>
    <row r="1409" spans="1:14" ht="15.6" hidden="1">
      <c r="A1409" s="359">
        <v>45880</v>
      </c>
      <c r="B1409" s="177" t="s">
        <v>2434</v>
      </c>
      <c r="C1409" s="177" t="s">
        <v>172</v>
      </c>
      <c r="D1409" s="177" t="s">
        <v>116</v>
      </c>
      <c r="E1409" s="324">
        <v>2000</v>
      </c>
      <c r="F1409" s="311">
        <f t="shared" si="11"/>
        <v>3.5654310071272963</v>
      </c>
      <c r="G1409" s="312">
        <v>560.94200000000001</v>
      </c>
      <c r="H1409" s="177" t="s">
        <v>581</v>
      </c>
      <c r="I1409" s="177" t="s">
        <v>2467</v>
      </c>
      <c r="J1409" s="177" t="s">
        <v>96</v>
      </c>
      <c r="K1409" s="125" t="s">
        <v>1906</v>
      </c>
      <c r="L1409" s="177" t="s">
        <v>153</v>
      </c>
      <c r="M1409" s="125"/>
      <c r="N1409" s="125"/>
    </row>
    <row r="1410" spans="1:14" ht="15.6" hidden="1">
      <c r="A1410" s="237">
        <v>45880</v>
      </c>
      <c r="B1410" s="172" t="s">
        <v>4845</v>
      </c>
      <c r="C1410" s="172" t="s">
        <v>172</v>
      </c>
      <c r="D1410" s="177" t="s">
        <v>440</v>
      </c>
      <c r="E1410" s="172">
        <v>1000</v>
      </c>
      <c r="F1410" s="311">
        <f t="shared" si="11"/>
        <v>1.7827155035636482</v>
      </c>
      <c r="G1410" s="312">
        <v>560.94200000000001</v>
      </c>
      <c r="H1410" s="172" t="s">
        <v>182</v>
      </c>
      <c r="I1410" s="172" t="s">
        <v>2477</v>
      </c>
      <c r="J1410" s="177" t="s">
        <v>96</v>
      </c>
      <c r="K1410" s="125" t="s">
        <v>1906</v>
      </c>
      <c r="L1410" s="177" t="s">
        <v>153</v>
      </c>
      <c r="M1410" s="125"/>
      <c r="N1410" s="125"/>
    </row>
    <row r="1411" spans="1:14" ht="15.6" hidden="1">
      <c r="A1411" s="237">
        <v>45880</v>
      </c>
      <c r="B1411" s="172" t="s">
        <v>4846</v>
      </c>
      <c r="C1411" s="172" t="s">
        <v>172</v>
      </c>
      <c r="D1411" s="177" t="s">
        <v>440</v>
      </c>
      <c r="E1411" s="172">
        <v>1000</v>
      </c>
      <c r="F1411" s="311">
        <f t="shared" si="11"/>
        <v>1.7827155035636482</v>
      </c>
      <c r="G1411" s="312">
        <v>560.94200000000001</v>
      </c>
      <c r="H1411" s="172" t="s">
        <v>182</v>
      </c>
      <c r="I1411" s="172" t="s">
        <v>2477</v>
      </c>
      <c r="J1411" s="177" t="s">
        <v>96</v>
      </c>
      <c r="K1411" s="125" t="s">
        <v>1906</v>
      </c>
      <c r="L1411" s="177" t="s">
        <v>153</v>
      </c>
      <c r="M1411" s="125"/>
      <c r="N1411" s="125"/>
    </row>
    <row r="1412" spans="1:14" ht="15.6" hidden="1">
      <c r="A1412" s="237">
        <v>45880</v>
      </c>
      <c r="B1412" s="172" t="s">
        <v>4847</v>
      </c>
      <c r="C1412" s="172" t="s">
        <v>172</v>
      </c>
      <c r="D1412" s="177" t="s">
        <v>440</v>
      </c>
      <c r="E1412" s="172">
        <v>1000</v>
      </c>
      <c r="F1412" s="311">
        <f t="shared" si="11"/>
        <v>1.7827155035636482</v>
      </c>
      <c r="G1412" s="312">
        <v>560.94200000000001</v>
      </c>
      <c r="H1412" s="172" t="s">
        <v>182</v>
      </c>
      <c r="I1412" s="172" t="s">
        <v>2477</v>
      </c>
      <c r="J1412" s="177" t="s">
        <v>96</v>
      </c>
      <c r="K1412" s="125" t="s">
        <v>1906</v>
      </c>
      <c r="L1412" s="177" t="s">
        <v>153</v>
      </c>
      <c r="M1412" s="125"/>
      <c r="N1412" s="125"/>
    </row>
    <row r="1413" spans="1:14" ht="15.6" hidden="1">
      <c r="A1413" s="237">
        <v>45880</v>
      </c>
      <c r="B1413" s="172" t="s">
        <v>2469</v>
      </c>
      <c r="C1413" s="172" t="s">
        <v>172</v>
      </c>
      <c r="D1413" s="177" t="s">
        <v>440</v>
      </c>
      <c r="E1413" s="172">
        <v>1500</v>
      </c>
      <c r="F1413" s="311">
        <f t="shared" si="11"/>
        <v>2.6740732553454722</v>
      </c>
      <c r="G1413" s="312">
        <v>560.94200000000001</v>
      </c>
      <c r="H1413" s="172" t="s">
        <v>182</v>
      </c>
      <c r="I1413" s="172" t="s">
        <v>2477</v>
      </c>
      <c r="J1413" s="177" t="s">
        <v>96</v>
      </c>
      <c r="K1413" s="125" t="s">
        <v>1906</v>
      </c>
      <c r="L1413" s="177" t="s">
        <v>153</v>
      </c>
      <c r="M1413" s="125"/>
      <c r="N1413" s="125"/>
    </row>
    <row r="1414" spans="1:14" ht="15.6" hidden="1">
      <c r="A1414" s="237">
        <v>45880</v>
      </c>
      <c r="B1414" s="172" t="s">
        <v>2473</v>
      </c>
      <c r="C1414" s="172" t="s">
        <v>366</v>
      </c>
      <c r="D1414" s="177" t="s">
        <v>440</v>
      </c>
      <c r="E1414" s="172">
        <v>1000</v>
      </c>
      <c r="F1414" s="311">
        <f t="shared" si="11"/>
        <v>1.7827155035636482</v>
      </c>
      <c r="G1414" s="312">
        <v>560.94200000000001</v>
      </c>
      <c r="H1414" s="172" t="s">
        <v>182</v>
      </c>
      <c r="I1414" s="172" t="s">
        <v>2478</v>
      </c>
      <c r="J1414" s="177" t="s">
        <v>96</v>
      </c>
      <c r="K1414" s="125" t="s">
        <v>1906</v>
      </c>
      <c r="L1414" s="177" t="s">
        <v>153</v>
      </c>
      <c r="M1414" s="125"/>
      <c r="N1414" s="125"/>
    </row>
    <row r="1415" spans="1:14" ht="15.6" hidden="1">
      <c r="A1415" s="360">
        <v>45880</v>
      </c>
      <c r="B1415" s="177" t="s">
        <v>2509</v>
      </c>
      <c r="C1415" s="177" t="s">
        <v>172</v>
      </c>
      <c r="D1415" s="177" t="s">
        <v>440</v>
      </c>
      <c r="E1415" s="177">
        <v>1000</v>
      </c>
      <c r="F1415" s="311">
        <f t="shared" si="11"/>
        <v>1.7827155035636482</v>
      </c>
      <c r="G1415" s="312">
        <v>560.94200000000001</v>
      </c>
      <c r="H1415" s="177" t="s">
        <v>173</v>
      </c>
      <c r="I1415" s="177" t="s">
        <v>2496</v>
      </c>
      <c r="J1415" s="177" t="s">
        <v>96</v>
      </c>
      <c r="K1415" s="125" t="s">
        <v>1906</v>
      </c>
      <c r="L1415" s="177" t="s">
        <v>153</v>
      </c>
      <c r="M1415" s="76"/>
      <c r="N1415" s="76"/>
    </row>
    <row r="1416" spans="1:14" ht="15.6" hidden="1">
      <c r="A1416" s="360">
        <v>45880</v>
      </c>
      <c r="B1416" s="177" t="s">
        <v>4848</v>
      </c>
      <c r="C1416" s="177" t="s">
        <v>172</v>
      </c>
      <c r="D1416" s="177" t="s">
        <v>440</v>
      </c>
      <c r="E1416" s="177">
        <v>1000</v>
      </c>
      <c r="F1416" s="311">
        <f t="shared" si="11"/>
        <v>1.7827155035636482</v>
      </c>
      <c r="G1416" s="312">
        <v>560.94200000000001</v>
      </c>
      <c r="H1416" s="177" t="s">
        <v>173</v>
      </c>
      <c r="I1416" s="177" t="s">
        <v>2496</v>
      </c>
      <c r="J1416" s="177" t="s">
        <v>96</v>
      </c>
      <c r="K1416" s="125" t="s">
        <v>1906</v>
      </c>
      <c r="L1416" s="177" t="s">
        <v>153</v>
      </c>
      <c r="M1416" s="76"/>
      <c r="N1416" s="76"/>
    </row>
    <row r="1417" spans="1:14" ht="15.6" hidden="1">
      <c r="A1417" s="360">
        <v>45880</v>
      </c>
      <c r="B1417" s="177" t="s">
        <v>4849</v>
      </c>
      <c r="C1417" s="177" t="s">
        <v>172</v>
      </c>
      <c r="D1417" s="177" t="s">
        <v>440</v>
      </c>
      <c r="E1417" s="177">
        <v>1000</v>
      </c>
      <c r="F1417" s="311">
        <f t="shared" si="11"/>
        <v>1.7827155035636482</v>
      </c>
      <c r="G1417" s="312">
        <v>560.94200000000001</v>
      </c>
      <c r="H1417" s="177" t="s">
        <v>173</v>
      </c>
      <c r="I1417" s="177" t="s">
        <v>2496</v>
      </c>
      <c r="J1417" s="177" t="s">
        <v>96</v>
      </c>
      <c r="K1417" s="125" t="s">
        <v>1906</v>
      </c>
      <c r="L1417" s="177" t="s">
        <v>153</v>
      </c>
      <c r="M1417" s="76"/>
      <c r="N1417" s="76"/>
    </row>
    <row r="1418" spans="1:14" ht="15.6" hidden="1">
      <c r="A1418" s="357">
        <v>45880</v>
      </c>
      <c r="B1418" s="177" t="s">
        <v>4850</v>
      </c>
      <c r="C1418" s="177" t="s">
        <v>172</v>
      </c>
      <c r="D1418" s="177" t="s">
        <v>440</v>
      </c>
      <c r="E1418" s="177">
        <v>1000</v>
      </c>
      <c r="F1418" s="311">
        <f t="shared" si="11"/>
        <v>1.7827155035636482</v>
      </c>
      <c r="G1418" s="312">
        <v>560.94200000000001</v>
      </c>
      <c r="H1418" s="177" t="s">
        <v>315</v>
      </c>
      <c r="I1418" s="177" t="s">
        <v>2515</v>
      </c>
      <c r="J1418" s="177" t="s">
        <v>96</v>
      </c>
      <c r="K1418" s="125" t="s">
        <v>1906</v>
      </c>
      <c r="L1418" s="177" t="s">
        <v>153</v>
      </c>
      <c r="M1418" s="76"/>
      <c r="N1418" s="76"/>
    </row>
    <row r="1419" spans="1:14" ht="15.6" hidden="1">
      <c r="A1419" s="357">
        <v>45880</v>
      </c>
      <c r="B1419" s="177" t="s">
        <v>4851</v>
      </c>
      <c r="C1419" s="177" t="s">
        <v>172</v>
      </c>
      <c r="D1419" s="177" t="s">
        <v>440</v>
      </c>
      <c r="E1419" s="177">
        <v>2000</v>
      </c>
      <c r="F1419" s="311">
        <f t="shared" si="11"/>
        <v>3.5654310071272963</v>
      </c>
      <c r="G1419" s="312">
        <v>560.94200000000001</v>
      </c>
      <c r="H1419" s="177" t="s">
        <v>315</v>
      </c>
      <c r="I1419" s="177" t="s">
        <v>2515</v>
      </c>
      <c r="J1419" s="177" t="s">
        <v>96</v>
      </c>
      <c r="K1419" s="125" t="s">
        <v>1906</v>
      </c>
      <c r="L1419" s="177" t="s">
        <v>153</v>
      </c>
      <c r="M1419" s="76"/>
      <c r="N1419" s="76"/>
    </row>
    <row r="1420" spans="1:14" ht="15.6" hidden="1">
      <c r="A1420" s="357">
        <v>45880</v>
      </c>
      <c r="B1420" s="177" t="s">
        <v>4852</v>
      </c>
      <c r="C1420" s="177" t="s">
        <v>172</v>
      </c>
      <c r="D1420" s="177" t="s">
        <v>440</v>
      </c>
      <c r="E1420" s="177">
        <v>2500</v>
      </c>
      <c r="F1420" s="311">
        <f t="shared" si="11"/>
        <v>4.4567887589091209</v>
      </c>
      <c r="G1420" s="312">
        <v>560.94200000000001</v>
      </c>
      <c r="H1420" s="177" t="s">
        <v>315</v>
      </c>
      <c r="I1420" s="177" t="s">
        <v>2515</v>
      </c>
      <c r="J1420" s="177" t="s">
        <v>96</v>
      </c>
      <c r="K1420" s="125" t="s">
        <v>1906</v>
      </c>
      <c r="L1420" s="177" t="s">
        <v>153</v>
      </c>
      <c r="M1420" s="76"/>
      <c r="N1420" s="76"/>
    </row>
    <row r="1421" spans="1:14" ht="15.6" hidden="1">
      <c r="A1421" s="357">
        <v>45880</v>
      </c>
      <c r="B1421" s="177" t="s">
        <v>4853</v>
      </c>
      <c r="C1421" s="177" t="s">
        <v>172</v>
      </c>
      <c r="D1421" s="177" t="s">
        <v>440</v>
      </c>
      <c r="E1421" s="351">
        <v>1000</v>
      </c>
      <c r="F1421" s="311">
        <f t="shared" si="11"/>
        <v>1.7827155035636482</v>
      </c>
      <c r="G1421" s="312">
        <v>560.94200000000001</v>
      </c>
      <c r="H1421" s="177" t="s">
        <v>321</v>
      </c>
      <c r="I1421" s="177" t="s">
        <v>2532</v>
      </c>
      <c r="J1421" s="177" t="s">
        <v>96</v>
      </c>
      <c r="K1421" s="125" t="s">
        <v>1906</v>
      </c>
      <c r="L1421" s="177" t="s">
        <v>153</v>
      </c>
      <c r="M1421" s="76"/>
      <c r="N1421" s="76"/>
    </row>
    <row r="1422" spans="1:14" ht="15.6" hidden="1">
      <c r="A1422" s="357">
        <v>45880</v>
      </c>
      <c r="B1422" s="177" t="s">
        <v>2528</v>
      </c>
      <c r="C1422" s="177" t="s">
        <v>172</v>
      </c>
      <c r="D1422" s="177" t="s">
        <v>440</v>
      </c>
      <c r="E1422" s="351">
        <v>1000</v>
      </c>
      <c r="F1422" s="311">
        <f t="shared" si="11"/>
        <v>1.7827155035636482</v>
      </c>
      <c r="G1422" s="312">
        <v>560.94200000000001</v>
      </c>
      <c r="H1422" s="177" t="s">
        <v>321</v>
      </c>
      <c r="I1422" s="177" t="s">
        <v>2532</v>
      </c>
      <c r="J1422" s="177" t="s">
        <v>96</v>
      </c>
      <c r="K1422" s="125" t="s">
        <v>1906</v>
      </c>
      <c r="L1422" s="177" t="s">
        <v>153</v>
      </c>
      <c r="M1422" s="76"/>
      <c r="N1422" s="76"/>
    </row>
    <row r="1423" spans="1:14" ht="15.6" hidden="1">
      <c r="A1423" s="353">
        <v>45881</v>
      </c>
      <c r="B1423" s="377" t="s">
        <v>2103</v>
      </c>
      <c r="C1423" s="299" t="s">
        <v>172</v>
      </c>
      <c r="D1423" s="299" t="s">
        <v>117</v>
      </c>
      <c r="E1423" s="377">
        <v>1000</v>
      </c>
      <c r="F1423" s="311">
        <f t="shared" si="11"/>
        <v>1.7827155035636482</v>
      </c>
      <c r="G1423" s="312">
        <v>560.94200000000001</v>
      </c>
      <c r="H1423" s="384" t="s">
        <v>151</v>
      </c>
      <c r="I1423" s="385" t="s">
        <v>2428</v>
      </c>
      <c r="J1423" s="177" t="s">
        <v>96</v>
      </c>
      <c r="K1423" s="125" t="s">
        <v>1906</v>
      </c>
      <c r="L1423" s="177" t="s">
        <v>153</v>
      </c>
      <c r="M1423" s="125"/>
      <c r="N1423" s="125"/>
    </row>
    <row r="1424" spans="1:14" ht="15.6" hidden="1">
      <c r="A1424" s="353">
        <v>45881</v>
      </c>
      <c r="B1424" s="377" t="s">
        <v>2104</v>
      </c>
      <c r="C1424" s="299" t="s">
        <v>172</v>
      </c>
      <c r="D1424" s="299" t="s">
        <v>117</v>
      </c>
      <c r="E1424" s="377">
        <v>1000</v>
      </c>
      <c r="F1424" s="311">
        <f t="shared" si="11"/>
        <v>1.7827155035636482</v>
      </c>
      <c r="G1424" s="312">
        <v>560.94200000000001</v>
      </c>
      <c r="H1424" s="384" t="s">
        <v>151</v>
      </c>
      <c r="I1424" s="385" t="s">
        <v>2428</v>
      </c>
      <c r="J1424" s="177" t="s">
        <v>96</v>
      </c>
      <c r="K1424" s="125" t="s">
        <v>1906</v>
      </c>
      <c r="L1424" s="177" t="s">
        <v>153</v>
      </c>
      <c r="M1424" s="125"/>
      <c r="N1424" s="125"/>
    </row>
    <row r="1425" spans="1:14" ht="15.6" hidden="1">
      <c r="A1425" s="360">
        <v>45881</v>
      </c>
      <c r="B1425" s="177" t="s">
        <v>4854</v>
      </c>
      <c r="C1425" s="177" t="s">
        <v>172</v>
      </c>
      <c r="D1425" s="177" t="s">
        <v>440</v>
      </c>
      <c r="E1425" s="177">
        <v>1000</v>
      </c>
      <c r="F1425" s="311">
        <f t="shared" si="11"/>
        <v>1.7827155035636482</v>
      </c>
      <c r="G1425" s="312">
        <v>560.94200000000001</v>
      </c>
      <c r="H1425" s="177" t="s">
        <v>173</v>
      </c>
      <c r="I1425" s="177" t="s">
        <v>2496</v>
      </c>
      <c r="J1425" s="177" t="s">
        <v>96</v>
      </c>
      <c r="K1425" s="125" t="s">
        <v>1906</v>
      </c>
      <c r="L1425" s="177" t="s">
        <v>153</v>
      </c>
      <c r="M1425" s="76"/>
      <c r="N1425" s="76"/>
    </row>
    <row r="1426" spans="1:14" ht="15.6" hidden="1">
      <c r="A1426" s="360">
        <v>45881</v>
      </c>
      <c r="B1426" s="177" t="s">
        <v>4855</v>
      </c>
      <c r="C1426" s="177" t="s">
        <v>172</v>
      </c>
      <c r="D1426" s="177" t="s">
        <v>440</v>
      </c>
      <c r="E1426" s="177">
        <v>1000</v>
      </c>
      <c r="F1426" s="311">
        <f t="shared" si="11"/>
        <v>1.7827155035636482</v>
      </c>
      <c r="G1426" s="312">
        <v>560.94200000000001</v>
      </c>
      <c r="H1426" s="177" t="s">
        <v>173</v>
      </c>
      <c r="I1426" s="177" t="s">
        <v>2496</v>
      </c>
      <c r="J1426" s="177" t="s">
        <v>96</v>
      </c>
      <c r="K1426" s="125" t="s">
        <v>1906</v>
      </c>
      <c r="L1426" s="177" t="s">
        <v>153</v>
      </c>
      <c r="M1426" s="76"/>
      <c r="N1426" s="76"/>
    </row>
    <row r="1427" spans="1:14" ht="15.6" hidden="1">
      <c r="A1427" s="360">
        <v>45881</v>
      </c>
      <c r="B1427" s="177" t="s">
        <v>4856</v>
      </c>
      <c r="C1427" s="177" t="s">
        <v>172</v>
      </c>
      <c r="D1427" s="177" t="s">
        <v>440</v>
      </c>
      <c r="E1427" s="177">
        <v>1000</v>
      </c>
      <c r="F1427" s="311">
        <f t="shared" si="11"/>
        <v>1.7827155035636482</v>
      </c>
      <c r="G1427" s="312">
        <v>560.94200000000001</v>
      </c>
      <c r="H1427" s="177" t="s">
        <v>173</v>
      </c>
      <c r="I1427" s="177" t="s">
        <v>2496</v>
      </c>
      <c r="J1427" s="177" t="s">
        <v>96</v>
      </c>
      <c r="K1427" s="125" t="s">
        <v>1906</v>
      </c>
      <c r="L1427" s="177" t="s">
        <v>153</v>
      </c>
      <c r="M1427" s="76"/>
      <c r="N1427" s="76"/>
    </row>
    <row r="1428" spans="1:14" ht="15.6" hidden="1">
      <c r="A1428" s="360">
        <v>45881</v>
      </c>
      <c r="B1428" s="177" t="s">
        <v>4857</v>
      </c>
      <c r="C1428" s="177" t="s">
        <v>172</v>
      </c>
      <c r="D1428" s="177" t="s">
        <v>440</v>
      </c>
      <c r="E1428" s="177">
        <v>1000</v>
      </c>
      <c r="F1428" s="311">
        <f t="shared" si="11"/>
        <v>1.7827155035636482</v>
      </c>
      <c r="G1428" s="312">
        <v>560.94200000000001</v>
      </c>
      <c r="H1428" s="177" t="s">
        <v>173</v>
      </c>
      <c r="I1428" s="177" t="s">
        <v>2496</v>
      </c>
      <c r="J1428" s="177" t="s">
        <v>96</v>
      </c>
      <c r="K1428" s="125" t="s">
        <v>1906</v>
      </c>
      <c r="L1428" s="177" t="s">
        <v>153</v>
      </c>
      <c r="M1428" s="76"/>
      <c r="N1428" s="76"/>
    </row>
    <row r="1429" spans="1:14" ht="15.6" hidden="1">
      <c r="A1429" s="360">
        <v>45881</v>
      </c>
      <c r="B1429" s="177" t="s">
        <v>4765</v>
      </c>
      <c r="C1429" s="177" t="s">
        <v>366</v>
      </c>
      <c r="D1429" s="177" t="s">
        <v>440</v>
      </c>
      <c r="E1429" s="177">
        <v>2000</v>
      </c>
      <c r="F1429" s="311">
        <f t="shared" si="11"/>
        <v>3.5654310071272963</v>
      </c>
      <c r="G1429" s="312">
        <v>560.94200000000001</v>
      </c>
      <c r="H1429" s="177" t="s">
        <v>173</v>
      </c>
      <c r="I1429" s="177" t="s">
        <v>2497</v>
      </c>
      <c r="J1429" s="177" t="s">
        <v>96</v>
      </c>
      <c r="K1429" s="125" t="s">
        <v>1906</v>
      </c>
      <c r="L1429" s="177" t="s">
        <v>153</v>
      </c>
      <c r="M1429" s="76"/>
      <c r="N1429" s="76"/>
    </row>
    <row r="1430" spans="1:14" ht="15.6" hidden="1">
      <c r="A1430" s="357">
        <v>45881</v>
      </c>
      <c r="B1430" s="177" t="s">
        <v>4858</v>
      </c>
      <c r="C1430" s="177" t="s">
        <v>172</v>
      </c>
      <c r="D1430" s="177" t="s">
        <v>440</v>
      </c>
      <c r="E1430" s="177">
        <v>1000</v>
      </c>
      <c r="F1430" s="311">
        <f t="shared" si="11"/>
        <v>1.7827155035636482</v>
      </c>
      <c r="G1430" s="312">
        <v>560.94200000000001</v>
      </c>
      <c r="H1430" s="177" t="s">
        <v>315</v>
      </c>
      <c r="I1430" s="177" t="s">
        <v>2515</v>
      </c>
      <c r="J1430" s="177" t="s">
        <v>96</v>
      </c>
      <c r="K1430" s="125" t="s">
        <v>1906</v>
      </c>
      <c r="L1430" s="177" t="s">
        <v>153</v>
      </c>
      <c r="M1430" s="76"/>
      <c r="N1430" s="76"/>
    </row>
    <row r="1431" spans="1:14" ht="15.6" hidden="1">
      <c r="A1431" s="357">
        <v>45881</v>
      </c>
      <c r="B1431" s="177" t="s">
        <v>4859</v>
      </c>
      <c r="C1431" s="177" t="s">
        <v>172</v>
      </c>
      <c r="D1431" s="177" t="s">
        <v>440</v>
      </c>
      <c r="E1431" s="177">
        <v>1500</v>
      </c>
      <c r="F1431" s="311">
        <f t="shared" si="11"/>
        <v>2.6740732553454722</v>
      </c>
      <c r="G1431" s="312">
        <v>560.94200000000001</v>
      </c>
      <c r="H1431" s="177" t="s">
        <v>315</v>
      </c>
      <c r="I1431" s="177" t="s">
        <v>2515</v>
      </c>
      <c r="J1431" s="177" t="s">
        <v>96</v>
      </c>
      <c r="K1431" s="125" t="s">
        <v>1906</v>
      </c>
      <c r="L1431" s="177" t="s">
        <v>153</v>
      </c>
      <c r="M1431" s="76"/>
      <c r="N1431" s="76"/>
    </row>
    <row r="1432" spans="1:14" ht="15.6" hidden="1">
      <c r="A1432" s="357">
        <v>45881</v>
      </c>
      <c r="B1432" s="177" t="s">
        <v>4860</v>
      </c>
      <c r="C1432" s="177" t="s">
        <v>172</v>
      </c>
      <c r="D1432" s="177" t="s">
        <v>440</v>
      </c>
      <c r="E1432" s="177">
        <v>2500</v>
      </c>
      <c r="F1432" s="311">
        <f t="shared" si="11"/>
        <v>4.4567887589091209</v>
      </c>
      <c r="G1432" s="312">
        <v>560.94200000000001</v>
      </c>
      <c r="H1432" s="177" t="s">
        <v>315</v>
      </c>
      <c r="I1432" s="177" t="s">
        <v>2515</v>
      </c>
      <c r="J1432" s="177" t="s">
        <v>96</v>
      </c>
      <c r="K1432" s="125" t="s">
        <v>1906</v>
      </c>
      <c r="L1432" s="177" t="s">
        <v>153</v>
      </c>
      <c r="M1432" s="76"/>
      <c r="N1432" s="76"/>
    </row>
    <row r="1433" spans="1:14" ht="15.6" hidden="1">
      <c r="A1433" s="357">
        <v>45881</v>
      </c>
      <c r="B1433" s="177" t="s">
        <v>4861</v>
      </c>
      <c r="C1433" s="177" t="s">
        <v>172</v>
      </c>
      <c r="D1433" s="177" t="s">
        <v>440</v>
      </c>
      <c r="E1433" s="351">
        <v>1000</v>
      </c>
      <c r="F1433" s="311">
        <f t="shared" si="11"/>
        <v>1.7827155035636482</v>
      </c>
      <c r="G1433" s="312">
        <v>560.94200000000001</v>
      </c>
      <c r="H1433" s="177" t="s">
        <v>321</v>
      </c>
      <c r="I1433" s="177" t="s">
        <v>2532</v>
      </c>
      <c r="J1433" s="177" t="s">
        <v>96</v>
      </c>
      <c r="K1433" s="125" t="s">
        <v>1906</v>
      </c>
      <c r="L1433" s="177" t="s">
        <v>153</v>
      </c>
      <c r="M1433" s="76"/>
      <c r="N1433" s="76"/>
    </row>
    <row r="1434" spans="1:14" ht="15.6" hidden="1">
      <c r="A1434" s="357">
        <v>45881</v>
      </c>
      <c r="B1434" s="177" t="s">
        <v>4862</v>
      </c>
      <c r="C1434" s="177" t="s">
        <v>172</v>
      </c>
      <c r="D1434" s="177" t="s">
        <v>440</v>
      </c>
      <c r="E1434" s="351">
        <v>1000</v>
      </c>
      <c r="F1434" s="311">
        <f t="shared" si="11"/>
        <v>1.7827155035636482</v>
      </c>
      <c r="G1434" s="312">
        <v>560.94200000000001</v>
      </c>
      <c r="H1434" s="177" t="s">
        <v>321</v>
      </c>
      <c r="I1434" s="177" t="s">
        <v>2532</v>
      </c>
      <c r="J1434" s="177" t="s">
        <v>96</v>
      </c>
      <c r="K1434" s="125" t="s">
        <v>1906</v>
      </c>
      <c r="L1434" s="177" t="s">
        <v>153</v>
      </c>
      <c r="M1434" s="76"/>
      <c r="N1434" s="76"/>
    </row>
    <row r="1435" spans="1:14" ht="15.6" hidden="1">
      <c r="A1435" s="357">
        <v>45881</v>
      </c>
      <c r="B1435" s="177" t="s">
        <v>4863</v>
      </c>
      <c r="C1435" s="177" t="s">
        <v>172</v>
      </c>
      <c r="D1435" s="177" t="s">
        <v>440</v>
      </c>
      <c r="E1435" s="351">
        <v>1000</v>
      </c>
      <c r="F1435" s="311">
        <f t="shared" si="11"/>
        <v>1.7827155035636482</v>
      </c>
      <c r="G1435" s="312">
        <v>560.94200000000001</v>
      </c>
      <c r="H1435" s="177" t="s">
        <v>321</v>
      </c>
      <c r="I1435" s="177" t="s">
        <v>2532</v>
      </c>
      <c r="J1435" s="177" t="s">
        <v>96</v>
      </c>
      <c r="K1435" s="125" t="s">
        <v>1906</v>
      </c>
      <c r="L1435" s="177" t="s">
        <v>153</v>
      </c>
      <c r="M1435" s="76"/>
      <c r="N1435" s="76"/>
    </row>
    <row r="1436" spans="1:14" ht="15.6" hidden="1">
      <c r="A1436" s="357">
        <v>45881</v>
      </c>
      <c r="B1436" s="177" t="s">
        <v>4864</v>
      </c>
      <c r="C1436" s="177" t="s">
        <v>172</v>
      </c>
      <c r="D1436" s="177" t="s">
        <v>440</v>
      </c>
      <c r="E1436" s="351">
        <v>1000</v>
      </c>
      <c r="F1436" s="311">
        <f t="shared" si="11"/>
        <v>1.7827155035636482</v>
      </c>
      <c r="G1436" s="312">
        <v>560.94200000000001</v>
      </c>
      <c r="H1436" s="177" t="s">
        <v>321</v>
      </c>
      <c r="I1436" s="177" t="s">
        <v>2532</v>
      </c>
      <c r="J1436" s="177" t="s">
        <v>96</v>
      </c>
      <c r="K1436" s="125" t="s">
        <v>1906</v>
      </c>
      <c r="L1436" s="177" t="s">
        <v>153</v>
      </c>
      <c r="M1436" s="76"/>
      <c r="N1436" s="76"/>
    </row>
    <row r="1437" spans="1:14" ht="15.6" hidden="1">
      <c r="A1437" s="353">
        <v>45882</v>
      </c>
      <c r="B1437" s="377" t="s">
        <v>2103</v>
      </c>
      <c r="C1437" s="299" t="s">
        <v>172</v>
      </c>
      <c r="D1437" s="299" t="s">
        <v>117</v>
      </c>
      <c r="E1437" s="377">
        <v>1000</v>
      </c>
      <c r="F1437" s="311">
        <f t="shared" si="11"/>
        <v>1.7827155035636482</v>
      </c>
      <c r="G1437" s="312">
        <v>560.94200000000001</v>
      </c>
      <c r="H1437" s="384" t="s">
        <v>151</v>
      </c>
      <c r="I1437" s="385" t="s">
        <v>2428</v>
      </c>
      <c r="J1437" s="177" t="s">
        <v>96</v>
      </c>
      <c r="K1437" s="125" t="s">
        <v>1906</v>
      </c>
      <c r="L1437" s="177" t="s">
        <v>153</v>
      </c>
      <c r="M1437" s="125"/>
      <c r="N1437" s="125"/>
    </row>
    <row r="1438" spans="1:14" ht="15.6" hidden="1">
      <c r="A1438" s="353">
        <v>45882</v>
      </c>
      <c r="B1438" s="377" t="s">
        <v>2104</v>
      </c>
      <c r="C1438" s="299" t="s">
        <v>172</v>
      </c>
      <c r="D1438" s="299" t="s">
        <v>117</v>
      </c>
      <c r="E1438" s="377">
        <v>1000</v>
      </c>
      <c r="F1438" s="311">
        <f t="shared" ref="F1438" si="12">E1438/G1438</f>
        <v>1.7827155035636482</v>
      </c>
      <c r="G1438" s="312">
        <v>560.94200000000001</v>
      </c>
      <c r="H1438" s="384" t="s">
        <v>151</v>
      </c>
      <c r="I1438" s="385" t="s">
        <v>2428</v>
      </c>
      <c r="J1438" s="177" t="s">
        <v>96</v>
      </c>
      <c r="K1438" s="125" t="s">
        <v>1906</v>
      </c>
      <c r="L1438" s="177" t="s">
        <v>153</v>
      </c>
      <c r="M1438" s="125"/>
      <c r="N1438" s="125"/>
    </row>
    <row r="1439" spans="1:14" ht="15.6" hidden="1">
      <c r="A1439" s="359">
        <v>45882</v>
      </c>
      <c r="B1439" s="177" t="s">
        <v>2439</v>
      </c>
      <c r="C1439" s="177" t="s">
        <v>172</v>
      </c>
      <c r="D1439" s="177" t="s">
        <v>116</v>
      </c>
      <c r="E1439" s="324">
        <v>1500</v>
      </c>
      <c r="F1439" s="311"/>
      <c r="G1439" s="312">
        <v>560.94200000000001</v>
      </c>
      <c r="H1439" s="177" t="s">
        <v>581</v>
      </c>
      <c r="I1439" s="177" t="s">
        <v>2467</v>
      </c>
      <c r="J1439" s="177" t="s">
        <v>96</v>
      </c>
      <c r="K1439" s="125" t="s">
        <v>1906</v>
      </c>
      <c r="L1439" s="177" t="s">
        <v>153</v>
      </c>
      <c r="M1439" s="317"/>
      <c r="N1439" s="125"/>
    </row>
    <row r="1440" spans="1:14" ht="15.6" hidden="1">
      <c r="A1440" s="359">
        <v>45882</v>
      </c>
      <c r="B1440" s="177" t="s">
        <v>2440</v>
      </c>
      <c r="C1440" s="177" t="s">
        <v>172</v>
      </c>
      <c r="D1440" s="177" t="s">
        <v>116</v>
      </c>
      <c r="E1440" s="324">
        <v>1500</v>
      </c>
      <c r="F1440" s="311">
        <f t="shared" ref="F1440:F1503" si="13">E1440/G1440</f>
        <v>2.6740732553454722</v>
      </c>
      <c r="G1440" s="312">
        <v>560.94200000000001</v>
      </c>
      <c r="H1440" s="177" t="s">
        <v>581</v>
      </c>
      <c r="I1440" s="177" t="s">
        <v>2467</v>
      </c>
      <c r="J1440" s="177" t="s">
        <v>96</v>
      </c>
      <c r="K1440" s="125" t="s">
        <v>1906</v>
      </c>
      <c r="L1440" s="177" t="s">
        <v>153</v>
      </c>
      <c r="M1440" s="125"/>
      <c r="N1440" s="125"/>
    </row>
    <row r="1441" spans="1:14" ht="15.6" hidden="1">
      <c r="A1441" s="237">
        <v>45882</v>
      </c>
      <c r="B1441" s="172" t="s">
        <v>4865</v>
      </c>
      <c r="C1441" s="172" t="s">
        <v>172</v>
      </c>
      <c r="D1441" s="177" t="s">
        <v>440</v>
      </c>
      <c r="E1441" s="172">
        <v>1000</v>
      </c>
      <c r="F1441" s="311">
        <f t="shared" si="13"/>
        <v>1.7827155035636482</v>
      </c>
      <c r="G1441" s="312">
        <v>560.94200000000001</v>
      </c>
      <c r="H1441" s="172" t="s">
        <v>182</v>
      </c>
      <c r="I1441" s="172" t="s">
        <v>2477</v>
      </c>
      <c r="J1441" s="177" t="s">
        <v>96</v>
      </c>
      <c r="K1441" s="125" t="s">
        <v>1906</v>
      </c>
      <c r="L1441" s="177" t="s">
        <v>153</v>
      </c>
      <c r="M1441" s="125"/>
      <c r="N1441" s="125"/>
    </row>
    <row r="1442" spans="1:14" ht="15.6" hidden="1">
      <c r="A1442" s="237">
        <v>45882</v>
      </c>
      <c r="B1442" s="172" t="s">
        <v>4866</v>
      </c>
      <c r="C1442" s="172" t="s">
        <v>172</v>
      </c>
      <c r="D1442" s="177" t="s">
        <v>440</v>
      </c>
      <c r="E1442" s="172">
        <v>1000</v>
      </c>
      <c r="F1442" s="311">
        <f t="shared" si="13"/>
        <v>1.7827155035636482</v>
      </c>
      <c r="G1442" s="312">
        <v>560.94200000000001</v>
      </c>
      <c r="H1442" s="172" t="s">
        <v>182</v>
      </c>
      <c r="I1442" s="172" t="s">
        <v>2477</v>
      </c>
      <c r="J1442" s="177" t="s">
        <v>96</v>
      </c>
      <c r="K1442" s="125" t="s">
        <v>1906</v>
      </c>
      <c r="L1442" s="177" t="s">
        <v>153</v>
      </c>
      <c r="M1442" s="125"/>
      <c r="N1442" s="125"/>
    </row>
    <row r="1443" spans="1:14" ht="15.6" hidden="1">
      <c r="A1443" s="237">
        <v>45882</v>
      </c>
      <c r="B1443" s="172" t="s">
        <v>2470</v>
      </c>
      <c r="C1443" s="172" t="s">
        <v>172</v>
      </c>
      <c r="D1443" s="177" t="s">
        <v>440</v>
      </c>
      <c r="E1443" s="172">
        <v>1500</v>
      </c>
      <c r="F1443" s="311">
        <f t="shared" si="13"/>
        <v>2.6740732553454722</v>
      </c>
      <c r="G1443" s="312">
        <v>560.94200000000001</v>
      </c>
      <c r="H1443" s="172" t="s">
        <v>182</v>
      </c>
      <c r="I1443" s="172" t="s">
        <v>2477</v>
      </c>
      <c r="J1443" s="177" t="s">
        <v>96</v>
      </c>
      <c r="K1443" s="125" t="s">
        <v>1906</v>
      </c>
      <c r="L1443" s="177" t="s">
        <v>153</v>
      </c>
      <c r="M1443" s="125"/>
      <c r="N1443" s="125"/>
    </row>
    <row r="1444" spans="1:14" ht="15.6" hidden="1">
      <c r="A1444" s="237">
        <v>45882</v>
      </c>
      <c r="B1444" s="172" t="s">
        <v>4867</v>
      </c>
      <c r="C1444" s="172" t="s">
        <v>366</v>
      </c>
      <c r="D1444" s="177" t="s">
        <v>440</v>
      </c>
      <c r="E1444" s="172">
        <v>1000</v>
      </c>
      <c r="F1444" s="311">
        <f t="shared" si="13"/>
        <v>1.7827155035636482</v>
      </c>
      <c r="G1444" s="312">
        <v>560.94200000000001</v>
      </c>
      <c r="H1444" s="172" t="s">
        <v>182</v>
      </c>
      <c r="I1444" s="172" t="s">
        <v>2478</v>
      </c>
      <c r="J1444" s="177" t="s">
        <v>96</v>
      </c>
      <c r="K1444" s="125" t="s">
        <v>1906</v>
      </c>
      <c r="L1444" s="177" t="s">
        <v>153</v>
      </c>
      <c r="M1444" s="125"/>
      <c r="N1444" s="125"/>
    </row>
    <row r="1445" spans="1:14" ht="15.6" hidden="1">
      <c r="A1445" s="360">
        <v>45882</v>
      </c>
      <c r="B1445" s="177" t="s">
        <v>4868</v>
      </c>
      <c r="C1445" s="177" t="s">
        <v>172</v>
      </c>
      <c r="D1445" s="177" t="s">
        <v>440</v>
      </c>
      <c r="E1445" s="177">
        <v>1500</v>
      </c>
      <c r="F1445" s="311">
        <f t="shared" si="13"/>
        <v>2.6740732553454722</v>
      </c>
      <c r="G1445" s="312">
        <v>560.94200000000001</v>
      </c>
      <c r="H1445" s="177" t="s">
        <v>173</v>
      </c>
      <c r="I1445" s="177" t="s">
        <v>2496</v>
      </c>
      <c r="J1445" s="177" t="s">
        <v>96</v>
      </c>
      <c r="K1445" s="125" t="s">
        <v>1906</v>
      </c>
      <c r="L1445" s="177" t="s">
        <v>153</v>
      </c>
      <c r="M1445" s="76"/>
      <c r="N1445" s="76"/>
    </row>
    <row r="1446" spans="1:14" ht="15.6" hidden="1">
      <c r="A1446" s="360">
        <v>45882</v>
      </c>
      <c r="B1446" s="177" t="s">
        <v>4869</v>
      </c>
      <c r="C1446" s="177" t="s">
        <v>172</v>
      </c>
      <c r="D1446" s="177" t="s">
        <v>440</v>
      </c>
      <c r="E1446" s="177">
        <v>1000</v>
      </c>
      <c r="F1446" s="311">
        <f t="shared" si="13"/>
        <v>1.7827155035636482</v>
      </c>
      <c r="G1446" s="312">
        <v>560.94200000000001</v>
      </c>
      <c r="H1446" s="177" t="s">
        <v>173</v>
      </c>
      <c r="I1446" s="177" t="s">
        <v>2496</v>
      </c>
      <c r="J1446" s="177" t="s">
        <v>96</v>
      </c>
      <c r="K1446" s="125" t="s">
        <v>1906</v>
      </c>
      <c r="L1446" s="177" t="s">
        <v>153</v>
      </c>
      <c r="M1446" s="76"/>
      <c r="N1446" s="76"/>
    </row>
    <row r="1447" spans="1:14" ht="15.6" hidden="1">
      <c r="A1447" s="360">
        <v>45882</v>
      </c>
      <c r="B1447" s="177" t="s">
        <v>4870</v>
      </c>
      <c r="C1447" s="177" t="s">
        <v>172</v>
      </c>
      <c r="D1447" s="177" t="s">
        <v>440</v>
      </c>
      <c r="E1447" s="177">
        <v>1000</v>
      </c>
      <c r="F1447" s="311">
        <f t="shared" si="13"/>
        <v>1.7827155035636482</v>
      </c>
      <c r="G1447" s="312">
        <v>560.94200000000001</v>
      </c>
      <c r="H1447" s="177" t="s">
        <v>173</v>
      </c>
      <c r="I1447" s="177" t="s">
        <v>2496</v>
      </c>
      <c r="J1447" s="177" t="s">
        <v>96</v>
      </c>
      <c r="K1447" s="125" t="s">
        <v>1906</v>
      </c>
      <c r="L1447" s="177" t="s">
        <v>153</v>
      </c>
      <c r="M1447" s="76"/>
      <c r="N1447" s="76"/>
    </row>
    <row r="1448" spans="1:14" ht="15.6" hidden="1">
      <c r="A1448" s="360">
        <v>45882</v>
      </c>
      <c r="B1448" s="177" t="s">
        <v>4871</v>
      </c>
      <c r="C1448" s="177" t="s">
        <v>172</v>
      </c>
      <c r="D1448" s="177" t="s">
        <v>440</v>
      </c>
      <c r="E1448" s="177">
        <v>2000</v>
      </c>
      <c r="F1448" s="311">
        <f t="shared" si="13"/>
        <v>3.5654310071272963</v>
      </c>
      <c r="G1448" s="312">
        <v>560.94200000000001</v>
      </c>
      <c r="H1448" s="177" t="s">
        <v>173</v>
      </c>
      <c r="I1448" s="177" t="s">
        <v>2496</v>
      </c>
      <c r="J1448" s="177" t="s">
        <v>96</v>
      </c>
      <c r="K1448" s="125" t="s">
        <v>1906</v>
      </c>
      <c r="L1448" s="177" t="s">
        <v>153</v>
      </c>
      <c r="M1448" s="76"/>
      <c r="N1448" s="76"/>
    </row>
    <row r="1449" spans="1:14" ht="15.6" hidden="1">
      <c r="A1449" s="360">
        <v>45882</v>
      </c>
      <c r="B1449" s="177" t="s">
        <v>4872</v>
      </c>
      <c r="C1449" s="177" t="s">
        <v>172</v>
      </c>
      <c r="D1449" s="177" t="s">
        <v>440</v>
      </c>
      <c r="E1449" s="177">
        <v>2000</v>
      </c>
      <c r="F1449" s="311">
        <f t="shared" si="13"/>
        <v>3.5654310071272963</v>
      </c>
      <c r="G1449" s="312">
        <v>560.94200000000001</v>
      </c>
      <c r="H1449" s="177" t="s">
        <v>173</v>
      </c>
      <c r="I1449" s="177" t="s">
        <v>2496</v>
      </c>
      <c r="J1449" s="177" t="s">
        <v>96</v>
      </c>
      <c r="K1449" s="125" t="s">
        <v>1906</v>
      </c>
      <c r="L1449" s="177" t="s">
        <v>153</v>
      </c>
      <c r="M1449" s="76"/>
      <c r="N1449" s="76"/>
    </row>
    <row r="1450" spans="1:14" ht="15.6" hidden="1">
      <c r="A1450" s="357">
        <v>45882</v>
      </c>
      <c r="B1450" s="177" t="s">
        <v>4873</v>
      </c>
      <c r="C1450" s="177" t="s">
        <v>172</v>
      </c>
      <c r="D1450" s="177" t="s">
        <v>440</v>
      </c>
      <c r="E1450" s="177">
        <v>2000</v>
      </c>
      <c r="F1450" s="311">
        <f t="shared" si="13"/>
        <v>3.5654310071272963</v>
      </c>
      <c r="G1450" s="312">
        <v>560.94200000000001</v>
      </c>
      <c r="H1450" s="177" t="s">
        <v>315</v>
      </c>
      <c r="I1450" s="177" t="s">
        <v>2515</v>
      </c>
      <c r="J1450" s="177" t="s">
        <v>96</v>
      </c>
      <c r="K1450" s="125" t="s">
        <v>1906</v>
      </c>
      <c r="L1450" s="177" t="s">
        <v>153</v>
      </c>
      <c r="M1450" s="76"/>
      <c r="N1450" s="76"/>
    </row>
    <row r="1451" spans="1:14" ht="15.6" hidden="1">
      <c r="A1451" s="357">
        <v>45882</v>
      </c>
      <c r="B1451" s="177" t="s">
        <v>4874</v>
      </c>
      <c r="C1451" s="177" t="s">
        <v>172</v>
      </c>
      <c r="D1451" s="177" t="s">
        <v>440</v>
      </c>
      <c r="E1451" s="177">
        <v>1000</v>
      </c>
      <c r="F1451" s="311">
        <f t="shared" si="13"/>
        <v>1.7827155035636482</v>
      </c>
      <c r="G1451" s="312">
        <v>560.94200000000001</v>
      </c>
      <c r="H1451" s="177" t="s">
        <v>315</v>
      </c>
      <c r="I1451" s="177" t="s">
        <v>2515</v>
      </c>
      <c r="J1451" s="177" t="s">
        <v>96</v>
      </c>
      <c r="K1451" s="125" t="s">
        <v>1906</v>
      </c>
      <c r="L1451" s="177" t="s">
        <v>153</v>
      </c>
      <c r="M1451" s="76"/>
      <c r="N1451" s="76"/>
    </row>
    <row r="1452" spans="1:14" ht="15.6" hidden="1">
      <c r="A1452" s="357">
        <v>45882</v>
      </c>
      <c r="B1452" s="177" t="s">
        <v>4875</v>
      </c>
      <c r="C1452" s="177" t="s">
        <v>172</v>
      </c>
      <c r="D1452" s="177" t="s">
        <v>440</v>
      </c>
      <c r="E1452" s="177">
        <v>1000</v>
      </c>
      <c r="F1452" s="311">
        <f t="shared" si="13"/>
        <v>1.7827155035636482</v>
      </c>
      <c r="G1452" s="312">
        <v>560.94200000000001</v>
      </c>
      <c r="H1452" s="177" t="s">
        <v>315</v>
      </c>
      <c r="I1452" s="177" t="s">
        <v>2515</v>
      </c>
      <c r="J1452" s="177" t="s">
        <v>96</v>
      </c>
      <c r="K1452" s="125" t="s">
        <v>1906</v>
      </c>
      <c r="L1452" s="177" t="s">
        <v>153</v>
      </c>
      <c r="M1452" s="76"/>
      <c r="N1452" s="76"/>
    </row>
    <row r="1453" spans="1:14" ht="15.6" hidden="1">
      <c r="A1453" s="357">
        <v>45882</v>
      </c>
      <c r="B1453" s="177" t="s">
        <v>4876</v>
      </c>
      <c r="C1453" s="177" t="s">
        <v>172</v>
      </c>
      <c r="D1453" s="177" t="s">
        <v>440</v>
      </c>
      <c r="E1453" s="177">
        <v>2000</v>
      </c>
      <c r="F1453" s="311">
        <f t="shared" si="13"/>
        <v>3.5654310071272963</v>
      </c>
      <c r="G1453" s="312">
        <v>560.94200000000001</v>
      </c>
      <c r="H1453" s="177" t="s">
        <v>315</v>
      </c>
      <c r="I1453" s="177" t="s">
        <v>2515</v>
      </c>
      <c r="J1453" s="177" t="s">
        <v>96</v>
      </c>
      <c r="K1453" s="125" t="s">
        <v>1906</v>
      </c>
      <c r="L1453" s="177" t="s">
        <v>153</v>
      </c>
      <c r="M1453" s="76"/>
      <c r="N1453" s="76"/>
    </row>
    <row r="1454" spans="1:14" ht="15.6" hidden="1">
      <c r="A1454" s="357">
        <v>45882</v>
      </c>
      <c r="B1454" s="177" t="s">
        <v>4877</v>
      </c>
      <c r="C1454" s="177" t="s">
        <v>172</v>
      </c>
      <c r="D1454" s="177" t="s">
        <v>440</v>
      </c>
      <c r="E1454" s="351">
        <v>1500</v>
      </c>
      <c r="F1454" s="311">
        <f t="shared" si="13"/>
        <v>2.6740732553454722</v>
      </c>
      <c r="G1454" s="312">
        <v>560.94200000000001</v>
      </c>
      <c r="H1454" s="177" t="s">
        <v>321</v>
      </c>
      <c r="I1454" s="177" t="s">
        <v>2532</v>
      </c>
      <c r="J1454" s="177" t="s">
        <v>96</v>
      </c>
      <c r="K1454" s="125" t="s">
        <v>1906</v>
      </c>
      <c r="L1454" s="177" t="s">
        <v>153</v>
      </c>
      <c r="M1454" s="76"/>
      <c r="N1454" s="76"/>
    </row>
    <row r="1455" spans="1:14" ht="15.6" hidden="1">
      <c r="A1455" s="357">
        <v>45882</v>
      </c>
      <c r="B1455" s="177" t="s">
        <v>4878</v>
      </c>
      <c r="C1455" s="177" t="s">
        <v>172</v>
      </c>
      <c r="D1455" s="177" t="s">
        <v>440</v>
      </c>
      <c r="E1455" s="351">
        <v>1500</v>
      </c>
      <c r="F1455" s="311">
        <f t="shared" si="13"/>
        <v>2.6740732553454722</v>
      </c>
      <c r="G1455" s="312">
        <v>560.94200000000001</v>
      </c>
      <c r="H1455" s="177" t="s">
        <v>321</v>
      </c>
      <c r="I1455" s="177" t="s">
        <v>2532</v>
      </c>
      <c r="J1455" s="177" t="s">
        <v>96</v>
      </c>
      <c r="K1455" s="125" t="s">
        <v>1906</v>
      </c>
      <c r="L1455" s="177" t="s">
        <v>153</v>
      </c>
      <c r="M1455" s="76"/>
      <c r="N1455" s="76"/>
    </row>
    <row r="1456" spans="1:14" ht="15.6" hidden="1">
      <c r="A1456" s="357">
        <v>45882</v>
      </c>
      <c r="B1456" s="177" t="s">
        <v>4879</v>
      </c>
      <c r="C1456" s="177" t="s">
        <v>172</v>
      </c>
      <c r="D1456" s="177" t="s">
        <v>440</v>
      </c>
      <c r="E1456" s="351">
        <v>1000</v>
      </c>
      <c r="F1456" s="311">
        <f t="shared" si="13"/>
        <v>1.7827155035636482</v>
      </c>
      <c r="G1456" s="312">
        <v>560.94200000000001</v>
      </c>
      <c r="H1456" s="177" t="s">
        <v>321</v>
      </c>
      <c r="I1456" s="177" t="s">
        <v>2532</v>
      </c>
      <c r="J1456" s="177" t="s">
        <v>96</v>
      </c>
      <c r="K1456" s="125" t="s">
        <v>1906</v>
      </c>
      <c r="L1456" s="177" t="s">
        <v>153</v>
      </c>
      <c r="M1456" s="76"/>
      <c r="N1456" s="76"/>
    </row>
    <row r="1457" spans="1:14" ht="15.6" hidden="1">
      <c r="A1457" s="357">
        <v>45882</v>
      </c>
      <c r="B1457" s="177" t="s">
        <v>2678</v>
      </c>
      <c r="C1457" s="177" t="s">
        <v>172</v>
      </c>
      <c r="D1457" s="177" t="s">
        <v>118</v>
      </c>
      <c r="E1457" s="351">
        <v>1000</v>
      </c>
      <c r="F1457" s="311">
        <f t="shared" si="13"/>
        <v>1.7827155035636482</v>
      </c>
      <c r="G1457" s="312">
        <v>560.94200000000001</v>
      </c>
      <c r="H1457" s="177" t="s">
        <v>211</v>
      </c>
      <c r="I1457" s="177" t="s">
        <v>2699</v>
      </c>
      <c r="J1457" s="177" t="s">
        <v>96</v>
      </c>
      <c r="K1457" s="125" t="s">
        <v>1906</v>
      </c>
      <c r="L1457" s="177" t="s">
        <v>153</v>
      </c>
      <c r="M1457" s="76"/>
      <c r="N1457" s="76"/>
    </row>
    <row r="1458" spans="1:14" ht="15.6" hidden="1">
      <c r="A1458" s="357">
        <v>45882</v>
      </c>
      <c r="B1458" s="177" t="s">
        <v>2680</v>
      </c>
      <c r="C1458" s="177" t="s">
        <v>172</v>
      </c>
      <c r="D1458" s="177" t="s">
        <v>118</v>
      </c>
      <c r="E1458" s="351">
        <v>1000</v>
      </c>
      <c r="F1458" s="311">
        <f t="shared" si="13"/>
        <v>1.7827155035636482</v>
      </c>
      <c r="G1458" s="312">
        <v>560.94200000000001</v>
      </c>
      <c r="H1458" s="177" t="s">
        <v>211</v>
      </c>
      <c r="I1458" s="177" t="s">
        <v>2699</v>
      </c>
      <c r="J1458" s="177" t="s">
        <v>96</v>
      </c>
      <c r="K1458" s="125" t="s">
        <v>1906</v>
      </c>
      <c r="L1458" s="177" t="s">
        <v>153</v>
      </c>
      <c r="M1458" s="76"/>
      <c r="N1458" s="76"/>
    </row>
    <row r="1459" spans="1:14" ht="15.6" hidden="1">
      <c r="A1459" s="367">
        <v>45882</v>
      </c>
      <c r="B1459" s="320" t="s">
        <v>2724</v>
      </c>
      <c r="C1459" s="177" t="s">
        <v>123</v>
      </c>
      <c r="D1459" s="328"/>
      <c r="E1459" s="324"/>
      <c r="F1459" s="311">
        <f t="shared" si="13"/>
        <v>0</v>
      </c>
      <c r="G1459" s="375">
        <f>+M1459/5000</f>
        <v>532.90200000000004</v>
      </c>
      <c r="H1459" s="177" t="s">
        <v>146</v>
      </c>
      <c r="I1459" s="177" t="s">
        <v>2759</v>
      </c>
      <c r="J1459" s="177" t="s">
        <v>96</v>
      </c>
      <c r="K1459" s="177" t="s">
        <v>2102</v>
      </c>
      <c r="L1459" s="177" t="s">
        <v>153</v>
      </c>
      <c r="M1459" s="374">
        <v>2664510</v>
      </c>
      <c r="N1459" s="76">
        <v>5000</v>
      </c>
    </row>
    <row r="1460" spans="1:14" ht="15.6" hidden="1">
      <c r="A1460" s="367">
        <v>45882</v>
      </c>
      <c r="B1460" s="320" t="s">
        <v>2725</v>
      </c>
      <c r="C1460" s="177" t="s">
        <v>123</v>
      </c>
      <c r="D1460" s="333"/>
      <c r="E1460" s="324"/>
      <c r="F1460" s="311">
        <f t="shared" si="13"/>
        <v>0</v>
      </c>
      <c r="G1460" s="375">
        <f>+M1460/27000</f>
        <v>532.90192592592598</v>
      </c>
      <c r="H1460" s="177" t="s">
        <v>146</v>
      </c>
      <c r="I1460" s="177" t="s">
        <v>2760</v>
      </c>
      <c r="J1460" s="177" t="s">
        <v>96</v>
      </c>
      <c r="K1460" s="177" t="s">
        <v>1906</v>
      </c>
      <c r="L1460" s="177" t="s">
        <v>153</v>
      </c>
      <c r="M1460" s="374">
        <v>14388352</v>
      </c>
      <c r="N1460" s="76">
        <v>27000</v>
      </c>
    </row>
    <row r="1461" spans="1:14" ht="15.6" hidden="1">
      <c r="A1461" s="353">
        <v>45883</v>
      </c>
      <c r="B1461" s="377" t="s">
        <v>2104</v>
      </c>
      <c r="C1461" s="299" t="s">
        <v>172</v>
      </c>
      <c r="D1461" s="299" t="s">
        <v>117</v>
      </c>
      <c r="E1461" s="377">
        <v>1000</v>
      </c>
      <c r="F1461" s="311">
        <f t="shared" si="13"/>
        <v>1.7827155035636482</v>
      </c>
      <c r="G1461" s="312">
        <v>560.94200000000001</v>
      </c>
      <c r="H1461" s="384" t="s">
        <v>151</v>
      </c>
      <c r="I1461" s="385" t="s">
        <v>2428</v>
      </c>
      <c r="J1461" s="177" t="s">
        <v>96</v>
      </c>
      <c r="K1461" s="125" t="s">
        <v>1906</v>
      </c>
      <c r="L1461" s="177" t="s">
        <v>153</v>
      </c>
      <c r="M1461" s="125"/>
      <c r="N1461" s="125"/>
    </row>
    <row r="1462" spans="1:14" ht="15.6" hidden="1">
      <c r="A1462" s="355">
        <v>45883</v>
      </c>
      <c r="B1462" s="376" t="s">
        <v>2390</v>
      </c>
      <c r="C1462" s="376" t="s">
        <v>172</v>
      </c>
      <c r="D1462" s="376" t="s">
        <v>115</v>
      </c>
      <c r="E1462" s="386">
        <v>37000</v>
      </c>
      <c r="F1462" s="311">
        <f t="shared" si="13"/>
        <v>65.960473631854981</v>
      </c>
      <c r="G1462" s="312">
        <v>560.94200000000001</v>
      </c>
      <c r="H1462" s="172" t="s">
        <v>198</v>
      </c>
      <c r="I1462" s="376" t="s">
        <v>2425</v>
      </c>
      <c r="J1462" s="177" t="s">
        <v>96</v>
      </c>
      <c r="K1462" s="125" t="s">
        <v>1906</v>
      </c>
      <c r="L1462" s="177" t="s">
        <v>153</v>
      </c>
      <c r="M1462" s="125"/>
      <c r="N1462" s="125"/>
    </row>
    <row r="1463" spans="1:14" ht="15.6" hidden="1">
      <c r="A1463" s="355">
        <v>45883</v>
      </c>
      <c r="B1463" s="376" t="s">
        <v>2391</v>
      </c>
      <c r="C1463" s="376" t="s">
        <v>172</v>
      </c>
      <c r="D1463" s="376" t="s">
        <v>115</v>
      </c>
      <c r="E1463" s="386">
        <v>2000</v>
      </c>
      <c r="F1463" s="311">
        <f t="shared" si="13"/>
        <v>3.5654310071272963</v>
      </c>
      <c r="G1463" s="312">
        <v>560.94200000000001</v>
      </c>
      <c r="H1463" s="172" t="s">
        <v>198</v>
      </c>
      <c r="I1463" s="376" t="s">
        <v>2426</v>
      </c>
      <c r="J1463" s="177" t="s">
        <v>96</v>
      </c>
      <c r="K1463" s="125" t="s">
        <v>1906</v>
      </c>
      <c r="L1463" s="177" t="s">
        <v>153</v>
      </c>
      <c r="M1463" s="125"/>
      <c r="N1463" s="125"/>
    </row>
    <row r="1464" spans="1:14" ht="15.6" hidden="1">
      <c r="A1464" s="355">
        <v>45883</v>
      </c>
      <c r="B1464" s="376" t="s">
        <v>2392</v>
      </c>
      <c r="C1464" s="376" t="s">
        <v>172</v>
      </c>
      <c r="D1464" s="376" t="s">
        <v>115</v>
      </c>
      <c r="E1464" s="386">
        <v>500</v>
      </c>
      <c r="F1464" s="311">
        <f t="shared" si="13"/>
        <v>0.89135775178182408</v>
      </c>
      <c r="G1464" s="312">
        <v>560.94200000000001</v>
      </c>
      <c r="H1464" s="172" t="s">
        <v>198</v>
      </c>
      <c r="I1464" s="376" t="s">
        <v>2426</v>
      </c>
      <c r="J1464" s="177" t="s">
        <v>96</v>
      </c>
      <c r="K1464" s="125" t="s">
        <v>1906</v>
      </c>
      <c r="L1464" s="177" t="s">
        <v>153</v>
      </c>
      <c r="M1464" s="125"/>
      <c r="N1464" s="125"/>
    </row>
    <row r="1465" spans="1:14" ht="15.6" hidden="1">
      <c r="A1465" s="237">
        <v>45883</v>
      </c>
      <c r="B1465" s="172" t="s">
        <v>2393</v>
      </c>
      <c r="C1465" s="172" t="s">
        <v>2394</v>
      </c>
      <c r="D1465" s="172" t="s">
        <v>115</v>
      </c>
      <c r="E1465" s="387">
        <v>190000</v>
      </c>
      <c r="F1465" s="311">
        <f t="shared" si="13"/>
        <v>338.71594567709315</v>
      </c>
      <c r="G1465" s="312">
        <v>560.94200000000001</v>
      </c>
      <c r="H1465" s="172" t="s">
        <v>198</v>
      </c>
      <c r="I1465" s="172" t="s">
        <v>2427</v>
      </c>
      <c r="J1465" s="177" t="s">
        <v>96</v>
      </c>
      <c r="K1465" s="125" t="s">
        <v>1906</v>
      </c>
      <c r="L1465" s="177" t="s">
        <v>153</v>
      </c>
      <c r="M1465" s="125"/>
      <c r="N1465" s="125"/>
    </row>
    <row r="1466" spans="1:14" ht="15.6" hidden="1">
      <c r="A1466" s="359">
        <v>45883</v>
      </c>
      <c r="B1466" s="177" t="s">
        <v>2439</v>
      </c>
      <c r="C1466" s="177" t="s">
        <v>172</v>
      </c>
      <c r="D1466" s="177" t="s">
        <v>116</v>
      </c>
      <c r="E1466" s="324">
        <v>1000</v>
      </c>
      <c r="F1466" s="311">
        <f t="shared" si="13"/>
        <v>1.7827155035636482</v>
      </c>
      <c r="G1466" s="312">
        <v>560.94200000000001</v>
      </c>
      <c r="H1466" s="177" t="s">
        <v>581</v>
      </c>
      <c r="I1466" s="177" t="s">
        <v>2467</v>
      </c>
      <c r="J1466" s="177" t="s">
        <v>96</v>
      </c>
      <c r="K1466" s="125" t="s">
        <v>1906</v>
      </c>
      <c r="L1466" s="177" t="s">
        <v>153</v>
      </c>
      <c r="M1466" s="125"/>
      <c r="N1466" s="125"/>
    </row>
    <row r="1467" spans="1:14" ht="15.6" hidden="1">
      <c r="A1467" s="359">
        <v>45883</v>
      </c>
      <c r="B1467" s="177" t="s">
        <v>2440</v>
      </c>
      <c r="C1467" s="177" t="s">
        <v>172</v>
      </c>
      <c r="D1467" s="177" t="s">
        <v>116</v>
      </c>
      <c r="E1467" s="324">
        <v>1000</v>
      </c>
      <c r="F1467" s="311">
        <f t="shared" si="13"/>
        <v>1.7827155035636482</v>
      </c>
      <c r="G1467" s="312">
        <v>560.94200000000001</v>
      </c>
      <c r="H1467" s="177" t="s">
        <v>581</v>
      </c>
      <c r="I1467" s="177" t="s">
        <v>2467</v>
      </c>
      <c r="J1467" s="177" t="s">
        <v>96</v>
      </c>
      <c r="K1467" s="125" t="s">
        <v>1906</v>
      </c>
      <c r="L1467" s="177" t="s">
        <v>153</v>
      </c>
      <c r="M1467" s="125"/>
      <c r="N1467" s="125"/>
    </row>
    <row r="1468" spans="1:14" ht="15.6" hidden="1">
      <c r="A1468" s="359">
        <v>45883</v>
      </c>
      <c r="B1468" s="177" t="s">
        <v>2441</v>
      </c>
      <c r="C1468" s="177" t="s">
        <v>172</v>
      </c>
      <c r="D1468" s="177" t="s">
        <v>116</v>
      </c>
      <c r="E1468" s="324">
        <v>1000</v>
      </c>
      <c r="F1468" s="311">
        <f t="shared" si="13"/>
        <v>1.7827155035636482</v>
      </c>
      <c r="G1468" s="312">
        <v>560.94200000000001</v>
      </c>
      <c r="H1468" s="177" t="s">
        <v>581</v>
      </c>
      <c r="I1468" s="177" t="s">
        <v>2467</v>
      </c>
      <c r="J1468" s="177" t="s">
        <v>96</v>
      </c>
      <c r="K1468" s="125" t="s">
        <v>1906</v>
      </c>
      <c r="L1468" s="177" t="s">
        <v>153</v>
      </c>
      <c r="M1468" s="125"/>
      <c r="N1468" s="125"/>
    </row>
    <row r="1469" spans="1:14" ht="15.6" hidden="1">
      <c r="A1469" s="359">
        <v>45883</v>
      </c>
      <c r="B1469" s="177" t="s">
        <v>2442</v>
      </c>
      <c r="C1469" s="177" t="s">
        <v>172</v>
      </c>
      <c r="D1469" s="177" t="s">
        <v>116</v>
      </c>
      <c r="E1469" s="324">
        <v>1000</v>
      </c>
      <c r="F1469" s="311">
        <f t="shared" si="13"/>
        <v>1.7827155035636482</v>
      </c>
      <c r="G1469" s="312">
        <v>560.94200000000001</v>
      </c>
      <c r="H1469" s="177" t="s">
        <v>581</v>
      </c>
      <c r="I1469" s="177" t="s">
        <v>2467</v>
      </c>
      <c r="J1469" s="177" t="s">
        <v>96</v>
      </c>
      <c r="K1469" s="125" t="s">
        <v>1906</v>
      </c>
      <c r="L1469" s="177" t="s">
        <v>153</v>
      </c>
      <c r="M1469" s="125"/>
      <c r="N1469" s="125"/>
    </row>
    <row r="1470" spans="1:14" ht="15.6" hidden="1">
      <c r="A1470" s="362">
        <v>45883</v>
      </c>
      <c r="B1470" s="177" t="s">
        <v>2342</v>
      </c>
      <c r="C1470" s="177" t="s">
        <v>170</v>
      </c>
      <c r="D1470" s="177" t="s">
        <v>116</v>
      </c>
      <c r="E1470" s="324">
        <v>25000</v>
      </c>
      <c r="F1470" s="311">
        <f t="shared" si="13"/>
        <v>44.567887589091207</v>
      </c>
      <c r="G1470" s="312">
        <v>560.94200000000001</v>
      </c>
      <c r="H1470" s="380" t="s">
        <v>581</v>
      </c>
      <c r="I1470" s="380" t="s">
        <v>2343</v>
      </c>
      <c r="J1470" s="177" t="s">
        <v>96</v>
      </c>
      <c r="K1470" s="125" t="s">
        <v>1906</v>
      </c>
      <c r="L1470" s="177" t="s">
        <v>153</v>
      </c>
      <c r="M1470" s="125"/>
      <c r="N1470" s="125"/>
    </row>
    <row r="1471" spans="1:14" ht="15.6" hidden="1">
      <c r="A1471" s="237">
        <v>45883</v>
      </c>
      <c r="B1471" s="172" t="s">
        <v>4743</v>
      </c>
      <c r="C1471" s="172" t="s">
        <v>172</v>
      </c>
      <c r="D1471" s="177" t="s">
        <v>440</v>
      </c>
      <c r="E1471" s="172">
        <v>37000</v>
      </c>
      <c r="F1471" s="311">
        <f t="shared" si="13"/>
        <v>65.960473631854981</v>
      </c>
      <c r="G1471" s="312">
        <v>560.94200000000001</v>
      </c>
      <c r="H1471" s="172" t="s">
        <v>182</v>
      </c>
      <c r="I1471" s="172" t="s">
        <v>2479</v>
      </c>
      <c r="J1471" s="177" t="s">
        <v>96</v>
      </c>
      <c r="K1471" s="125" t="s">
        <v>1906</v>
      </c>
      <c r="L1471" s="177" t="s">
        <v>153</v>
      </c>
      <c r="M1471" s="125"/>
      <c r="N1471" s="125"/>
    </row>
    <row r="1472" spans="1:14" ht="15.6" hidden="1">
      <c r="A1472" s="237">
        <v>45883</v>
      </c>
      <c r="B1472" s="172" t="s">
        <v>4880</v>
      </c>
      <c r="C1472" s="172" t="s">
        <v>172</v>
      </c>
      <c r="D1472" s="177" t="s">
        <v>440</v>
      </c>
      <c r="E1472" s="172">
        <v>2500</v>
      </c>
      <c r="F1472" s="311">
        <f t="shared" si="13"/>
        <v>4.4567887589091209</v>
      </c>
      <c r="G1472" s="312">
        <v>560.94200000000001</v>
      </c>
      <c r="H1472" s="172" t="s">
        <v>182</v>
      </c>
      <c r="I1472" s="172" t="s">
        <v>2477</v>
      </c>
      <c r="J1472" s="177" t="s">
        <v>96</v>
      </c>
      <c r="K1472" s="125" t="s">
        <v>1906</v>
      </c>
      <c r="L1472" s="177" t="s">
        <v>153</v>
      </c>
      <c r="M1472" s="125"/>
      <c r="N1472" s="125"/>
    </row>
    <row r="1473" spans="1:14" ht="15.6" hidden="1">
      <c r="A1473" s="237">
        <v>45883</v>
      </c>
      <c r="B1473" s="172" t="s">
        <v>4761</v>
      </c>
      <c r="C1473" s="172" t="s">
        <v>175</v>
      </c>
      <c r="D1473" s="177" t="s">
        <v>440</v>
      </c>
      <c r="E1473" s="172">
        <v>180000</v>
      </c>
      <c r="F1473" s="311">
        <f t="shared" si="13"/>
        <v>320.88879064145669</v>
      </c>
      <c r="G1473" s="312">
        <v>560.94200000000001</v>
      </c>
      <c r="H1473" s="172" t="s">
        <v>182</v>
      </c>
      <c r="I1473" s="172" t="s">
        <v>2480</v>
      </c>
      <c r="J1473" s="177" t="s">
        <v>96</v>
      </c>
      <c r="K1473" s="125" t="s">
        <v>1906</v>
      </c>
      <c r="L1473" s="177" t="s">
        <v>153</v>
      </c>
      <c r="M1473" s="125"/>
      <c r="N1473" s="125"/>
    </row>
    <row r="1474" spans="1:14" ht="15.6" hidden="1">
      <c r="A1474" s="237">
        <v>45883</v>
      </c>
      <c r="B1474" s="172" t="s">
        <v>4881</v>
      </c>
      <c r="C1474" s="172" t="s">
        <v>172</v>
      </c>
      <c r="D1474" s="177" t="s">
        <v>440</v>
      </c>
      <c r="E1474" s="172">
        <v>1000</v>
      </c>
      <c r="F1474" s="311">
        <f t="shared" si="13"/>
        <v>1.7827155035636482</v>
      </c>
      <c r="G1474" s="312">
        <v>560.94200000000001</v>
      </c>
      <c r="H1474" s="172" t="s">
        <v>182</v>
      </c>
      <c r="I1474" s="172" t="s">
        <v>2477</v>
      </c>
      <c r="J1474" s="177" t="s">
        <v>96</v>
      </c>
      <c r="K1474" s="125" t="s">
        <v>1906</v>
      </c>
      <c r="L1474" s="177" t="s">
        <v>153</v>
      </c>
      <c r="M1474" s="125"/>
      <c r="N1474" s="125"/>
    </row>
    <row r="1475" spans="1:14" ht="15.6" hidden="1">
      <c r="A1475" s="360">
        <v>45883</v>
      </c>
      <c r="B1475" s="177" t="s">
        <v>4833</v>
      </c>
      <c r="C1475" s="177" t="s">
        <v>172</v>
      </c>
      <c r="D1475" s="177" t="s">
        <v>440</v>
      </c>
      <c r="E1475" s="177">
        <v>37000</v>
      </c>
      <c r="F1475" s="311">
        <f t="shared" si="13"/>
        <v>65.960473631854981</v>
      </c>
      <c r="G1475" s="312">
        <v>560.94200000000001</v>
      </c>
      <c r="H1475" s="177" t="s">
        <v>173</v>
      </c>
      <c r="I1475" s="177" t="s">
        <v>2498</v>
      </c>
      <c r="J1475" s="177" t="s">
        <v>96</v>
      </c>
      <c r="K1475" s="125" t="s">
        <v>1906</v>
      </c>
      <c r="L1475" s="177" t="s">
        <v>153</v>
      </c>
      <c r="M1475" s="76"/>
      <c r="N1475" s="76"/>
    </row>
    <row r="1476" spans="1:14" ht="15.6" hidden="1">
      <c r="A1476" s="360">
        <v>45883</v>
      </c>
      <c r="B1476" s="177" t="s">
        <v>4882</v>
      </c>
      <c r="C1476" s="177" t="s">
        <v>2394</v>
      </c>
      <c r="D1476" s="177" t="s">
        <v>440</v>
      </c>
      <c r="E1476" s="177">
        <v>180000</v>
      </c>
      <c r="F1476" s="311">
        <f t="shared" si="13"/>
        <v>320.88879064145669</v>
      </c>
      <c r="G1476" s="312">
        <v>560.94200000000001</v>
      </c>
      <c r="H1476" s="177" t="s">
        <v>173</v>
      </c>
      <c r="I1476" s="177" t="s">
        <v>2499</v>
      </c>
      <c r="J1476" s="177" t="s">
        <v>96</v>
      </c>
      <c r="K1476" s="125" t="s">
        <v>1906</v>
      </c>
      <c r="L1476" s="177" t="s">
        <v>153</v>
      </c>
      <c r="M1476" s="76"/>
      <c r="N1476" s="76"/>
    </row>
    <row r="1477" spans="1:14" ht="15.6" hidden="1">
      <c r="A1477" s="360">
        <v>45883</v>
      </c>
      <c r="B1477" s="177" t="s">
        <v>4883</v>
      </c>
      <c r="C1477" s="177" t="s">
        <v>1011</v>
      </c>
      <c r="D1477" s="177" t="s">
        <v>440</v>
      </c>
      <c r="E1477" s="177">
        <v>2000</v>
      </c>
      <c r="F1477" s="311">
        <f t="shared" si="13"/>
        <v>3.5654310071272963</v>
      </c>
      <c r="G1477" s="312">
        <v>560.94200000000001</v>
      </c>
      <c r="H1477" s="177" t="s">
        <v>173</v>
      </c>
      <c r="I1477" s="177" t="s">
        <v>2496</v>
      </c>
      <c r="J1477" s="177" t="s">
        <v>96</v>
      </c>
      <c r="K1477" s="125" t="s">
        <v>1906</v>
      </c>
      <c r="L1477" s="177" t="s">
        <v>153</v>
      </c>
      <c r="M1477" s="76"/>
      <c r="N1477" s="76"/>
    </row>
    <row r="1478" spans="1:14" ht="15.6" hidden="1">
      <c r="A1478" s="360">
        <v>45883</v>
      </c>
      <c r="B1478" s="177" t="s">
        <v>4884</v>
      </c>
      <c r="C1478" s="177" t="s">
        <v>1011</v>
      </c>
      <c r="D1478" s="177" t="s">
        <v>440</v>
      </c>
      <c r="E1478" s="177">
        <v>500</v>
      </c>
      <c r="F1478" s="311">
        <f t="shared" si="13"/>
        <v>0.89135775178182408</v>
      </c>
      <c r="G1478" s="312">
        <v>560.94200000000001</v>
      </c>
      <c r="H1478" s="177" t="s">
        <v>173</v>
      </c>
      <c r="I1478" s="177" t="s">
        <v>2496</v>
      </c>
      <c r="J1478" s="177" t="s">
        <v>96</v>
      </c>
      <c r="K1478" s="125" t="s">
        <v>1906</v>
      </c>
      <c r="L1478" s="177" t="s">
        <v>153</v>
      </c>
      <c r="M1478" s="76"/>
      <c r="N1478" s="76"/>
    </row>
    <row r="1479" spans="1:14" ht="15.6" hidden="1">
      <c r="A1479" s="356">
        <v>45883</v>
      </c>
      <c r="B1479" s="177" t="s">
        <v>2620</v>
      </c>
      <c r="C1479" s="377" t="s">
        <v>194</v>
      </c>
      <c r="D1479" s="377" t="s">
        <v>115</v>
      </c>
      <c r="E1479" s="351">
        <v>37000</v>
      </c>
      <c r="F1479" s="311">
        <f t="shared" si="13"/>
        <v>65.960473631854981</v>
      </c>
      <c r="G1479" s="312">
        <v>560.94200000000001</v>
      </c>
      <c r="H1479" s="252" t="s">
        <v>195</v>
      </c>
      <c r="I1479" s="177" t="s">
        <v>2666</v>
      </c>
      <c r="J1479" s="177" t="s">
        <v>96</v>
      </c>
      <c r="K1479" s="125" t="s">
        <v>1906</v>
      </c>
      <c r="L1479" s="177" t="s">
        <v>153</v>
      </c>
      <c r="M1479" s="76"/>
      <c r="N1479" s="76"/>
    </row>
    <row r="1480" spans="1:14" ht="15.6" hidden="1">
      <c r="A1480" s="356">
        <v>45883</v>
      </c>
      <c r="B1480" s="177" t="s">
        <v>2621</v>
      </c>
      <c r="C1480" s="377" t="s">
        <v>194</v>
      </c>
      <c r="D1480" s="377" t="s">
        <v>115</v>
      </c>
      <c r="E1480" s="351">
        <v>2500</v>
      </c>
      <c r="F1480" s="311">
        <f t="shared" si="13"/>
        <v>4.4567887589091209</v>
      </c>
      <c r="G1480" s="312">
        <v>560.94200000000001</v>
      </c>
      <c r="H1480" s="252" t="s">
        <v>195</v>
      </c>
      <c r="I1480" s="177" t="s">
        <v>2667</v>
      </c>
      <c r="J1480" s="177" t="s">
        <v>96</v>
      </c>
      <c r="K1480" s="125" t="s">
        <v>1906</v>
      </c>
      <c r="L1480" s="177" t="s">
        <v>153</v>
      </c>
      <c r="M1480" s="76"/>
      <c r="N1480" s="76"/>
    </row>
    <row r="1481" spans="1:14" ht="15.6" hidden="1">
      <c r="A1481" s="356">
        <v>45883</v>
      </c>
      <c r="B1481" s="177" t="s">
        <v>2622</v>
      </c>
      <c r="C1481" s="377" t="s">
        <v>194</v>
      </c>
      <c r="D1481" s="377" t="s">
        <v>115</v>
      </c>
      <c r="E1481" s="351">
        <v>500</v>
      </c>
      <c r="F1481" s="311">
        <f t="shared" si="13"/>
        <v>0.89135775178182408</v>
      </c>
      <c r="G1481" s="312">
        <v>560.94200000000001</v>
      </c>
      <c r="H1481" s="252" t="s">
        <v>195</v>
      </c>
      <c r="I1481" s="177" t="s">
        <v>2667</v>
      </c>
      <c r="J1481" s="177" t="s">
        <v>96</v>
      </c>
      <c r="K1481" s="125" t="s">
        <v>1906</v>
      </c>
      <c r="L1481" s="177" t="s">
        <v>153</v>
      </c>
      <c r="M1481" s="76"/>
      <c r="N1481" s="76"/>
    </row>
    <row r="1482" spans="1:14" ht="15.6" hidden="1">
      <c r="A1482" s="356">
        <v>45883</v>
      </c>
      <c r="B1482" s="177" t="s">
        <v>2623</v>
      </c>
      <c r="C1482" s="177" t="s">
        <v>175</v>
      </c>
      <c r="D1482" s="177" t="s">
        <v>115</v>
      </c>
      <c r="E1482" s="351">
        <v>190000</v>
      </c>
      <c r="F1482" s="311">
        <f t="shared" si="13"/>
        <v>338.71594567709315</v>
      </c>
      <c r="G1482" s="312">
        <v>560.94200000000001</v>
      </c>
      <c r="H1482" s="252" t="s">
        <v>195</v>
      </c>
      <c r="I1482" s="177" t="s">
        <v>2668</v>
      </c>
      <c r="J1482" s="177" t="s">
        <v>96</v>
      </c>
      <c r="K1482" s="125" t="s">
        <v>1906</v>
      </c>
      <c r="L1482" s="177" t="s">
        <v>153</v>
      </c>
      <c r="M1482" s="76"/>
      <c r="N1482" s="76"/>
    </row>
    <row r="1483" spans="1:14" ht="15.6" hidden="1">
      <c r="A1483" s="357">
        <v>45883</v>
      </c>
      <c r="B1483" s="177" t="s">
        <v>2679</v>
      </c>
      <c r="C1483" s="177" t="s">
        <v>172</v>
      </c>
      <c r="D1483" s="177" t="s">
        <v>118</v>
      </c>
      <c r="E1483" s="351">
        <v>37000</v>
      </c>
      <c r="F1483" s="311">
        <f t="shared" si="13"/>
        <v>65.960473631854981</v>
      </c>
      <c r="G1483" s="312">
        <v>560.94200000000001</v>
      </c>
      <c r="H1483" s="177" t="s">
        <v>211</v>
      </c>
      <c r="I1483" s="177" t="s">
        <v>2700</v>
      </c>
      <c r="J1483" s="177" t="s">
        <v>96</v>
      </c>
      <c r="K1483" s="125" t="s">
        <v>1906</v>
      </c>
      <c r="L1483" s="177" t="s">
        <v>153</v>
      </c>
      <c r="M1483" s="76"/>
      <c r="N1483" s="76"/>
    </row>
    <row r="1484" spans="1:14" ht="15.6" hidden="1">
      <c r="A1484" s="357">
        <v>45883</v>
      </c>
      <c r="B1484" s="177" t="s">
        <v>2681</v>
      </c>
      <c r="C1484" s="177" t="s">
        <v>172</v>
      </c>
      <c r="D1484" s="177" t="s">
        <v>118</v>
      </c>
      <c r="E1484" s="351">
        <v>1000</v>
      </c>
      <c r="F1484" s="311">
        <f t="shared" si="13"/>
        <v>1.7827155035636482</v>
      </c>
      <c r="G1484" s="312">
        <v>560.94200000000001</v>
      </c>
      <c r="H1484" s="177" t="s">
        <v>211</v>
      </c>
      <c r="I1484" s="177" t="s">
        <v>2699</v>
      </c>
      <c r="J1484" s="177" t="s">
        <v>96</v>
      </c>
      <c r="K1484" s="125" t="s">
        <v>1906</v>
      </c>
      <c r="L1484" s="177" t="s">
        <v>153</v>
      </c>
      <c r="M1484" s="76"/>
      <c r="N1484" s="76"/>
    </row>
    <row r="1485" spans="1:14" ht="15.6" hidden="1">
      <c r="A1485" s="357">
        <v>45883</v>
      </c>
      <c r="B1485" s="177" t="s">
        <v>2682</v>
      </c>
      <c r="C1485" s="177" t="s">
        <v>172</v>
      </c>
      <c r="D1485" s="177" t="s">
        <v>118</v>
      </c>
      <c r="E1485" s="351">
        <v>500</v>
      </c>
      <c r="F1485" s="311">
        <f t="shared" si="13"/>
        <v>0.89135775178182408</v>
      </c>
      <c r="G1485" s="312">
        <v>560.94200000000001</v>
      </c>
      <c r="H1485" s="177" t="s">
        <v>211</v>
      </c>
      <c r="I1485" s="177" t="s">
        <v>2699</v>
      </c>
      <c r="J1485" s="177" t="s">
        <v>96</v>
      </c>
      <c r="K1485" s="125" t="s">
        <v>1906</v>
      </c>
      <c r="L1485" s="177" t="s">
        <v>153</v>
      </c>
      <c r="M1485" s="76"/>
      <c r="N1485" s="76"/>
    </row>
    <row r="1486" spans="1:14" ht="15.6" hidden="1">
      <c r="A1486" s="357">
        <v>45883</v>
      </c>
      <c r="B1486" s="177" t="s">
        <v>2683</v>
      </c>
      <c r="C1486" s="177" t="s">
        <v>175</v>
      </c>
      <c r="D1486" s="177" t="s">
        <v>118</v>
      </c>
      <c r="E1486" s="351">
        <v>200000</v>
      </c>
      <c r="F1486" s="311">
        <f t="shared" si="13"/>
        <v>356.54310071272965</v>
      </c>
      <c r="G1486" s="312">
        <v>560.94200000000001</v>
      </c>
      <c r="H1486" s="177" t="s">
        <v>211</v>
      </c>
      <c r="I1486" s="177" t="s">
        <v>2701</v>
      </c>
      <c r="J1486" s="177" t="s">
        <v>96</v>
      </c>
      <c r="K1486" s="125" t="s">
        <v>1906</v>
      </c>
      <c r="L1486" s="177" t="s">
        <v>153</v>
      </c>
      <c r="M1486" s="76"/>
      <c r="N1486" s="76"/>
    </row>
    <row r="1487" spans="1:14" ht="15.6" hidden="1">
      <c r="A1487" s="357">
        <v>45883</v>
      </c>
      <c r="B1487" s="177" t="s">
        <v>2707</v>
      </c>
      <c r="C1487" s="177" t="s">
        <v>172</v>
      </c>
      <c r="D1487" s="177" t="s">
        <v>115</v>
      </c>
      <c r="E1487" s="177">
        <v>1500</v>
      </c>
      <c r="F1487" s="311">
        <f t="shared" si="13"/>
        <v>2.6740732553454722</v>
      </c>
      <c r="G1487" s="312">
        <v>560.94200000000001</v>
      </c>
      <c r="H1487" s="177" t="s">
        <v>185</v>
      </c>
      <c r="I1487" s="177" t="s">
        <v>2719</v>
      </c>
      <c r="J1487" s="177" t="s">
        <v>96</v>
      </c>
      <c r="K1487" s="125" t="s">
        <v>1906</v>
      </c>
      <c r="L1487" s="177" t="s">
        <v>153</v>
      </c>
      <c r="M1487" s="76"/>
      <c r="N1487" s="76"/>
    </row>
    <row r="1488" spans="1:14" ht="15.6" hidden="1">
      <c r="A1488" s="357">
        <v>45883</v>
      </c>
      <c r="B1488" s="177" t="s">
        <v>2708</v>
      </c>
      <c r="C1488" s="177" t="s">
        <v>172</v>
      </c>
      <c r="D1488" s="177" t="s">
        <v>115</v>
      </c>
      <c r="E1488" s="177">
        <v>1500</v>
      </c>
      <c r="F1488" s="311">
        <f t="shared" si="13"/>
        <v>2.6740732553454722</v>
      </c>
      <c r="G1488" s="312">
        <v>560.94200000000001</v>
      </c>
      <c r="H1488" s="177" t="s">
        <v>185</v>
      </c>
      <c r="I1488" s="177" t="s">
        <v>2719</v>
      </c>
      <c r="J1488" s="177" t="s">
        <v>96</v>
      </c>
      <c r="K1488" s="125" t="s">
        <v>1906</v>
      </c>
      <c r="L1488" s="177" t="s">
        <v>153</v>
      </c>
      <c r="M1488" s="76"/>
      <c r="N1488" s="76"/>
    </row>
    <row r="1489" spans="1:14" ht="15.6" hidden="1">
      <c r="A1489" s="367">
        <v>45883</v>
      </c>
      <c r="B1489" s="320" t="s">
        <v>2726</v>
      </c>
      <c r="C1489" s="328" t="s">
        <v>125</v>
      </c>
      <c r="D1489" s="333" t="s">
        <v>117</v>
      </c>
      <c r="E1489" s="324">
        <v>1311000</v>
      </c>
      <c r="F1489" s="311">
        <f t="shared" si="13"/>
        <v>2337.1400251719429</v>
      </c>
      <c r="G1489" s="312">
        <v>560.94200000000001</v>
      </c>
      <c r="H1489" s="177" t="s">
        <v>146</v>
      </c>
      <c r="I1489" s="177" t="s">
        <v>2744</v>
      </c>
      <c r="J1489" s="177" t="s">
        <v>96</v>
      </c>
      <c r="K1489" s="125" t="s">
        <v>1906</v>
      </c>
      <c r="L1489" s="177" t="s">
        <v>153</v>
      </c>
      <c r="M1489" s="76"/>
      <c r="N1489" s="76"/>
    </row>
    <row r="1490" spans="1:14" ht="15.6" hidden="1">
      <c r="A1490" s="366">
        <v>45883</v>
      </c>
      <c r="B1490" s="320" t="s">
        <v>2727</v>
      </c>
      <c r="C1490" s="177" t="s">
        <v>121</v>
      </c>
      <c r="D1490" s="177" t="s">
        <v>115</v>
      </c>
      <c r="E1490" s="324">
        <v>300000</v>
      </c>
      <c r="F1490" s="311">
        <f t="shared" si="13"/>
        <v>534.81465106909445</v>
      </c>
      <c r="G1490" s="312">
        <v>560.94200000000001</v>
      </c>
      <c r="H1490" s="177" t="s">
        <v>146</v>
      </c>
      <c r="I1490" s="177" t="s">
        <v>2745</v>
      </c>
      <c r="J1490" s="177" t="s">
        <v>96</v>
      </c>
      <c r="K1490" s="125" t="s">
        <v>1906</v>
      </c>
      <c r="L1490" s="177" t="s">
        <v>153</v>
      </c>
      <c r="M1490" s="76"/>
      <c r="N1490" s="76"/>
    </row>
    <row r="1491" spans="1:14" ht="15.6" hidden="1">
      <c r="A1491" s="237">
        <v>45884</v>
      </c>
      <c r="B1491" s="172" t="s">
        <v>2395</v>
      </c>
      <c r="C1491" s="172" t="s">
        <v>2394</v>
      </c>
      <c r="D1491" s="172" t="s">
        <v>115</v>
      </c>
      <c r="E1491" s="387">
        <v>15000</v>
      </c>
      <c r="F1491" s="311">
        <f t="shared" si="13"/>
        <v>26.740732553454723</v>
      </c>
      <c r="G1491" s="312">
        <v>560.94200000000001</v>
      </c>
      <c r="H1491" s="172" t="s">
        <v>198</v>
      </c>
      <c r="I1491" s="376" t="s">
        <v>2797</v>
      </c>
      <c r="J1491" s="177" t="s">
        <v>96</v>
      </c>
      <c r="K1491" s="125" t="s">
        <v>1906</v>
      </c>
      <c r="L1491" s="177" t="s">
        <v>153</v>
      </c>
      <c r="M1491" s="125"/>
      <c r="N1491" s="125"/>
    </row>
    <row r="1492" spans="1:14" ht="15.6" hidden="1">
      <c r="A1492" s="355">
        <v>45884</v>
      </c>
      <c r="B1492" s="376" t="s">
        <v>2396</v>
      </c>
      <c r="C1492" s="376" t="s">
        <v>172</v>
      </c>
      <c r="D1492" s="376" t="s">
        <v>115</v>
      </c>
      <c r="E1492" s="386">
        <v>500</v>
      </c>
      <c r="F1492" s="311">
        <f t="shared" si="13"/>
        <v>0.89135775178182408</v>
      </c>
      <c r="G1492" s="312">
        <v>560.94200000000001</v>
      </c>
      <c r="H1492" s="172" t="s">
        <v>198</v>
      </c>
      <c r="I1492" s="376" t="s">
        <v>2426</v>
      </c>
      <c r="J1492" s="177" t="s">
        <v>96</v>
      </c>
      <c r="K1492" s="125" t="s">
        <v>1906</v>
      </c>
      <c r="L1492" s="177" t="s">
        <v>153</v>
      </c>
      <c r="M1492" s="125"/>
      <c r="N1492" s="125"/>
    </row>
    <row r="1493" spans="1:14" ht="15.6" hidden="1">
      <c r="A1493" s="355">
        <v>45884</v>
      </c>
      <c r="B1493" s="376" t="s">
        <v>2397</v>
      </c>
      <c r="C1493" s="376" t="s">
        <v>172</v>
      </c>
      <c r="D1493" s="376" t="s">
        <v>115</v>
      </c>
      <c r="E1493" s="386">
        <v>500</v>
      </c>
      <c r="F1493" s="311">
        <f t="shared" si="13"/>
        <v>0.89135775178182408</v>
      </c>
      <c r="G1493" s="312">
        <v>560.94200000000001</v>
      </c>
      <c r="H1493" s="172" t="s">
        <v>198</v>
      </c>
      <c r="I1493" s="376" t="s">
        <v>2426</v>
      </c>
      <c r="J1493" s="177" t="s">
        <v>96</v>
      </c>
      <c r="K1493" s="125" t="s">
        <v>1906</v>
      </c>
      <c r="L1493" s="177" t="s">
        <v>153</v>
      </c>
      <c r="M1493" s="125"/>
      <c r="N1493" s="125"/>
    </row>
    <row r="1494" spans="1:14" ht="15.6" hidden="1">
      <c r="A1494" s="356">
        <v>45884</v>
      </c>
      <c r="B1494" s="177" t="s">
        <v>2398</v>
      </c>
      <c r="C1494" s="377" t="s">
        <v>150</v>
      </c>
      <c r="D1494" s="377" t="s">
        <v>115</v>
      </c>
      <c r="E1494" s="386">
        <v>5000</v>
      </c>
      <c r="F1494" s="311">
        <f t="shared" si="13"/>
        <v>8.9135775178182417</v>
      </c>
      <c r="G1494" s="312">
        <v>560.94200000000001</v>
      </c>
      <c r="H1494" s="172" t="s">
        <v>198</v>
      </c>
      <c r="I1494" s="376" t="s">
        <v>2798</v>
      </c>
      <c r="J1494" s="177" t="s">
        <v>96</v>
      </c>
      <c r="K1494" s="125" t="s">
        <v>1906</v>
      </c>
      <c r="L1494" s="177" t="s">
        <v>153</v>
      </c>
      <c r="M1494" s="125"/>
      <c r="N1494" s="125"/>
    </row>
    <row r="1495" spans="1:14" ht="15.6" hidden="1">
      <c r="A1495" s="359">
        <v>45884</v>
      </c>
      <c r="B1495" s="177" t="s">
        <v>2443</v>
      </c>
      <c r="C1495" s="177" t="s">
        <v>172</v>
      </c>
      <c r="D1495" s="177" t="s">
        <v>116</v>
      </c>
      <c r="E1495" s="324">
        <v>1500</v>
      </c>
      <c r="F1495" s="311">
        <f t="shared" si="13"/>
        <v>2.6740732553454722</v>
      </c>
      <c r="G1495" s="312">
        <v>560.94200000000001</v>
      </c>
      <c r="H1495" s="177" t="s">
        <v>581</v>
      </c>
      <c r="I1495" s="177" t="s">
        <v>2467</v>
      </c>
      <c r="J1495" s="177" t="s">
        <v>96</v>
      </c>
      <c r="K1495" s="125" t="s">
        <v>1906</v>
      </c>
      <c r="L1495" s="177" t="s">
        <v>153</v>
      </c>
      <c r="M1495" s="125"/>
      <c r="N1495" s="125"/>
    </row>
    <row r="1496" spans="1:14" ht="15.6" hidden="1">
      <c r="A1496" s="359">
        <v>45884</v>
      </c>
      <c r="B1496" s="177" t="s">
        <v>2444</v>
      </c>
      <c r="C1496" s="177" t="s">
        <v>172</v>
      </c>
      <c r="D1496" s="177" t="s">
        <v>116</v>
      </c>
      <c r="E1496" s="324">
        <v>1500</v>
      </c>
      <c r="F1496" s="311">
        <f t="shared" si="13"/>
        <v>2.6740732553454722</v>
      </c>
      <c r="G1496" s="312">
        <v>560.94200000000001</v>
      </c>
      <c r="H1496" s="177" t="s">
        <v>581</v>
      </c>
      <c r="I1496" s="177" t="s">
        <v>2467</v>
      </c>
      <c r="J1496" s="177" t="s">
        <v>96</v>
      </c>
      <c r="K1496" s="125" t="s">
        <v>1906</v>
      </c>
      <c r="L1496" s="177" t="s">
        <v>153</v>
      </c>
      <c r="M1496" s="125"/>
      <c r="N1496" s="125"/>
    </row>
    <row r="1497" spans="1:14" ht="15.6" hidden="1">
      <c r="A1497" s="237">
        <v>45884</v>
      </c>
      <c r="B1497" s="172" t="s">
        <v>4885</v>
      </c>
      <c r="C1497" s="172" t="s">
        <v>172</v>
      </c>
      <c r="D1497" s="177" t="s">
        <v>440</v>
      </c>
      <c r="E1497" s="172">
        <v>1000</v>
      </c>
      <c r="F1497" s="311">
        <f t="shared" si="13"/>
        <v>1.7827155035636482</v>
      </c>
      <c r="G1497" s="312">
        <v>560.94200000000001</v>
      </c>
      <c r="H1497" s="172" t="s">
        <v>182</v>
      </c>
      <c r="I1497" s="172" t="s">
        <v>2477</v>
      </c>
      <c r="J1497" s="177" t="s">
        <v>96</v>
      </c>
      <c r="K1497" s="125" t="s">
        <v>1906</v>
      </c>
      <c r="L1497" s="177" t="s">
        <v>153</v>
      </c>
      <c r="M1497" s="125"/>
      <c r="N1497" s="125"/>
    </row>
    <row r="1498" spans="1:14" ht="15.6" hidden="1">
      <c r="A1498" s="237">
        <v>45884</v>
      </c>
      <c r="B1498" s="172" t="s">
        <v>4821</v>
      </c>
      <c r="C1498" s="172" t="s">
        <v>175</v>
      </c>
      <c r="D1498" s="177" t="s">
        <v>440</v>
      </c>
      <c r="E1498" s="172">
        <v>15000</v>
      </c>
      <c r="F1498" s="311">
        <f t="shared" si="13"/>
        <v>26.740732553454723</v>
      </c>
      <c r="G1498" s="312">
        <v>560.94200000000001</v>
      </c>
      <c r="H1498" s="172" t="s">
        <v>182</v>
      </c>
      <c r="I1498" s="172" t="s">
        <v>2481</v>
      </c>
      <c r="J1498" s="177" t="s">
        <v>96</v>
      </c>
      <c r="K1498" s="125" t="s">
        <v>1906</v>
      </c>
      <c r="L1498" s="177" t="s">
        <v>153</v>
      </c>
      <c r="M1498" s="125"/>
      <c r="N1498" s="125"/>
    </row>
    <row r="1499" spans="1:14" ht="15.6" hidden="1">
      <c r="A1499" s="237">
        <v>45884</v>
      </c>
      <c r="B1499" s="172" t="s">
        <v>4886</v>
      </c>
      <c r="C1499" s="172" t="s">
        <v>172</v>
      </c>
      <c r="D1499" s="177" t="s">
        <v>440</v>
      </c>
      <c r="E1499" s="172">
        <v>1000</v>
      </c>
      <c r="F1499" s="311">
        <f t="shared" si="13"/>
        <v>1.7827155035636482</v>
      </c>
      <c r="G1499" s="312">
        <v>560.94200000000001</v>
      </c>
      <c r="H1499" s="172" t="s">
        <v>182</v>
      </c>
      <c r="I1499" s="172" t="s">
        <v>2477</v>
      </c>
      <c r="J1499" s="177" t="s">
        <v>96</v>
      </c>
      <c r="K1499" s="125" t="s">
        <v>1906</v>
      </c>
      <c r="L1499" s="177" t="s">
        <v>153</v>
      </c>
      <c r="M1499" s="125"/>
      <c r="N1499" s="125"/>
    </row>
    <row r="1500" spans="1:14" ht="15.6" hidden="1">
      <c r="A1500" s="237">
        <v>45884</v>
      </c>
      <c r="B1500" s="172" t="s">
        <v>2471</v>
      </c>
      <c r="C1500" s="172" t="s">
        <v>150</v>
      </c>
      <c r="D1500" s="177" t="s">
        <v>440</v>
      </c>
      <c r="E1500" s="172">
        <v>5000</v>
      </c>
      <c r="F1500" s="311">
        <f t="shared" si="13"/>
        <v>8.9135775178182417</v>
      </c>
      <c r="G1500" s="312">
        <v>560.94200000000001</v>
      </c>
      <c r="H1500" s="172" t="s">
        <v>182</v>
      </c>
      <c r="I1500" s="172" t="s">
        <v>2482</v>
      </c>
      <c r="J1500" s="177" t="s">
        <v>96</v>
      </c>
      <c r="K1500" s="125" t="s">
        <v>1906</v>
      </c>
      <c r="L1500" s="177" t="s">
        <v>153</v>
      </c>
      <c r="M1500" s="125"/>
      <c r="N1500" s="125"/>
    </row>
    <row r="1501" spans="1:14" ht="15.6" hidden="1">
      <c r="A1501" s="360">
        <v>45884</v>
      </c>
      <c r="B1501" s="177" t="s">
        <v>4753</v>
      </c>
      <c r="C1501" s="177" t="s">
        <v>2394</v>
      </c>
      <c r="D1501" s="177" t="s">
        <v>440</v>
      </c>
      <c r="E1501" s="177">
        <v>15000</v>
      </c>
      <c r="F1501" s="311">
        <f t="shared" si="13"/>
        <v>26.740732553454723</v>
      </c>
      <c r="G1501" s="312">
        <v>560.94200000000001</v>
      </c>
      <c r="H1501" s="177" t="s">
        <v>173</v>
      </c>
      <c r="I1501" s="177" t="s">
        <v>2500</v>
      </c>
      <c r="J1501" s="177" t="s">
        <v>96</v>
      </c>
      <c r="K1501" s="125" t="s">
        <v>1906</v>
      </c>
      <c r="L1501" s="177" t="s">
        <v>153</v>
      </c>
      <c r="M1501" s="76"/>
      <c r="N1501" s="76"/>
    </row>
    <row r="1502" spans="1:14" ht="15.6" hidden="1">
      <c r="A1502" s="360">
        <v>45884</v>
      </c>
      <c r="B1502" s="177" t="s">
        <v>4887</v>
      </c>
      <c r="C1502" s="177" t="s">
        <v>172</v>
      </c>
      <c r="D1502" s="177" t="s">
        <v>440</v>
      </c>
      <c r="E1502" s="177">
        <v>500</v>
      </c>
      <c r="F1502" s="311">
        <f t="shared" si="13"/>
        <v>0.89135775178182408</v>
      </c>
      <c r="G1502" s="312">
        <v>560.94200000000001</v>
      </c>
      <c r="H1502" s="177" t="s">
        <v>173</v>
      </c>
      <c r="I1502" s="177" t="s">
        <v>2496</v>
      </c>
      <c r="J1502" s="177" t="s">
        <v>96</v>
      </c>
      <c r="K1502" s="125" t="s">
        <v>1906</v>
      </c>
      <c r="L1502" s="177" t="s">
        <v>153</v>
      </c>
      <c r="M1502" s="76"/>
      <c r="N1502" s="76"/>
    </row>
    <row r="1503" spans="1:14" ht="15.6" hidden="1">
      <c r="A1503" s="360">
        <v>45884</v>
      </c>
      <c r="B1503" s="177" t="s">
        <v>4888</v>
      </c>
      <c r="C1503" s="177" t="s">
        <v>172</v>
      </c>
      <c r="D1503" s="177" t="s">
        <v>440</v>
      </c>
      <c r="E1503" s="177">
        <v>500</v>
      </c>
      <c r="F1503" s="311">
        <f t="shared" si="13"/>
        <v>0.89135775178182408</v>
      </c>
      <c r="G1503" s="312">
        <v>560.94200000000001</v>
      </c>
      <c r="H1503" s="177" t="s">
        <v>173</v>
      </c>
      <c r="I1503" s="177" t="s">
        <v>2496</v>
      </c>
      <c r="J1503" s="177" t="s">
        <v>96</v>
      </c>
      <c r="K1503" s="125" t="s">
        <v>1906</v>
      </c>
      <c r="L1503" s="177" t="s">
        <v>153</v>
      </c>
      <c r="M1503" s="76"/>
      <c r="N1503" s="76"/>
    </row>
    <row r="1504" spans="1:14" ht="15.6" hidden="1">
      <c r="A1504" s="360">
        <v>45884</v>
      </c>
      <c r="B1504" s="172" t="s">
        <v>2494</v>
      </c>
      <c r="C1504" s="172" t="s">
        <v>150</v>
      </c>
      <c r="D1504" s="177" t="s">
        <v>440</v>
      </c>
      <c r="E1504" s="177">
        <v>5000</v>
      </c>
      <c r="F1504" s="311">
        <f t="shared" ref="F1504:F1567" si="14">E1504/G1504</f>
        <v>8.9135775178182417</v>
      </c>
      <c r="G1504" s="312">
        <v>560.94200000000001</v>
      </c>
      <c r="H1504" s="177" t="s">
        <v>173</v>
      </c>
      <c r="I1504" s="177" t="s">
        <v>2501</v>
      </c>
      <c r="J1504" s="177" t="s">
        <v>96</v>
      </c>
      <c r="K1504" s="125" t="s">
        <v>1906</v>
      </c>
      <c r="L1504" s="177" t="s">
        <v>153</v>
      </c>
      <c r="M1504" s="76"/>
      <c r="N1504" s="76"/>
    </row>
    <row r="1505" spans="1:14" ht="15.6" hidden="1">
      <c r="A1505" s="356">
        <v>45884</v>
      </c>
      <c r="B1505" s="177" t="s">
        <v>2624</v>
      </c>
      <c r="C1505" s="177" t="s">
        <v>175</v>
      </c>
      <c r="D1505" s="177" t="s">
        <v>115</v>
      </c>
      <c r="E1505" s="351">
        <v>15000</v>
      </c>
      <c r="F1505" s="311">
        <f t="shared" si="14"/>
        <v>26.740732553454723</v>
      </c>
      <c r="G1505" s="312">
        <v>560.94200000000001</v>
      </c>
      <c r="H1505" s="252" t="s">
        <v>195</v>
      </c>
      <c r="I1505" s="177" t="s">
        <v>2669</v>
      </c>
      <c r="J1505" s="177" t="s">
        <v>96</v>
      </c>
      <c r="K1505" s="125" t="s">
        <v>1906</v>
      </c>
      <c r="L1505" s="177" t="s">
        <v>153</v>
      </c>
      <c r="M1505" s="76"/>
      <c r="N1505" s="76"/>
    </row>
    <row r="1506" spans="1:14" ht="15.6" hidden="1">
      <c r="A1506" s="356">
        <v>45884</v>
      </c>
      <c r="B1506" s="177" t="s">
        <v>2625</v>
      </c>
      <c r="C1506" s="377" t="s">
        <v>194</v>
      </c>
      <c r="D1506" s="377" t="s">
        <v>115</v>
      </c>
      <c r="E1506" s="351">
        <v>500</v>
      </c>
      <c r="F1506" s="311">
        <f t="shared" si="14"/>
        <v>0.89135775178182408</v>
      </c>
      <c r="G1506" s="312">
        <v>560.94200000000001</v>
      </c>
      <c r="H1506" s="252" t="s">
        <v>195</v>
      </c>
      <c r="I1506" s="177" t="s">
        <v>2667</v>
      </c>
      <c r="J1506" s="177" t="s">
        <v>96</v>
      </c>
      <c r="K1506" s="125" t="s">
        <v>1906</v>
      </c>
      <c r="L1506" s="177" t="s">
        <v>153</v>
      </c>
      <c r="M1506" s="76"/>
      <c r="N1506" s="76"/>
    </row>
    <row r="1507" spans="1:14" ht="15.6" hidden="1">
      <c r="A1507" s="356">
        <v>45884</v>
      </c>
      <c r="B1507" s="177" t="s">
        <v>2626</v>
      </c>
      <c r="C1507" s="377" t="s">
        <v>194</v>
      </c>
      <c r="D1507" s="377" t="s">
        <v>115</v>
      </c>
      <c r="E1507" s="351">
        <v>500</v>
      </c>
      <c r="F1507" s="311">
        <f t="shared" si="14"/>
        <v>0.89135775178182408</v>
      </c>
      <c r="G1507" s="312">
        <v>560.94200000000001</v>
      </c>
      <c r="H1507" s="252" t="s">
        <v>195</v>
      </c>
      <c r="I1507" s="177" t="s">
        <v>2667</v>
      </c>
      <c r="J1507" s="177" t="s">
        <v>96</v>
      </c>
      <c r="K1507" s="125" t="s">
        <v>1906</v>
      </c>
      <c r="L1507" s="177" t="s">
        <v>153</v>
      </c>
      <c r="M1507" s="76"/>
      <c r="N1507" s="76"/>
    </row>
    <row r="1508" spans="1:14" ht="15.6" hidden="1">
      <c r="A1508" s="356">
        <v>45884</v>
      </c>
      <c r="B1508" s="177" t="s">
        <v>2398</v>
      </c>
      <c r="C1508" s="377" t="s">
        <v>150</v>
      </c>
      <c r="D1508" s="377" t="s">
        <v>115</v>
      </c>
      <c r="E1508" s="351">
        <v>5000</v>
      </c>
      <c r="F1508" s="311">
        <f t="shared" si="14"/>
        <v>8.9135775178182417</v>
      </c>
      <c r="G1508" s="312">
        <v>560.94200000000001</v>
      </c>
      <c r="H1508" s="252" t="s">
        <v>195</v>
      </c>
      <c r="I1508" s="177" t="s">
        <v>2670</v>
      </c>
      <c r="J1508" s="177" t="s">
        <v>96</v>
      </c>
      <c r="K1508" s="125" t="s">
        <v>1906</v>
      </c>
      <c r="L1508" s="177" t="s">
        <v>153</v>
      </c>
      <c r="M1508" s="76"/>
      <c r="N1508" s="76"/>
    </row>
    <row r="1509" spans="1:14" ht="15.6" hidden="1">
      <c r="A1509" s="357">
        <v>45884</v>
      </c>
      <c r="B1509" s="177" t="s">
        <v>2721</v>
      </c>
      <c r="C1509" s="177" t="s">
        <v>175</v>
      </c>
      <c r="D1509" s="177" t="s">
        <v>118</v>
      </c>
      <c r="E1509" s="351">
        <v>15000</v>
      </c>
      <c r="F1509" s="311">
        <f t="shared" si="14"/>
        <v>26.740732553454723</v>
      </c>
      <c r="G1509" s="312">
        <v>560.94200000000001</v>
      </c>
      <c r="H1509" s="177" t="s">
        <v>211</v>
      </c>
      <c r="I1509" s="177" t="s">
        <v>2702</v>
      </c>
      <c r="J1509" s="177" t="s">
        <v>96</v>
      </c>
      <c r="K1509" s="125" t="s">
        <v>1906</v>
      </c>
      <c r="L1509" s="177" t="s">
        <v>153</v>
      </c>
      <c r="M1509" s="76"/>
      <c r="N1509" s="76"/>
    </row>
    <row r="1510" spans="1:14" ht="15.6" hidden="1">
      <c r="A1510" s="357">
        <v>45884</v>
      </c>
      <c r="B1510" s="177" t="s">
        <v>2684</v>
      </c>
      <c r="C1510" s="177" t="s">
        <v>172</v>
      </c>
      <c r="D1510" s="177" t="s">
        <v>118</v>
      </c>
      <c r="E1510" s="351">
        <v>500</v>
      </c>
      <c r="F1510" s="311">
        <f t="shared" si="14"/>
        <v>0.89135775178182408</v>
      </c>
      <c r="G1510" s="312">
        <v>560.94200000000001</v>
      </c>
      <c r="H1510" s="177" t="s">
        <v>211</v>
      </c>
      <c r="I1510" s="177" t="s">
        <v>2699</v>
      </c>
      <c r="J1510" s="177" t="s">
        <v>96</v>
      </c>
      <c r="K1510" s="125" t="s">
        <v>1906</v>
      </c>
      <c r="L1510" s="177" t="s">
        <v>153</v>
      </c>
      <c r="M1510" s="76"/>
      <c r="N1510" s="76"/>
    </row>
    <row r="1511" spans="1:14" ht="15.6" hidden="1">
      <c r="A1511" s="357">
        <v>45884</v>
      </c>
      <c r="B1511" s="177" t="s">
        <v>2398</v>
      </c>
      <c r="C1511" s="377" t="s">
        <v>150</v>
      </c>
      <c r="D1511" s="177" t="s">
        <v>118</v>
      </c>
      <c r="E1511" s="351">
        <v>5000</v>
      </c>
      <c r="F1511" s="311">
        <f t="shared" si="14"/>
        <v>8.9135775178182417</v>
      </c>
      <c r="G1511" s="312">
        <v>560.94200000000001</v>
      </c>
      <c r="H1511" s="177" t="s">
        <v>211</v>
      </c>
      <c r="I1511" s="177" t="s">
        <v>2703</v>
      </c>
      <c r="J1511" s="177" t="s">
        <v>96</v>
      </c>
      <c r="K1511" s="125" t="s">
        <v>1906</v>
      </c>
      <c r="L1511" s="177" t="s">
        <v>153</v>
      </c>
      <c r="M1511" s="76"/>
      <c r="N1511" s="76"/>
    </row>
    <row r="1512" spans="1:14" ht="15.6" hidden="1">
      <c r="A1512" s="237">
        <v>45885</v>
      </c>
      <c r="B1512" s="172" t="s">
        <v>2399</v>
      </c>
      <c r="C1512" s="172" t="s">
        <v>2394</v>
      </c>
      <c r="D1512" s="172" t="s">
        <v>115</v>
      </c>
      <c r="E1512" s="387">
        <v>15000</v>
      </c>
      <c r="F1512" s="311">
        <f t="shared" si="14"/>
        <v>26.740732553454723</v>
      </c>
      <c r="G1512" s="312">
        <v>560.94200000000001</v>
      </c>
      <c r="H1512" s="172" t="s">
        <v>198</v>
      </c>
      <c r="I1512" s="376" t="s">
        <v>2799</v>
      </c>
      <c r="J1512" s="177" t="s">
        <v>96</v>
      </c>
      <c r="K1512" s="125" t="s">
        <v>1906</v>
      </c>
      <c r="L1512" s="177" t="s">
        <v>153</v>
      </c>
      <c r="M1512" s="125"/>
      <c r="N1512" s="125"/>
    </row>
    <row r="1513" spans="1:14" ht="15.6" hidden="1">
      <c r="A1513" s="355">
        <v>45885</v>
      </c>
      <c r="B1513" s="376" t="s">
        <v>2400</v>
      </c>
      <c r="C1513" s="376" t="s">
        <v>172</v>
      </c>
      <c r="D1513" s="376" t="s">
        <v>115</v>
      </c>
      <c r="E1513" s="386">
        <v>500</v>
      </c>
      <c r="F1513" s="311">
        <f t="shared" si="14"/>
        <v>0.89135775178182408</v>
      </c>
      <c r="G1513" s="312">
        <v>560.94200000000001</v>
      </c>
      <c r="H1513" s="172" t="s">
        <v>198</v>
      </c>
      <c r="I1513" s="376" t="s">
        <v>2426</v>
      </c>
      <c r="J1513" s="177" t="s">
        <v>96</v>
      </c>
      <c r="K1513" s="125" t="s">
        <v>1906</v>
      </c>
      <c r="L1513" s="177" t="s">
        <v>153</v>
      </c>
      <c r="M1513" s="125"/>
      <c r="N1513" s="125"/>
    </row>
    <row r="1514" spans="1:14" ht="15.6" hidden="1">
      <c r="A1514" s="355">
        <v>45885</v>
      </c>
      <c r="B1514" s="376" t="s">
        <v>2401</v>
      </c>
      <c r="C1514" s="376" t="s">
        <v>172</v>
      </c>
      <c r="D1514" s="376" t="s">
        <v>115</v>
      </c>
      <c r="E1514" s="386">
        <v>500</v>
      </c>
      <c r="F1514" s="311">
        <f t="shared" si="14"/>
        <v>0.89135775178182408</v>
      </c>
      <c r="G1514" s="312">
        <v>560.94200000000001</v>
      </c>
      <c r="H1514" s="172" t="s">
        <v>198</v>
      </c>
      <c r="I1514" s="376" t="s">
        <v>2426</v>
      </c>
      <c r="J1514" s="177" t="s">
        <v>96</v>
      </c>
      <c r="K1514" s="125" t="s">
        <v>1906</v>
      </c>
      <c r="L1514" s="177" t="s">
        <v>153</v>
      </c>
      <c r="M1514" s="125"/>
      <c r="N1514" s="125"/>
    </row>
    <row r="1515" spans="1:14" ht="15.6" hidden="1">
      <c r="A1515" s="237">
        <v>45885</v>
      </c>
      <c r="B1515" s="172" t="s">
        <v>4889</v>
      </c>
      <c r="C1515" s="172" t="s">
        <v>172</v>
      </c>
      <c r="D1515" s="177" t="s">
        <v>440</v>
      </c>
      <c r="E1515" s="172">
        <v>1000</v>
      </c>
      <c r="F1515" s="311">
        <f t="shared" si="14"/>
        <v>1.7827155035636482</v>
      </c>
      <c r="G1515" s="312">
        <v>560.94200000000001</v>
      </c>
      <c r="H1515" s="172" t="s">
        <v>182</v>
      </c>
      <c r="I1515" s="172" t="s">
        <v>2477</v>
      </c>
      <c r="J1515" s="177" t="s">
        <v>96</v>
      </c>
      <c r="K1515" s="125" t="s">
        <v>1906</v>
      </c>
      <c r="L1515" s="177" t="s">
        <v>153</v>
      </c>
      <c r="M1515" s="125"/>
      <c r="N1515" s="125"/>
    </row>
    <row r="1516" spans="1:14" ht="15.6" hidden="1">
      <c r="A1516" s="237">
        <v>45885</v>
      </c>
      <c r="B1516" s="172" t="s">
        <v>4759</v>
      </c>
      <c r="C1516" s="172" t="s">
        <v>175</v>
      </c>
      <c r="D1516" s="177" t="s">
        <v>440</v>
      </c>
      <c r="E1516" s="172">
        <v>15000</v>
      </c>
      <c r="F1516" s="311">
        <f t="shared" si="14"/>
        <v>26.740732553454723</v>
      </c>
      <c r="G1516" s="312">
        <v>560.94200000000001</v>
      </c>
      <c r="H1516" s="172" t="s">
        <v>182</v>
      </c>
      <c r="I1516" s="172" t="s">
        <v>2483</v>
      </c>
      <c r="J1516" s="177" t="s">
        <v>96</v>
      </c>
      <c r="K1516" s="125" t="s">
        <v>1906</v>
      </c>
      <c r="L1516" s="177" t="s">
        <v>153</v>
      </c>
      <c r="M1516" s="125"/>
      <c r="N1516" s="125"/>
    </row>
    <row r="1517" spans="1:14" ht="15.6" hidden="1">
      <c r="A1517" s="237">
        <v>45885</v>
      </c>
      <c r="B1517" s="172" t="s">
        <v>4886</v>
      </c>
      <c r="C1517" s="172" t="s">
        <v>172</v>
      </c>
      <c r="D1517" s="177" t="s">
        <v>440</v>
      </c>
      <c r="E1517" s="172">
        <v>1000</v>
      </c>
      <c r="F1517" s="311">
        <f t="shared" si="14"/>
        <v>1.7827155035636482</v>
      </c>
      <c r="G1517" s="312">
        <v>560.94200000000001</v>
      </c>
      <c r="H1517" s="172" t="s">
        <v>182</v>
      </c>
      <c r="I1517" s="172" t="s">
        <v>2477</v>
      </c>
      <c r="J1517" s="177" t="s">
        <v>96</v>
      </c>
      <c r="K1517" s="125" t="s">
        <v>1906</v>
      </c>
      <c r="L1517" s="177" t="s">
        <v>153</v>
      </c>
      <c r="M1517" s="125"/>
      <c r="N1517" s="125"/>
    </row>
    <row r="1518" spans="1:14" ht="15.6" hidden="1">
      <c r="A1518" s="360">
        <v>45885</v>
      </c>
      <c r="B1518" s="177" t="s">
        <v>4754</v>
      </c>
      <c r="C1518" s="177" t="s">
        <v>2394</v>
      </c>
      <c r="D1518" s="177" t="s">
        <v>440</v>
      </c>
      <c r="E1518" s="177">
        <v>15000</v>
      </c>
      <c r="F1518" s="311">
        <f t="shared" si="14"/>
        <v>26.740732553454723</v>
      </c>
      <c r="G1518" s="312">
        <v>560.94200000000001</v>
      </c>
      <c r="H1518" s="177" t="s">
        <v>173</v>
      </c>
      <c r="I1518" s="177" t="s">
        <v>2502</v>
      </c>
      <c r="J1518" s="177" t="s">
        <v>96</v>
      </c>
      <c r="K1518" s="125" t="s">
        <v>1906</v>
      </c>
      <c r="L1518" s="177" t="s">
        <v>153</v>
      </c>
      <c r="M1518" s="76"/>
      <c r="N1518" s="76"/>
    </row>
    <row r="1519" spans="1:14" ht="15.6" hidden="1">
      <c r="A1519" s="360">
        <v>45885</v>
      </c>
      <c r="B1519" s="177" t="s">
        <v>4890</v>
      </c>
      <c r="C1519" s="177" t="s">
        <v>172</v>
      </c>
      <c r="D1519" s="177" t="s">
        <v>440</v>
      </c>
      <c r="E1519" s="177">
        <v>500</v>
      </c>
      <c r="F1519" s="311">
        <f t="shared" si="14"/>
        <v>0.89135775178182408</v>
      </c>
      <c r="G1519" s="312">
        <v>560.94200000000001</v>
      </c>
      <c r="H1519" s="177" t="s">
        <v>173</v>
      </c>
      <c r="I1519" s="177" t="s">
        <v>2496</v>
      </c>
      <c r="J1519" s="177" t="s">
        <v>96</v>
      </c>
      <c r="K1519" s="125" t="s">
        <v>1906</v>
      </c>
      <c r="L1519" s="177" t="s">
        <v>153</v>
      </c>
      <c r="M1519" s="76"/>
      <c r="N1519" s="76"/>
    </row>
    <row r="1520" spans="1:14" ht="15.6" hidden="1">
      <c r="A1520" s="360">
        <v>45885</v>
      </c>
      <c r="B1520" s="177" t="s">
        <v>4891</v>
      </c>
      <c r="C1520" s="177" t="s">
        <v>172</v>
      </c>
      <c r="D1520" s="177" t="s">
        <v>440</v>
      </c>
      <c r="E1520" s="177">
        <v>500</v>
      </c>
      <c r="F1520" s="311">
        <f t="shared" si="14"/>
        <v>0.89135775178182408</v>
      </c>
      <c r="G1520" s="312">
        <v>560.94200000000001</v>
      </c>
      <c r="H1520" s="177" t="s">
        <v>173</v>
      </c>
      <c r="I1520" s="177" t="s">
        <v>2496</v>
      </c>
      <c r="J1520" s="177" t="s">
        <v>96</v>
      </c>
      <c r="K1520" s="125" t="s">
        <v>1906</v>
      </c>
      <c r="L1520" s="177" t="s">
        <v>153</v>
      </c>
      <c r="M1520" s="76"/>
      <c r="N1520" s="76"/>
    </row>
    <row r="1521" spans="1:14" ht="15.6" hidden="1">
      <c r="A1521" s="356">
        <v>45885</v>
      </c>
      <c r="B1521" s="177" t="s">
        <v>2627</v>
      </c>
      <c r="C1521" s="177" t="s">
        <v>175</v>
      </c>
      <c r="D1521" s="177" t="s">
        <v>115</v>
      </c>
      <c r="E1521" s="351">
        <v>15000</v>
      </c>
      <c r="F1521" s="311">
        <f t="shared" si="14"/>
        <v>26.740732553454723</v>
      </c>
      <c r="G1521" s="312">
        <v>560.94200000000001</v>
      </c>
      <c r="H1521" s="252" t="s">
        <v>195</v>
      </c>
      <c r="I1521" s="177" t="s">
        <v>2671</v>
      </c>
      <c r="J1521" s="177" t="s">
        <v>96</v>
      </c>
      <c r="K1521" s="125" t="s">
        <v>1906</v>
      </c>
      <c r="L1521" s="177" t="s">
        <v>153</v>
      </c>
      <c r="M1521" s="76"/>
      <c r="N1521" s="76"/>
    </row>
    <row r="1522" spans="1:14" ht="15.6" hidden="1">
      <c r="A1522" s="356">
        <v>45885</v>
      </c>
      <c r="B1522" s="177" t="s">
        <v>2628</v>
      </c>
      <c r="C1522" s="377" t="s">
        <v>194</v>
      </c>
      <c r="D1522" s="377" t="s">
        <v>115</v>
      </c>
      <c r="E1522" s="351">
        <v>500</v>
      </c>
      <c r="F1522" s="311">
        <f t="shared" si="14"/>
        <v>0.89135775178182408</v>
      </c>
      <c r="G1522" s="312">
        <v>560.94200000000001</v>
      </c>
      <c r="H1522" s="252" t="s">
        <v>195</v>
      </c>
      <c r="I1522" s="177" t="s">
        <v>2667</v>
      </c>
      <c r="J1522" s="177" t="s">
        <v>96</v>
      </c>
      <c r="K1522" s="125" t="s">
        <v>1906</v>
      </c>
      <c r="L1522" s="177" t="s">
        <v>153</v>
      </c>
      <c r="M1522" s="76"/>
      <c r="N1522" s="76"/>
    </row>
    <row r="1523" spans="1:14" ht="15.6" hidden="1">
      <c r="A1523" s="356">
        <v>45885</v>
      </c>
      <c r="B1523" s="177" t="s">
        <v>2629</v>
      </c>
      <c r="C1523" s="377" t="s">
        <v>194</v>
      </c>
      <c r="D1523" s="377" t="s">
        <v>115</v>
      </c>
      <c r="E1523" s="351">
        <v>500</v>
      </c>
      <c r="F1523" s="311">
        <f t="shared" si="14"/>
        <v>0.89135775178182408</v>
      </c>
      <c r="G1523" s="312">
        <v>560.94200000000001</v>
      </c>
      <c r="H1523" s="252" t="s">
        <v>195</v>
      </c>
      <c r="I1523" s="177" t="s">
        <v>2667</v>
      </c>
      <c r="J1523" s="177" t="s">
        <v>96</v>
      </c>
      <c r="K1523" s="125" t="s">
        <v>1906</v>
      </c>
      <c r="L1523" s="177" t="s">
        <v>153</v>
      </c>
      <c r="M1523" s="76"/>
      <c r="N1523" s="76"/>
    </row>
    <row r="1524" spans="1:14" ht="15.6" hidden="1">
      <c r="A1524" s="357">
        <v>45885</v>
      </c>
      <c r="B1524" s="177" t="s">
        <v>2685</v>
      </c>
      <c r="C1524" s="177" t="s">
        <v>175</v>
      </c>
      <c r="D1524" s="177" t="s">
        <v>118</v>
      </c>
      <c r="E1524" s="351">
        <v>15000</v>
      </c>
      <c r="F1524" s="311">
        <f t="shared" si="14"/>
        <v>26.740732553454723</v>
      </c>
      <c r="G1524" s="312">
        <v>560.94200000000001</v>
      </c>
      <c r="H1524" s="177" t="s">
        <v>211</v>
      </c>
      <c r="I1524" s="177" t="s">
        <v>2704</v>
      </c>
      <c r="J1524" s="177" t="s">
        <v>96</v>
      </c>
      <c r="K1524" s="125" t="s">
        <v>1906</v>
      </c>
      <c r="L1524" s="177" t="s">
        <v>153</v>
      </c>
      <c r="M1524" s="76"/>
      <c r="N1524" s="76"/>
    </row>
    <row r="1525" spans="1:14" ht="15.6" hidden="1">
      <c r="A1525" s="357">
        <v>45885</v>
      </c>
      <c r="B1525" s="177" t="s">
        <v>2686</v>
      </c>
      <c r="C1525" s="177" t="s">
        <v>172</v>
      </c>
      <c r="D1525" s="177" t="s">
        <v>118</v>
      </c>
      <c r="E1525" s="351">
        <v>500</v>
      </c>
      <c r="F1525" s="311">
        <f t="shared" si="14"/>
        <v>0.89135775178182408</v>
      </c>
      <c r="G1525" s="312">
        <v>560.94200000000001</v>
      </c>
      <c r="H1525" s="177" t="s">
        <v>211</v>
      </c>
      <c r="I1525" s="177" t="s">
        <v>2699</v>
      </c>
      <c r="J1525" s="177" t="s">
        <v>96</v>
      </c>
      <c r="K1525" s="125" t="s">
        <v>1906</v>
      </c>
      <c r="L1525" s="177" t="s">
        <v>153</v>
      </c>
      <c r="M1525" s="76"/>
      <c r="N1525" s="76"/>
    </row>
    <row r="1526" spans="1:14" ht="15.6" hidden="1">
      <c r="A1526" s="353">
        <v>45887</v>
      </c>
      <c r="B1526" s="377" t="s">
        <v>2103</v>
      </c>
      <c r="C1526" s="299" t="s">
        <v>172</v>
      </c>
      <c r="D1526" s="299" t="s">
        <v>117</v>
      </c>
      <c r="E1526" s="377">
        <v>1000</v>
      </c>
      <c r="F1526" s="311">
        <f t="shared" si="14"/>
        <v>1.7827155035636482</v>
      </c>
      <c r="G1526" s="312">
        <v>560.94200000000001</v>
      </c>
      <c r="H1526" s="384" t="s">
        <v>151</v>
      </c>
      <c r="I1526" s="385" t="s">
        <v>2428</v>
      </c>
      <c r="J1526" s="177" t="s">
        <v>96</v>
      </c>
      <c r="K1526" s="125" t="s">
        <v>1906</v>
      </c>
      <c r="L1526" s="177" t="s">
        <v>153</v>
      </c>
      <c r="M1526" s="125"/>
      <c r="N1526" s="125"/>
    </row>
    <row r="1527" spans="1:14" ht="15.6" hidden="1">
      <c r="A1527" s="353">
        <v>45887</v>
      </c>
      <c r="B1527" s="377" t="s">
        <v>2112</v>
      </c>
      <c r="C1527" s="299" t="s">
        <v>172</v>
      </c>
      <c r="D1527" s="299" t="s">
        <v>117</v>
      </c>
      <c r="E1527" s="377">
        <v>1000</v>
      </c>
      <c r="F1527" s="311">
        <f t="shared" si="14"/>
        <v>1.7827155035636482</v>
      </c>
      <c r="G1527" s="312">
        <v>560.94200000000001</v>
      </c>
      <c r="H1527" s="384" t="s">
        <v>151</v>
      </c>
      <c r="I1527" s="385" t="s">
        <v>2428</v>
      </c>
      <c r="J1527" s="177" t="s">
        <v>96</v>
      </c>
      <c r="K1527" s="125" t="s">
        <v>1906</v>
      </c>
      <c r="L1527" s="177" t="s">
        <v>153</v>
      </c>
      <c r="M1527" s="125"/>
      <c r="N1527" s="125"/>
    </row>
    <row r="1528" spans="1:14" ht="15.6" hidden="1">
      <c r="A1528" s="353">
        <v>45887</v>
      </c>
      <c r="B1528" s="377" t="s">
        <v>2113</v>
      </c>
      <c r="C1528" s="299" t="s">
        <v>172</v>
      </c>
      <c r="D1528" s="299" t="s">
        <v>117</v>
      </c>
      <c r="E1528" s="377">
        <v>1000</v>
      </c>
      <c r="F1528" s="311">
        <f t="shared" si="14"/>
        <v>1.7827155035636482</v>
      </c>
      <c r="G1528" s="312">
        <v>560.94200000000001</v>
      </c>
      <c r="H1528" s="384" t="s">
        <v>151</v>
      </c>
      <c r="I1528" s="385" t="s">
        <v>2428</v>
      </c>
      <c r="J1528" s="177" t="s">
        <v>96</v>
      </c>
      <c r="K1528" s="125" t="s">
        <v>1906</v>
      </c>
      <c r="L1528" s="177" t="s">
        <v>153</v>
      </c>
      <c r="M1528" s="125"/>
      <c r="N1528" s="125"/>
    </row>
    <row r="1529" spans="1:14" ht="15.6" hidden="1">
      <c r="A1529" s="353">
        <v>45887</v>
      </c>
      <c r="B1529" s="377" t="s">
        <v>2104</v>
      </c>
      <c r="C1529" s="299" t="s">
        <v>172</v>
      </c>
      <c r="D1529" s="299" t="s">
        <v>117</v>
      </c>
      <c r="E1529" s="377">
        <v>1000</v>
      </c>
      <c r="F1529" s="311">
        <f t="shared" si="14"/>
        <v>1.7827155035636482</v>
      </c>
      <c r="G1529" s="312">
        <v>560.94200000000001</v>
      </c>
      <c r="H1529" s="384" t="s">
        <v>151</v>
      </c>
      <c r="I1529" s="385" t="s">
        <v>2428</v>
      </c>
      <c r="J1529" s="177" t="s">
        <v>96</v>
      </c>
      <c r="K1529" s="125" t="s">
        <v>1906</v>
      </c>
      <c r="L1529" s="177" t="s">
        <v>153</v>
      </c>
      <c r="M1529" s="125"/>
      <c r="N1529" s="125"/>
    </row>
    <row r="1530" spans="1:14" ht="15.6" hidden="1">
      <c r="A1530" s="353">
        <v>45887</v>
      </c>
      <c r="B1530" s="377" t="s">
        <v>2389</v>
      </c>
      <c r="C1530" s="299" t="s">
        <v>150</v>
      </c>
      <c r="D1530" s="299" t="s">
        <v>117</v>
      </c>
      <c r="E1530" s="377">
        <v>15000</v>
      </c>
      <c r="F1530" s="311">
        <f t="shared" si="14"/>
        <v>26.740732553454723</v>
      </c>
      <c r="G1530" s="312">
        <v>560.94200000000001</v>
      </c>
      <c r="H1530" s="384" t="s">
        <v>151</v>
      </c>
      <c r="I1530" s="385" t="s">
        <v>2430</v>
      </c>
      <c r="J1530" s="177" t="s">
        <v>96</v>
      </c>
      <c r="K1530" s="125" t="s">
        <v>1906</v>
      </c>
      <c r="L1530" s="177" t="s">
        <v>153</v>
      </c>
      <c r="M1530" s="125"/>
      <c r="N1530" s="125"/>
    </row>
    <row r="1531" spans="1:14" ht="15.6" hidden="1">
      <c r="A1531" s="353">
        <v>45887</v>
      </c>
      <c r="B1531" s="177" t="s">
        <v>2346</v>
      </c>
      <c r="C1531" s="299" t="s">
        <v>125</v>
      </c>
      <c r="D1531" s="299" t="s">
        <v>117</v>
      </c>
      <c r="E1531" s="377">
        <v>300000</v>
      </c>
      <c r="F1531" s="311">
        <f t="shared" si="14"/>
        <v>534.81465106909445</v>
      </c>
      <c r="G1531" s="312">
        <v>560.94200000000001</v>
      </c>
      <c r="H1531" s="177" t="s">
        <v>151</v>
      </c>
      <c r="I1531" s="177" t="s">
        <v>2347</v>
      </c>
      <c r="J1531" s="177" t="s">
        <v>96</v>
      </c>
      <c r="K1531" s="125" t="s">
        <v>1906</v>
      </c>
      <c r="L1531" s="177" t="s">
        <v>153</v>
      </c>
      <c r="M1531" s="125"/>
      <c r="N1531" s="125"/>
    </row>
    <row r="1532" spans="1:14" ht="15.6" hidden="1">
      <c r="A1532" s="357">
        <v>45887</v>
      </c>
      <c r="B1532" s="177" t="s">
        <v>2402</v>
      </c>
      <c r="C1532" s="177" t="s">
        <v>150</v>
      </c>
      <c r="D1532" s="177" t="s">
        <v>115</v>
      </c>
      <c r="E1532" s="386">
        <v>5000</v>
      </c>
      <c r="F1532" s="311">
        <f t="shared" si="14"/>
        <v>8.9135775178182417</v>
      </c>
      <c r="G1532" s="312">
        <v>560.94200000000001</v>
      </c>
      <c r="H1532" s="172" t="s">
        <v>198</v>
      </c>
      <c r="I1532" s="376" t="s">
        <v>2800</v>
      </c>
      <c r="J1532" s="177" t="s">
        <v>96</v>
      </c>
      <c r="K1532" s="125" t="s">
        <v>1906</v>
      </c>
      <c r="L1532" s="177" t="s">
        <v>153</v>
      </c>
      <c r="M1532" s="125"/>
      <c r="N1532" s="125"/>
    </row>
    <row r="1533" spans="1:14" ht="15.6" hidden="1">
      <c r="A1533" s="357">
        <v>45887</v>
      </c>
      <c r="B1533" s="177" t="s">
        <v>2403</v>
      </c>
      <c r="C1533" s="177" t="s">
        <v>150</v>
      </c>
      <c r="D1533" s="177" t="s">
        <v>115</v>
      </c>
      <c r="E1533" s="386">
        <v>5000</v>
      </c>
      <c r="F1533" s="311">
        <f t="shared" si="14"/>
        <v>8.9135775178182417</v>
      </c>
      <c r="G1533" s="312">
        <v>560.94200000000001</v>
      </c>
      <c r="H1533" s="172" t="s">
        <v>198</v>
      </c>
      <c r="I1533" s="376" t="s">
        <v>2801</v>
      </c>
      <c r="J1533" s="177" t="s">
        <v>96</v>
      </c>
      <c r="K1533" s="125" t="s">
        <v>1906</v>
      </c>
      <c r="L1533" s="177" t="s">
        <v>153</v>
      </c>
      <c r="M1533" s="125"/>
      <c r="N1533" s="125"/>
    </row>
    <row r="1534" spans="1:14" ht="15.6" hidden="1">
      <c r="A1534" s="359">
        <v>45887</v>
      </c>
      <c r="B1534" s="177" t="s">
        <v>2445</v>
      </c>
      <c r="C1534" s="177" t="s">
        <v>172</v>
      </c>
      <c r="D1534" s="177" t="s">
        <v>116</v>
      </c>
      <c r="E1534" s="324">
        <v>1000</v>
      </c>
      <c r="F1534" s="311">
        <f t="shared" si="14"/>
        <v>1.7827155035636482</v>
      </c>
      <c r="G1534" s="312">
        <v>560.94200000000001</v>
      </c>
      <c r="H1534" s="177" t="s">
        <v>581</v>
      </c>
      <c r="I1534" s="177" t="s">
        <v>2467</v>
      </c>
      <c r="J1534" s="177" t="s">
        <v>96</v>
      </c>
      <c r="K1534" s="125" t="s">
        <v>1906</v>
      </c>
      <c r="L1534" s="177" t="s">
        <v>153</v>
      </c>
      <c r="M1534" s="125"/>
      <c r="N1534" s="125"/>
    </row>
    <row r="1535" spans="1:14" ht="15.6" hidden="1">
      <c r="A1535" s="359">
        <v>45887</v>
      </c>
      <c r="B1535" s="177" t="s">
        <v>2446</v>
      </c>
      <c r="C1535" s="177" t="s">
        <v>172</v>
      </c>
      <c r="D1535" s="177" t="s">
        <v>116</v>
      </c>
      <c r="E1535" s="324">
        <v>1000</v>
      </c>
      <c r="F1535" s="311">
        <f t="shared" si="14"/>
        <v>1.7827155035636482</v>
      </c>
      <c r="G1535" s="312">
        <v>560.94200000000001</v>
      </c>
      <c r="H1535" s="177" t="s">
        <v>581</v>
      </c>
      <c r="I1535" s="177" t="s">
        <v>2467</v>
      </c>
      <c r="J1535" s="177" t="s">
        <v>96</v>
      </c>
      <c r="K1535" s="125" t="s">
        <v>1906</v>
      </c>
      <c r="L1535" s="177" t="s">
        <v>153</v>
      </c>
      <c r="M1535" s="143"/>
      <c r="N1535" s="125"/>
    </row>
    <row r="1536" spans="1:14" ht="15.6" hidden="1">
      <c r="A1536" s="359">
        <v>45887</v>
      </c>
      <c r="B1536" s="177" t="s">
        <v>2447</v>
      </c>
      <c r="C1536" s="177" t="s">
        <v>172</v>
      </c>
      <c r="D1536" s="177" t="s">
        <v>116</v>
      </c>
      <c r="E1536" s="324">
        <v>1000</v>
      </c>
      <c r="F1536" s="311">
        <f t="shared" si="14"/>
        <v>1.7827155035636482</v>
      </c>
      <c r="G1536" s="312">
        <v>560.94200000000001</v>
      </c>
      <c r="H1536" s="177" t="s">
        <v>581</v>
      </c>
      <c r="I1536" s="177" t="s">
        <v>2467</v>
      </c>
      <c r="J1536" s="177" t="s">
        <v>96</v>
      </c>
      <c r="K1536" s="125" t="s">
        <v>1906</v>
      </c>
      <c r="L1536" s="177" t="s">
        <v>153</v>
      </c>
      <c r="M1536" s="125"/>
      <c r="N1536" s="125"/>
    </row>
    <row r="1537" spans="1:14" ht="15.6" hidden="1">
      <c r="A1537" s="359">
        <v>45887</v>
      </c>
      <c r="B1537" s="177" t="s">
        <v>2448</v>
      </c>
      <c r="C1537" s="351" t="s">
        <v>150</v>
      </c>
      <c r="D1537" s="177" t="s">
        <v>117</v>
      </c>
      <c r="E1537" s="324">
        <v>10000</v>
      </c>
      <c r="F1537" s="311">
        <f t="shared" si="14"/>
        <v>17.827155035636483</v>
      </c>
      <c r="G1537" s="312">
        <v>560.94200000000001</v>
      </c>
      <c r="H1537" s="177" t="s">
        <v>581</v>
      </c>
      <c r="I1537" s="177" t="s">
        <v>2468</v>
      </c>
      <c r="J1537" s="177" t="s">
        <v>96</v>
      </c>
      <c r="K1537" s="125" t="s">
        <v>1906</v>
      </c>
      <c r="L1537" s="177" t="s">
        <v>153</v>
      </c>
      <c r="M1537" s="125"/>
      <c r="N1537" s="125"/>
    </row>
    <row r="1538" spans="1:14" ht="15.6" hidden="1">
      <c r="A1538" s="237">
        <v>45887</v>
      </c>
      <c r="B1538" s="172" t="s">
        <v>4892</v>
      </c>
      <c r="C1538" s="172" t="s">
        <v>172</v>
      </c>
      <c r="D1538" s="177" t="s">
        <v>440</v>
      </c>
      <c r="E1538" s="172">
        <v>500</v>
      </c>
      <c r="F1538" s="311">
        <f t="shared" si="14"/>
        <v>0.89135775178182408</v>
      </c>
      <c r="G1538" s="312">
        <v>560.94200000000001</v>
      </c>
      <c r="H1538" s="172" t="s">
        <v>182</v>
      </c>
      <c r="I1538" s="172" t="s">
        <v>2477</v>
      </c>
      <c r="J1538" s="177" t="s">
        <v>96</v>
      </c>
      <c r="K1538" s="125" t="s">
        <v>1906</v>
      </c>
      <c r="L1538" s="177" t="s">
        <v>153</v>
      </c>
      <c r="M1538" s="184"/>
      <c r="N1538" s="184"/>
    </row>
    <row r="1539" spans="1:14" ht="15.6" hidden="1">
      <c r="A1539" s="237">
        <v>45887</v>
      </c>
      <c r="B1539" s="172" t="s">
        <v>4893</v>
      </c>
      <c r="C1539" s="172" t="s">
        <v>172</v>
      </c>
      <c r="D1539" s="177" t="s">
        <v>440</v>
      </c>
      <c r="E1539" s="172">
        <v>500</v>
      </c>
      <c r="F1539" s="311">
        <f t="shared" si="14"/>
        <v>0.89135775178182408</v>
      </c>
      <c r="G1539" s="312">
        <v>560.94200000000001</v>
      </c>
      <c r="H1539" s="172" t="s">
        <v>182</v>
      </c>
      <c r="I1539" s="172" t="s">
        <v>2477</v>
      </c>
      <c r="J1539" s="177" t="s">
        <v>96</v>
      </c>
      <c r="K1539" s="125" t="s">
        <v>1906</v>
      </c>
      <c r="L1539" s="177" t="s">
        <v>153</v>
      </c>
      <c r="M1539" s="125"/>
      <c r="N1539" s="125"/>
    </row>
    <row r="1540" spans="1:14" ht="15.6" hidden="1">
      <c r="A1540" s="237">
        <v>45887</v>
      </c>
      <c r="B1540" s="172" t="s">
        <v>4886</v>
      </c>
      <c r="C1540" s="172" t="s">
        <v>172</v>
      </c>
      <c r="D1540" s="177" t="s">
        <v>440</v>
      </c>
      <c r="E1540" s="172">
        <v>1000</v>
      </c>
      <c r="F1540" s="311">
        <f t="shared" si="14"/>
        <v>1.7827155035636482</v>
      </c>
      <c r="G1540" s="312">
        <v>560.94200000000001</v>
      </c>
      <c r="H1540" s="172" t="s">
        <v>182</v>
      </c>
      <c r="I1540" s="172" t="s">
        <v>2477</v>
      </c>
      <c r="J1540" s="177" t="s">
        <v>96</v>
      </c>
      <c r="K1540" s="125" t="s">
        <v>1906</v>
      </c>
      <c r="L1540" s="177" t="s">
        <v>153</v>
      </c>
      <c r="M1540" s="125"/>
      <c r="N1540" s="125"/>
    </row>
    <row r="1541" spans="1:14" ht="15.6" hidden="1">
      <c r="A1541" s="237">
        <v>45887</v>
      </c>
      <c r="B1541" s="172" t="s">
        <v>4894</v>
      </c>
      <c r="C1541" s="172" t="s">
        <v>172</v>
      </c>
      <c r="D1541" s="177" t="s">
        <v>440</v>
      </c>
      <c r="E1541" s="172">
        <v>1000</v>
      </c>
      <c r="F1541" s="311">
        <f t="shared" si="14"/>
        <v>1.7827155035636482</v>
      </c>
      <c r="G1541" s="312">
        <v>560.94200000000001</v>
      </c>
      <c r="H1541" s="172" t="s">
        <v>182</v>
      </c>
      <c r="I1541" s="172" t="s">
        <v>2477</v>
      </c>
      <c r="J1541" s="177" t="s">
        <v>96</v>
      </c>
      <c r="K1541" s="125" t="s">
        <v>1906</v>
      </c>
      <c r="L1541" s="177" t="s">
        <v>153</v>
      </c>
      <c r="M1541" s="125"/>
      <c r="N1541" s="125"/>
    </row>
    <row r="1542" spans="1:14" ht="15.6" hidden="1">
      <c r="A1542" s="237">
        <v>45887</v>
      </c>
      <c r="B1542" s="172" t="s">
        <v>4886</v>
      </c>
      <c r="C1542" s="172" t="s">
        <v>172</v>
      </c>
      <c r="D1542" s="177" t="s">
        <v>440</v>
      </c>
      <c r="E1542" s="172">
        <v>1000</v>
      </c>
      <c r="F1542" s="311">
        <f t="shared" si="14"/>
        <v>1.7827155035636482</v>
      </c>
      <c r="G1542" s="312">
        <v>560.94200000000001</v>
      </c>
      <c r="H1542" s="172" t="s">
        <v>182</v>
      </c>
      <c r="I1542" s="172" t="s">
        <v>2477</v>
      </c>
      <c r="J1542" s="177" t="s">
        <v>96</v>
      </c>
      <c r="K1542" s="125" t="s">
        <v>1906</v>
      </c>
      <c r="L1542" s="177" t="s">
        <v>153</v>
      </c>
      <c r="M1542" s="125"/>
      <c r="N1542" s="125"/>
    </row>
    <row r="1543" spans="1:14" ht="15.6" hidden="1">
      <c r="A1543" s="237">
        <v>45887</v>
      </c>
      <c r="B1543" s="172" t="s">
        <v>4895</v>
      </c>
      <c r="C1543" s="172" t="s">
        <v>172</v>
      </c>
      <c r="D1543" s="177" t="s">
        <v>440</v>
      </c>
      <c r="E1543" s="172">
        <v>500</v>
      </c>
      <c r="F1543" s="311">
        <f t="shared" si="14"/>
        <v>0.89135775178182408</v>
      </c>
      <c r="G1543" s="312">
        <v>560.94200000000001</v>
      </c>
      <c r="H1543" s="172" t="s">
        <v>182</v>
      </c>
      <c r="I1543" s="172" t="s">
        <v>2477</v>
      </c>
      <c r="J1543" s="177" t="s">
        <v>96</v>
      </c>
      <c r="K1543" s="125" t="s">
        <v>1906</v>
      </c>
      <c r="L1543" s="177" t="s">
        <v>153</v>
      </c>
      <c r="M1543" s="125"/>
      <c r="N1543" s="125"/>
    </row>
    <row r="1544" spans="1:14" ht="15.6" hidden="1">
      <c r="A1544" s="237">
        <v>45887</v>
      </c>
      <c r="B1544" s="172" t="s">
        <v>4886</v>
      </c>
      <c r="C1544" s="172" t="s">
        <v>172</v>
      </c>
      <c r="D1544" s="177" t="s">
        <v>440</v>
      </c>
      <c r="E1544" s="172">
        <v>1000</v>
      </c>
      <c r="F1544" s="311">
        <f t="shared" si="14"/>
        <v>1.7827155035636482</v>
      </c>
      <c r="G1544" s="312">
        <v>560.94200000000001</v>
      </c>
      <c r="H1544" s="172" t="s">
        <v>182</v>
      </c>
      <c r="I1544" s="172" t="s">
        <v>2477</v>
      </c>
      <c r="J1544" s="177" t="s">
        <v>96</v>
      </c>
      <c r="K1544" s="125" t="s">
        <v>1906</v>
      </c>
      <c r="L1544" s="177" t="s">
        <v>153</v>
      </c>
      <c r="M1544" s="125"/>
      <c r="N1544" s="125"/>
    </row>
    <row r="1545" spans="1:14" ht="15.6" hidden="1">
      <c r="A1545" s="237">
        <v>45887</v>
      </c>
      <c r="B1545" s="172" t="s">
        <v>2474</v>
      </c>
      <c r="C1545" s="172" t="s">
        <v>150</v>
      </c>
      <c r="D1545" s="177" t="s">
        <v>440</v>
      </c>
      <c r="E1545" s="172">
        <v>10000</v>
      </c>
      <c r="F1545" s="311">
        <f t="shared" si="14"/>
        <v>17.827155035636483</v>
      </c>
      <c r="G1545" s="312">
        <v>560.94200000000001</v>
      </c>
      <c r="H1545" s="172" t="s">
        <v>182</v>
      </c>
      <c r="I1545" s="172" t="s">
        <v>2484</v>
      </c>
      <c r="J1545" s="177" t="s">
        <v>96</v>
      </c>
      <c r="K1545" s="125" t="s">
        <v>1906</v>
      </c>
      <c r="L1545" s="177" t="s">
        <v>153</v>
      </c>
      <c r="M1545" s="76"/>
      <c r="N1545" s="76"/>
    </row>
    <row r="1546" spans="1:14" ht="15.6" hidden="1">
      <c r="A1546" s="237">
        <v>45887</v>
      </c>
      <c r="B1546" s="172" t="s">
        <v>2475</v>
      </c>
      <c r="C1546" s="172" t="s">
        <v>150</v>
      </c>
      <c r="D1546" s="177" t="s">
        <v>440</v>
      </c>
      <c r="E1546" s="172">
        <v>5000</v>
      </c>
      <c r="F1546" s="311">
        <f t="shared" si="14"/>
        <v>8.9135775178182417</v>
      </c>
      <c r="G1546" s="312">
        <v>560.94200000000001</v>
      </c>
      <c r="H1546" s="172" t="s">
        <v>182</v>
      </c>
      <c r="I1546" s="172" t="s">
        <v>2485</v>
      </c>
      <c r="J1546" s="177" t="s">
        <v>96</v>
      </c>
      <c r="K1546" s="125" t="s">
        <v>1906</v>
      </c>
      <c r="L1546" s="177" t="s">
        <v>153</v>
      </c>
      <c r="M1546" s="76"/>
      <c r="N1546" s="76"/>
    </row>
    <row r="1547" spans="1:14" ht="15.6" hidden="1">
      <c r="A1547" s="360">
        <v>45887</v>
      </c>
      <c r="B1547" s="177" t="s">
        <v>4890</v>
      </c>
      <c r="C1547" s="177" t="s">
        <v>172</v>
      </c>
      <c r="D1547" s="177" t="s">
        <v>440</v>
      </c>
      <c r="E1547" s="177">
        <v>500</v>
      </c>
      <c r="F1547" s="311">
        <f t="shared" si="14"/>
        <v>0.89135775178182408</v>
      </c>
      <c r="G1547" s="312">
        <v>560.94200000000001</v>
      </c>
      <c r="H1547" s="177" t="s">
        <v>173</v>
      </c>
      <c r="I1547" s="177" t="s">
        <v>2496</v>
      </c>
      <c r="J1547" s="177" t="s">
        <v>96</v>
      </c>
      <c r="K1547" s="125" t="s">
        <v>1906</v>
      </c>
      <c r="L1547" s="177" t="s">
        <v>153</v>
      </c>
      <c r="M1547" s="76"/>
      <c r="N1547" s="76"/>
    </row>
    <row r="1548" spans="1:14" ht="15.6" hidden="1">
      <c r="A1548" s="360">
        <v>45887</v>
      </c>
      <c r="B1548" s="177" t="s">
        <v>4896</v>
      </c>
      <c r="C1548" s="177" t="s">
        <v>172</v>
      </c>
      <c r="D1548" s="177" t="s">
        <v>440</v>
      </c>
      <c r="E1548" s="177">
        <v>500</v>
      </c>
      <c r="F1548" s="311">
        <f t="shared" si="14"/>
        <v>0.89135775178182408</v>
      </c>
      <c r="G1548" s="312">
        <v>560.94200000000001</v>
      </c>
      <c r="H1548" s="177" t="s">
        <v>173</v>
      </c>
      <c r="I1548" s="177" t="s">
        <v>2496</v>
      </c>
      <c r="J1548" s="177" t="s">
        <v>96</v>
      </c>
      <c r="K1548" s="125" t="s">
        <v>1906</v>
      </c>
      <c r="L1548" s="177" t="s">
        <v>153</v>
      </c>
      <c r="M1548" s="76"/>
      <c r="N1548" s="76"/>
    </row>
    <row r="1549" spans="1:14" ht="15.6" hidden="1">
      <c r="A1549" s="360">
        <v>45887</v>
      </c>
      <c r="B1549" s="177" t="s">
        <v>4888</v>
      </c>
      <c r="C1549" s="177" t="s">
        <v>172</v>
      </c>
      <c r="D1549" s="177" t="s">
        <v>440</v>
      </c>
      <c r="E1549" s="177">
        <v>500</v>
      </c>
      <c r="F1549" s="311">
        <f t="shared" si="14"/>
        <v>0.89135775178182408</v>
      </c>
      <c r="G1549" s="312">
        <v>560.94200000000001</v>
      </c>
      <c r="H1549" s="177" t="s">
        <v>173</v>
      </c>
      <c r="I1549" s="177" t="s">
        <v>2496</v>
      </c>
      <c r="J1549" s="177" t="s">
        <v>96</v>
      </c>
      <c r="K1549" s="125" t="s">
        <v>1906</v>
      </c>
      <c r="L1549" s="177" t="s">
        <v>153</v>
      </c>
      <c r="M1549" s="76"/>
      <c r="N1549" s="76"/>
    </row>
    <row r="1550" spans="1:14" ht="15.6" hidden="1">
      <c r="A1550" s="360">
        <v>45887</v>
      </c>
      <c r="B1550" s="177" t="s">
        <v>4896</v>
      </c>
      <c r="C1550" s="177" t="s">
        <v>172</v>
      </c>
      <c r="D1550" s="177" t="s">
        <v>440</v>
      </c>
      <c r="E1550" s="177">
        <v>500</v>
      </c>
      <c r="F1550" s="311">
        <f t="shared" si="14"/>
        <v>0.89135775178182408</v>
      </c>
      <c r="G1550" s="312">
        <v>560.94200000000001</v>
      </c>
      <c r="H1550" s="177" t="s">
        <v>173</v>
      </c>
      <c r="I1550" s="177" t="s">
        <v>2496</v>
      </c>
      <c r="J1550" s="177" t="s">
        <v>96</v>
      </c>
      <c r="K1550" s="125" t="s">
        <v>1906</v>
      </c>
      <c r="L1550" s="177" t="s">
        <v>153</v>
      </c>
      <c r="M1550" s="76"/>
      <c r="N1550" s="76"/>
    </row>
    <row r="1551" spans="1:14" ht="15.6" hidden="1">
      <c r="A1551" s="360">
        <v>45887</v>
      </c>
      <c r="B1551" s="172" t="s">
        <v>2494</v>
      </c>
      <c r="C1551" s="172" t="s">
        <v>150</v>
      </c>
      <c r="D1551" s="177" t="s">
        <v>440</v>
      </c>
      <c r="E1551" s="177">
        <v>15000</v>
      </c>
      <c r="F1551" s="311">
        <f t="shared" si="14"/>
        <v>26.740732553454723</v>
      </c>
      <c r="G1551" s="312">
        <v>560.94200000000001</v>
      </c>
      <c r="H1551" s="177" t="s">
        <v>173</v>
      </c>
      <c r="I1551" s="177" t="s">
        <v>2503</v>
      </c>
      <c r="J1551" s="177" t="s">
        <v>96</v>
      </c>
      <c r="K1551" s="125" t="s">
        <v>1906</v>
      </c>
      <c r="L1551" s="177" t="s">
        <v>153</v>
      </c>
      <c r="M1551"/>
      <c r="N1551"/>
    </row>
    <row r="1552" spans="1:14" ht="15.6" hidden="1">
      <c r="A1552" s="357">
        <v>45887</v>
      </c>
      <c r="B1552" s="177" t="s">
        <v>4897</v>
      </c>
      <c r="C1552" s="177" t="s">
        <v>172</v>
      </c>
      <c r="D1552" s="177" t="s">
        <v>440</v>
      </c>
      <c r="E1552" s="177">
        <v>1000</v>
      </c>
      <c r="F1552" s="311">
        <f t="shared" si="14"/>
        <v>1.7827155035636482</v>
      </c>
      <c r="G1552" s="312">
        <v>560.94200000000001</v>
      </c>
      <c r="H1552" s="177" t="s">
        <v>315</v>
      </c>
      <c r="I1552" s="177" t="s">
        <v>2515</v>
      </c>
      <c r="J1552" s="177" t="s">
        <v>96</v>
      </c>
      <c r="K1552" s="125" t="s">
        <v>1906</v>
      </c>
      <c r="L1552" s="177" t="s">
        <v>153</v>
      </c>
      <c r="M1552"/>
      <c r="N1552"/>
    </row>
    <row r="1553" spans="1:14" ht="15.6" hidden="1">
      <c r="A1553" s="357">
        <v>45887</v>
      </c>
      <c r="B1553" s="177" t="s">
        <v>4898</v>
      </c>
      <c r="C1553" s="177" t="s">
        <v>172</v>
      </c>
      <c r="D1553" s="177" t="s">
        <v>440</v>
      </c>
      <c r="E1553" s="177">
        <v>1000</v>
      </c>
      <c r="F1553" s="311">
        <f t="shared" si="14"/>
        <v>1.7827155035636482</v>
      </c>
      <c r="G1553" s="312">
        <v>560.94200000000001</v>
      </c>
      <c r="H1553" s="177" t="s">
        <v>315</v>
      </c>
      <c r="I1553" s="177" t="s">
        <v>2515</v>
      </c>
      <c r="J1553" s="177" t="s">
        <v>96</v>
      </c>
      <c r="K1553" s="125" t="s">
        <v>1906</v>
      </c>
      <c r="L1553" s="177" t="s">
        <v>153</v>
      </c>
      <c r="M1553"/>
      <c r="N1553"/>
    </row>
    <row r="1554" spans="1:14" ht="15.6" hidden="1">
      <c r="A1554" s="357">
        <v>45887</v>
      </c>
      <c r="B1554" s="177" t="s">
        <v>4797</v>
      </c>
      <c r="C1554" s="177" t="s">
        <v>172</v>
      </c>
      <c r="D1554" s="177" t="s">
        <v>440</v>
      </c>
      <c r="E1554" s="177">
        <v>5000</v>
      </c>
      <c r="F1554" s="311">
        <f t="shared" si="14"/>
        <v>8.9135775178182417</v>
      </c>
      <c r="G1554" s="312">
        <v>560.94200000000001</v>
      </c>
      <c r="H1554" s="177" t="s">
        <v>315</v>
      </c>
      <c r="I1554" s="177" t="s">
        <v>2516</v>
      </c>
      <c r="J1554" s="177" t="s">
        <v>96</v>
      </c>
      <c r="K1554" s="125" t="s">
        <v>1906</v>
      </c>
      <c r="L1554" s="177" t="s">
        <v>153</v>
      </c>
      <c r="M1554"/>
      <c r="N1554"/>
    </row>
    <row r="1555" spans="1:14" ht="15.6" hidden="1">
      <c r="A1555" s="357">
        <v>45887</v>
      </c>
      <c r="B1555" s="177" t="s">
        <v>4884</v>
      </c>
      <c r="C1555" s="177" t="s">
        <v>172</v>
      </c>
      <c r="D1555" s="177" t="s">
        <v>440</v>
      </c>
      <c r="E1555" s="177">
        <v>2000</v>
      </c>
      <c r="F1555" s="311">
        <f t="shared" si="14"/>
        <v>3.5654310071272963</v>
      </c>
      <c r="G1555" s="312">
        <v>560.94200000000001</v>
      </c>
      <c r="H1555" s="177" t="s">
        <v>315</v>
      </c>
      <c r="I1555" s="177" t="s">
        <v>2515</v>
      </c>
      <c r="J1555" s="177" t="s">
        <v>96</v>
      </c>
      <c r="K1555" s="125" t="s">
        <v>1906</v>
      </c>
      <c r="L1555" s="177" t="s">
        <v>153</v>
      </c>
      <c r="M1555"/>
      <c r="N1555"/>
    </row>
    <row r="1556" spans="1:14" ht="15.6" hidden="1">
      <c r="A1556" s="357">
        <v>45887</v>
      </c>
      <c r="B1556" s="177" t="s">
        <v>2512</v>
      </c>
      <c r="C1556" s="177" t="s">
        <v>150</v>
      </c>
      <c r="D1556" s="177" t="s">
        <v>440</v>
      </c>
      <c r="E1556" s="177">
        <v>15000</v>
      </c>
      <c r="F1556" s="311">
        <f t="shared" si="14"/>
        <v>26.740732553454723</v>
      </c>
      <c r="G1556" s="312">
        <v>560.94200000000001</v>
      </c>
      <c r="H1556" s="177" t="s">
        <v>315</v>
      </c>
      <c r="I1556" s="177" t="s">
        <v>2517</v>
      </c>
      <c r="J1556" s="177" t="s">
        <v>96</v>
      </c>
      <c r="K1556" s="125" t="s">
        <v>1906</v>
      </c>
      <c r="L1556" s="177" t="s">
        <v>153</v>
      </c>
      <c r="M1556"/>
      <c r="N1556"/>
    </row>
    <row r="1557" spans="1:14" ht="15.6" hidden="1">
      <c r="A1557" s="357">
        <v>45887</v>
      </c>
      <c r="B1557" s="177" t="s">
        <v>4899</v>
      </c>
      <c r="C1557" s="177" t="s">
        <v>172</v>
      </c>
      <c r="D1557" s="177" t="s">
        <v>440</v>
      </c>
      <c r="E1557" s="351">
        <v>12000</v>
      </c>
      <c r="F1557" s="311">
        <f t="shared" si="14"/>
        <v>21.392586042763778</v>
      </c>
      <c r="G1557" s="312">
        <v>560.94200000000001</v>
      </c>
      <c r="H1557" s="177" t="s">
        <v>321</v>
      </c>
      <c r="I1557" s="177" t="s">
        <v>2533</v>
      </c>
      <c r="J1557" s="177" t="s">
        <v>96</v>
      </c>
      <c r="K1557" s="125" t="s">
        <v>1906</v>
      </c>
      <c r="L1557" s="177" t="s">
        <v>153</v>
      </c>
      <c r="M1557"/>
      <c r="N1557"/>
    </row>
    <row r="1558" spans="1:14" ht="15.6" hidden="1">
      <c r="A1558" s="357">
        <v>45887</v>
      </c>
      <c r="B1558" s="177" t="s">
        <v>2529</v>
      </c>
      <c r="C1558" s="177" t="s">
        <v>150</v>
      </c>
      <c r="D1558" s="177" t="s">
        <v>440</v>
      </c>
      <c r="E1558" s="351">
        <v>5000</v>
      </c>
      <c r="F1558" s="311">
        <f t="shared" si="14"/>
        <v>8.9135775178182417</v>
      </c>
      <c r="G1558" s="312">
        <v>560.94200000000001</v>
      </c>
      <c r="H1558" s="177" t="s">
        <v>321</v>
      </c>
      <c r="I1558" s="177" t="s">
        <v>2534</v>
      </c>
      <c r="J1558" s="177" t="s">
        <v>96</v>
      </c>
      <c r="K1558" s="125" t="s">
        <v>1906</v>
      </c>
      <c r="L1558" s="177" t="s">
        <v>153</v>
      </c>
      <c r="M1558"/>
      <c r="N1558"/>
    </row>
    <row r="1559" spans="1:14" ht="15.6" hidden="1">
      <c r="A1559" s="357">
        <v>45887</v>
      </c>
      <c r="B1559" s="177" t="s">
        <v>2530</v>
      </c>
      <c r="C1559" s="177" t="s">
        <v>150</v>
      </c>
      <c r="D1559" s="177" t="s">
        <v>440</v>
      </c>
      <c r="E1559" s="351">
        <v>10000</v>
      </c>
      <c r="F1559" s="311">
        <f t="shared" si="14"/>
        <v>17.827155035636483</v>
      </c>
      <c r="G1559" s="312">
        <v>560.94200000000001</v>
      </c>
      <c r="H1559" s="177" t="s">
        <v>321</v>
      </c>
      <c r="I1559" s="177" t="s">
        <v>2535</v>
      </c>
      <c r="J1559" s="177" t="s">
        <v>96</v>
      </c>
      <c r="K1559" s="125" t="s">
        <v>1906</v>
      </c>
      <c r="L1559" s="177" t="s">
        <v>153</v>
      </c>
      <c r="M1559"/>
      <c r="N1559"/>
    </row>
    <row r="1560" spans="1:14" ht="15.6" hidden="1">
      <c r="A1560" s="357">
        <v>45887</v>
      </c>
      <c r="B1560" s="177" t="s">
        <v>2544</v>
      </c>
      <c r="C1560" s="177" t="s">
        <v>172</v>
      </c>
      <c r="D1560" s="177" t="s">
        <v>115</v>
      </c>
      <c r="E1560" s="324">
        <v>500</v>
      </c>
      <c r="F1560" s="311">
        <f t="shared" si="14"/>
        <v>0.89135775178182408</v>
      </c>
      <c r="G1560" s="312">
        <v>560.94200000000001</v>
      </c>
      <c r="H1560" s="177" t="s">
        <v>188</v>
      </c>
      <c r="I1560" s="177" t="s">
        <v>2564</v>
      </c>
      <c r="J1560" s="177" t="s">
        <v>96</v>
      </c>
      <c r="K1560" s="125" t="s">
        <v>1906</v>
      </c>
      <c r="L1560" s="177" t="s">
        <v>153</v>
      </c>
      <c r="M1560"/>
      <c r="N1560"/>
    </row>
    <row r="1561" spans="1:14" ht="15.6" hidden="1">
      <c r="A1561" s="357">
        <v>45887</v>
      </c>
      <c r="B1561" s="177" t="s">
        <v>2545</v>
      </c>
      <c r="C1561" s="177" t="s">
        <v>172</v>
      </c>
      <c r="D1561" s="177" t="s">
        <v>115</v>
      </c>
      <c r="E1561" s="324">
        <v>500</v>
      </c>
      <c r="F1561" s="311">
        <f t="shared" si="14"/>
        <v>0.89135775178182408</v>
      </c>
      <c r="G1561" s="312">
        <v>560.94200000000001</v>
      </c>
      <c r="H1561" s="177" t="s">
        <v>188</v>
      </c>
      <c r="I1561" s="177" t="s">
        <v>2564</v>
      </c>
      <c r="J1561" s="177" t="s">
        <v>96</v>
      </c>
      <c r="K1561" s="125" t="s">
        <v>1906</v>
      </c>
      <c r="L1561" s="177" t="s">
        <v>153</v>
      </c>
      <c r="M1561"/>
      <c r="N1561"/>
    </row>
    <row r="1562" spans="1:14" ht="15.6" hidden="1">
      <c r="A1562" s="362">
        <v>45887</v>
      </c>
      <c r="B1562" s="177" t="s">
        <v>2344</v>
      </c>
      <c r="C1562" s="177" t="s">
        <v>180</v>
      </c>
      <c r="D1562" s="177" t="s">
        <v>116</v>
      </c>
      <c r="E1562" s="324">
        <v>32940</v>
      </c>
      <c r="F1562" s="311">
        <f t="shared" si="14"/>
        <v>58.722648687386574</v>
      </c>
      <c r="G1562" s="312">
        <v>560.94200000000001</v>
      </c>
      <c r="H1562" s="177" t="s">
        <v>188</v>
      </c>
      <c r="I1562" s="177" t="s">
        <v>2345</v>
      </c>
      <c r="J1562" s="177" t="s">
        <v>96</v>
      </c>
      <c r="K1562" s="125" t="s">
        <v>1906</v>
      </c>
      <c r="L1562" s="177" t="s">
        <v>153</v>
      </c>
      <c r="M1562"/>
      <c r="N1562"/>
    </row>
    <row r="1563" spans="1:14" ht="15.6" hidden="1">
      <c r="A1563" s="357">
        <v>45887</v>
      </c>
      <c r="B1563" s="177" t="s">
        <v>2546</v>
      </c>
      <c r="C1563" s="177" t="s">
        <v>150</v>
      </c>
      <c r="D1563" s="177" t="s">
        <v>115</v>
      </c>
      <c r="E1563" s="324">
        <v>5000</v>
      </c>
      <c r="F1563" s="311">
        <f t="shared" si="14"/>
        <v>8.9135775178182417</v>
      </c>
      <c r="G1563" s="312">
        <v>560.94200000000001</v>
      </c>
      <c r="H1563" s="177" t="s">
        <v>188</v>
      </c>
      <c r="I1563" s="177" t="s">
        <v>2565</v>
      </c>
      <c r="J1563" s="177" t="s">
        <v>96</v>
      </c>
      <c r="K1563" s="125" t="s">
        <v>1906</v>
      </c>
      <c r="L1563" s="177" t="s">
        <v>153</v>
      </c>
      <c r="M1563"/>
      <c r="N1563"/>
    </row>
    <row r="1564" spans="1:14" ht="15.6" hidden="1">
      <c r="A1564" s="357">
        <v>45887</v>
      </c>
      <c r="B1564" s="177" t="s">
        <v>2547</v>
      </c>
      <c r="C1564" s="177" t="s">
        <v>150</v>
      </c>
      <c r="D1564" s="177" t="s">
        <v>115</v>
      </c>
      <c r="E1564" s="324">
        <v>5000</v>
      </c>
      <c r="F1564" s="311">
        <f t="shared" si="14"/>
        <v>8.9135775178182417</v>
      </c>
      <c r="G1564" s="312">
        <v>560.94200000000001</v>
      </c>
      <c r="H1564" s="177" t="s">
        <v>188</v>
      </c>
      <c r="I1564" s="177" t="s">
        <v>2566</v>
      </c>
      <c r="J1564" s="177" t="s">
        <v>96</v>
      </c>
      <c r="K1564" s="125" t="s">
        <v>1906</v>
      </c>
      <c r="L1564" s="177" t="s">
        <v>153</v>
      </c>
      <c r="M1564"/>
      <c r="N1564"/>
    </row>
    <row r="1565" spans="1:14" ht="15.6" hidden="1">
      <c r="A1565" s="360">
        <v>45887</v>
      </c>
      <c r="B1565" s="177" t="s">
        <v>2572</v>
      </c>
      <c r="C1565" s="177" t="s">
        <v>172</v>
      </c>
      <c r="D1565" s="177" t="s">
        <v>115</v>
      </c>
      <c r="E1565" s="324">
        <v>1000</v>
      </c>
      <c r="F1565" s="311">
        <f t="shared" si="14"/>
        <v>1.7827155035636482</v>
      </c>
      <c r="G1565" s="312">
        <v>560.94200000000001</v>
      </c>
      <c r="H1565" s="177" t="s">
        <v>191</v>
      </c>
      <c r="I1565" s="177" t="s">
        <v>2607</v>
      </c>
      <c r="J1565" s="177" t="s">
        <v>96</v>
      </c>
      <c r="K1565" s="125" t="s">
        <v>1906</v>
      </c>
      <c r="L1565" s="177" t="s">
        <v>153</v>
      </c>
      <c r="M1565"/>
      <c r="N1565"/>
    </row>
    <row r="1566" spans="1:14" ht="15.6" hidden="1">
      <c r="A1566" s="360">
        <v>45887</v>
      </c>
      <c r="B1566" s="177" t="s">
        <v>2573</v>
      </c>
      <c r="C1566" s="177" t="s">
        <v>172</v>
      </c>
      <c r="D1566" s="177" t="s">
        <v>115</v>
      </c>
      <c r="E1566" s="324">
        <v>8000</v>
      </c>
      <c r="F1566" s="311">
        <f t="shared" si="14"/>
        <v>14.261724028509185</v>
      </c>
      <c r="G1566" s="312">
        <v>560.94200000000001</v>
      </c>
      <c r="H1566" s="177" t="s">
        <v>191</v>
      </c>
      <c r="I1566" s="177" t="s">
        <v>2608</v>
      </c>
      <c r="J1566" s="177" t="s">
        <v>96</v>
      </c>
      <c r="K1566" s="125" t="s">
        <v>1906</v>
      </c>
      <c r="L1566" s="177" t="s">
        <v>153</v>
      </c>
      <c r="M1566"/>
      <c r="N1566"/>
    </row>
    <row r="1567" spans="1:14" ht="15.6" hidden="1">
      <c r="A1567" s="360">
        <v>45887</v>
      </c>
      <c r="B1567" s="177" t="s">
        <v>2574</v>
      </c>
      <c r="C1567" s="177" t="s">
        <v>172</v>
      </c>
      <c r="D1567" s="177" t="s">
        <v>115</v>
      </c>
      <c r="E1567" s="324">
        <v>1000</v>
      </c>
      <c r="F1567" s="311">
        <f t="shared" si="14"/>
        <v>1.7827155035636482</v>
      </c>
      <c r="G1567" s="312">
        <v>560.94200000000001</v>
      </c>
      <c r="H1567" s="177" t="s">
        <v>191</v>
      </c>
      <c r="I1567" s="177" t="s">
        <v>2607</v>
      </c>
      <c r="J1567" s="177" t="s">
        <v>96</v>
      </c>
      <c r="K1567" s="125" t="s">
        <v>1906</v>
      </c>
      <c r="L1567" s="177" t="s">
        <v>153</v>
      </c>
      <c r="M1567"/>
      <c r="N1567"/>
    </row>
    <row r="1568" spans="1:14" ht="15.6" hidden="1">
      <c r="A1568" s="360">
        <v>45887</v>
      </c>
      <c r="B1568" s="177" t="s">
        <v>2575</v>
      </c>
      <c r="C1568" s="177" t="s">
        <v>150</v>
      </c>
      <c r="D1568" s="177" t="s">
        <v>115</v>
      </c>
      <c r="E1568" s="324">
        <v>10000</v>
      </c>
      <c r="F1568" s="311">
        <f t="shared" ref="F1568:F1642" si="15">E1568/G1568</f>
        <v>17.827155035636483</v>
      </c>
      <c r="G1568" s="312">
        <v>560.94200000000001</v>
      </c>
      <c r="H1568" s="177" t="s">
        <v>191</v>
      </c>
      <c r="I1568" s="177" t="s">
        <v>2609</v>
      </c>
      <c r="J1568" s="177" t="s">
        <v>96</v>
      </c>
      <c r="K1568" s="125" t="s">
        <v>1906</v>
      </c>
      <c r="L1568" s="177" t="s">
        <v>153</v>
      </c>
      <c r="M1568"/>
      <c r="N1568"/>
    </row>
    <row r="1569" spans="1:14" ht="15.6" hidden="1">
      <c r="A1569" s="356">
        <v>45887</v>
      </c>
      <c r="B1569" s="177" t="s">
        <v>2631</v>
      </c>
      <c r="C1569" s="377" t="s">
        <v>194</v>
      </c>
      <c r="D1569" s="377" t="s">
        <v>115</v>
      </c>
      <c r="E1569" s="351">
        <v>500</v>
      </c>
      <c r="F1569" s="311">
        <f t="shared" si="15"/>
        <v>0.89135775178182408</v>
      </c>
      <c r="G1569" s="312">
        <v>560.94200000000001</v>
      </c>
      <c r="H1569" s="252" t="s">
        <v>195</v>
      </c>
      <c r="I1569" s="177" t="s">
        <v>2667</v>
      </c>
      <c r="J1569" s="177" t="s">
        <v>96</v>
      </c>
      <c r="K1569" s="125" t="s">
        <v>1906</v>
      </c>
      <c r="L1569" s="177" t="s">
        <v>153</v>
      </c>
      <c r="M1569"/>
      <c r="N1569"/>
    </row>
    <row r="1570" spans="1:14" ht="15.6" hidden="1">
      <c r="A1570" s="356">
        <v>45887</v>
      </c>
      <c r="B1570" s="177" t="s">
        <v>2632</v>
      </c>
      <c r="C1570" s="377" t="s">
        <v>194</v>
      </c>
      <c r="D1570" s="377" t="s">
        <v>115</v>
      </c>
      <c r="E1570" s="351">
        <v>500</v>
      </c>
      <c r="F1570" s="311">
        <f t="shared" si="15"/>
        <v>0.89135775178182408</v>
      </c>
      <c r="G1570" s="312">
        <v>560.94200000000001</v>
      </c>
      <c r="H1570" s="252" t="s">
        <v>195</v>
      </c>
      <c r="I1570" s="177" t="s">
        <v>2667</v>
      </c>
      <c r="J1570" s="177" t="s">
        <v>96</v>
      </c>
      <c r="K1570" s="125" t="s">
        <v>1906</v>
      </c>
      <c r="L1570" s="177" t="s">
        <v>153</v>
      </c>
      <c r="M1570"/>
      <c r="N1570"/>
    </row>
    <row r="1571" spans="1:14" ht="15.6" hidden="1">
      <c r="A1571" s="356">
        <v>45887</v>
      </c>
      <c r="B1571" s="177" t="s">
        <v>2633</v>
      </c>
      <c r="C1571" s="377" t="s">
        <v>150</v>
      </c>
      <c r="D1571" s="377" t="s">
        <v>115</v>
      </c>
      <c r="E1571" s="351">
        <v>10000</v>
      </c>
      <c r="F1571" s="311">
        <f t="shared" si="15"/>
        <v>17.827155035636483</v>
      </c>
      <c r="G1571" s="312">
        <v>560.94200000000001</v>
      </c>
      <c r="H1571" s="252" t="s">
        <v>195</v>
      </c>
      <c r="I1571" s="177" t="s">
        <v>2672</v>
      </c>
      <c r="J1571" s="177" t="s">
        <v>96</v>
      </c>
      <c r="K1571" s="125" t="s">
        <v>1906</v>
      </c>
      <c r="L1571" s="177" t="s">
        <v>153</v>
      </c>
      <c r="M1571"/>
      <c r="N1571"/>
    </row>
    <row r="1572" spans="1:14" ht="15.6" hidden="1">
      <c r="A1572" s="357">
        <v>45887</v>
      </c>
      <c r="B1572" s="177" t="s">
        <v>2633</v>
      </c>
      <c r="C1572" s="377" t="s">
        <v>150</v>
      </c>
      <c r="D1572" s="177" t="s">
        <v>118</v>
      </c>
      <c r="E1572" s="351">
        <v>10000</v>
      </c>
      <c r="F1572" s="311">
        <f t="shared" si="15"/>
        <v>17.827155035636483</v>
      </c>
      <c r="G1572" s="312">
        <v>560.94200000000001</v>
      </c>
      <c r="H1572" s="177" t="s">
        <v>211</v>
      </c>
      <c r="I1572" s="177" t="s">
        <v>2705</v>
      </c>
      <c r="J1572" s="177" t="s">
        <v>96</v>
      </c>
      <c r="K1572" s="125" t="s">
        <v>1906</v>
      </c>
      <c r="L1572" s="177" t="s">
        <v>153</v>
      </c>
      <c r="M1572"/>
      <c r="N1572"/>
    </row>
    <row r="1573" spans="1:14" ht="15.6" hidden="1">
      <c r="A1573" s="357">
        <v>45887</v>
      </c>
      <c r="B1573" s="177" t="s">
        <v>2709</v>
      </c>
      <c r="C1573" s="177" t="s">
        <v>150</v>
      </c>
      <c r="D1573" s="177" t="s">
        <v>115</v>
      </c>
      <c r="E1573" s="177">
        <v>10000</v>
      </c>
      <c r="F1573" s="311">
        <f t="shared" si="15"/>
        <v>17.827155035636483</v>
      </c>
      <c r="G1573" s="312">
        <v>560.94200000000001</v>
      </c>
      <c r="H1573" s="177" t="s">
        <v>185</v>
      </c>
      <c r="I1573" s="177" t="s">
        <v>2720</v>
      </c>
      <c r="J1573" s="177" t="s">
        <v>96</v>
      </c>
      <c r="K1573" s="125" t="s">
        <v>1906</v>
      </c>
      <c r="L1573" s="177" t="s">
        <v>153</v>
      </c>
      <c r="M1573"/>
      <c r="N1573"/>
    </row>
    <row r="1574" spans="1:14" ht="15.6" hidden="1">
      <c r="A1574" s="353">
        <v>45888</v>
      </c>
      <c r="B1574" s="377" t="s">
        <v>2103</v>
      </c>
      <c r="C1574" s="299" t="s">
        <v>172</v>
      </c>
      <c r="D1574" s="299" t="s">
        <v>117</v>
      </c>
      <c r="E1574" s="377">
        <v>1000</v>
      </c>
      <c r="F1574" s="311">
        <f t="shared" si="15"/>
        <v>1.7827155035636482</v>
      </c>
      <c r="G1574" s="312">
        <v>560.94200000000001</v>
      </c>
      <c r="H1574" s="384" t="s">
        <v>151</v>
      </c>
      <c r="I1574" s="385" t="s">
        <v>2428</v>
      </c>
      <c r="J1574" s="177" t="s">
        <v>96</v>
      </c>
      <c r="K1574" s="125" t="s">
        <v>1906</v>
      </c>
      <c r="L1574" s="177" t="s">
        <v>153</v>
      </c>
      <c r="M1574" s="371"/>
      <c r="N1574" s="371"/>
    </row>
    <row r="1575" spans="1:14" ht="15.6" hidden="1">
      <c r="A1575" s="353">
        <v>45888</v>
      </c>
      <c r="B1575" s="377" t="s">
        <v>2112</v>
      </c>
      <c r="C1575" s="299" t="s">
        <v>172</v>
      </c>
      <c r="D1575" s="299" t="s">
        <v>117</v>
      </c>
      <c r="E1575" s="377">
        <v>1000</v>
      </c>
      <c r="F1575" s="311">
        <f t="shared" si="15"/>
        <v>1.7827155035636482</v>
      </c>
      <c r="G1575" s="312">
        <v>560.94200000000001</v>
      </c>
      <c r="H1575" s="384" t="s">
        <v>151</v>
      </c>
      <c r="I1575" s="385" t="s">
        <v>2428</v>
      </c>
      <c r="J1575" s="177" t="s">
        <v>96</v>
      </c>
      <c r="K1575" s="125" t="s">
        <v>1906</v>
      </c>
      <c r="L1575" s="177" t="s">
        <v>153</v>
      </c>
      <c r="M1575" s="371"/>
      <c r="N1575" s="371"/>
    </row>
    <row r="1576" spans="1:14" ht="15.6" hidden="1">
      <c r="A1576" s="353">
        <v>45888</v>
      </c>
      <c r="B1576" s="377" t="s">
        <v>2113</v>
      </c>
      <c r="C1576" s="299" t="s">
        <v>172</v>
      </c>
      <c r="D1576" s="299" t="s">
        <v>117</v>
      </c>
      <c r="E1576" s="377">
        <v>1000</v>
      </c>
      <c r="F1576" s="311">
        <f t="shared" si="15"/>
        <v>1.7827155035636482</v>
      </c>
      <c r="G1576" s="312">
        <v>560.94200000000001</v>
      </c>
      <c r="H1576" s="384" t="s">
        <v>151</v>
      </c>
      <c r="I1576" s="385" t="s">
        <v>2428</v>
      </c>
      <c r="J1576" s="177" t="s">
        <v>96</v>
      </c>
      <c r="K1576" s="125" t="s">
        <v>1906</v>
      </c>
      <c r="L1576" s="177" t="s">
        <v>153</v>
      </c>
      <c r="M1576" s="371"/>
      <c r="N1576" s="371"/>
    </row>
    <row r="1577" spans="1:14" ht="15.6" hidden="1">
      <c r="A1577" s="353">
        <v>45888</v>
      </c>
      <c r="B1577" s="377" t="s">
        <v>2104</v>
      </c>
      <c r="C1577" s="299" t="s">
        <v>172</v>
      </c>
      <c r="D1577" s="299" t="s">
        <v>117</v>
      </c>
      <c r="E1577" s="377">
        <v>1000</v>
      </c>
      <c r="F1577" s="311">
        <f t="shared" si="15"/>
        <v>1.7827155035636482</v>
      </c>
      <c r="G1577" s="312">
        <v>560.94200000000001</v>
      </c>
      <c r="H1577" s="384" t="s">
        <v>151</v>
      </c>
      <c r="I1577" s="385" t="s">
        <v>2428</v>
      </c>
      <c r="J1577" s="177" t="s">
        <v>96</v>
      </c>
      <c r="K1577" s="125" t="s">
        <v>1906</v>
      </c>
      <c r="L1577" s="177" t="s">
        <v>153</v>
      </c>
      <c r="M1577" s="371"/>
      <c r="N1577" s="371"/>
    </row>
    <row r="1578" spans="1:14" ht="15.6" hidden="1">
      <c r="A1578" s="359">
        <v>45888</v>
      </c>
      <c r="B1578" s="177" t="s">
        <v>2449</v>
      </c>
      <c r="C1578" s="177" t="s">
        <v>172</v>
      </c>
      <c r="D1578" s="177" t="s">
        <v>116</v>
      </c>
      <c r="E1578" s="324">
        <v>1000</v>
      </c>
      <c r="F1578" s="311">
        <f t="shared" si="15"/>
        <v>1.7827155035636482</v>
      </c>
      <c r="G1578" s="312">
        <v>560.94200000000001</v>
      </c>
      <c r="H1578" s="177" t="s">
        <v>581</v>
      </c>
      <c r="I1578" s="177" t="s">
        <v>2467</v>
      </c>
      <c r="J1578" s="177" t="s">
        <v>96</v>
      </c>
      <c r="K1578" s="125" t="s">
        <v>1906</v>
      </c>
      <c r="L1578" s="177" t="s">
        <v>153</v>
      </c>
      <c r="M1578" s="371"/>
      <c r="N1578" s="371"/>
    </row>
    <row r="1579" spans="1:14" ht="15.6" hidden="1">
      <c r="A1579" s="359">
        <v>45888</v>
      </c>
      <c r="B1579" s="177" t="s">
        <v>2450</v>
      </c>
      <c r="C1579" s="177" t="s">
        <v>172</v>
      </c>
      <c r="D1579" s="177" t="s">
        <v>116</v>
      </c>
      <c r="E1579" s="324">
        <v>1000</v>
      </c>
      <c r="F1579" s="311">
        <f t="shared" si="15"/>
        <v>1.7827155035636482</v>
      </c>
      <c r="G1579" s="312">
        <v>560.94200000000001</v>
      </c>
      <c r="H1579" s="177" t="s">
        <v>581</v>
      </c>
      <c r="I1579" s="177" t="s">
        <v>2467</v>
      </c>
      <c r="J1579" s="177" t="s">
        <v>96</v>
      </c>
      <c r="K1579" s="125" t="s">
        <v>1906</v>
      </c>
      <c r="L1579" s="177" t="s">
        <v>153</v>
      </c>
      <c r="M1579" s="371"/>
      <c r="N1579" s="371"/>
    </row>
    <row r="1580" spans="1:14" ht="15.6" hidden="1">
      <c r="A1580" s="359">
        <v>45888</v>
      </c>
      <c r="B1580" s="177" t="s">
        <v>2451</v>
      </c>
      <c r="C1580" s="177" t="s">
        <v>172</v>
      </c>
      <c r="D1580" s="177" t="s">
        <v>116</v>
      </c>
      <c r="E1580" s="324">
        <v>1000</v>
      </c>
      <c r="F1580" s="311">
        <f t="shared" si="15"/>
        <v>1.7827155035636482</v>
      </c>
      <c r="G1580" s="312">
        <v>560.94200000000001</v>
      </c>
      <c r="H1580" s="177" t="s">
        <v>581</v>
      </c>
      <c r="I1580" s="177" t="s">
        <v>2467</v>
      </c>
      <c r="J1580" s="177" t="s">
        <v>96</v>
      </c>
      <c r="K1580" s="125" t="s">
        <v>1906</v>
      </c>
      <c r="L1580" s="177" t="s">
        <v>153</v>
      </c>
      <c r="M1580" s="371"/>
      <c r="N1580" s="371"/>
    </row>
    <row r="1581" spans="1:14" ht="15.6" hidden="1">
      <c r="A1581" s="359">
        <v>45888</v>
      </c>
      <c r="B1581" s="177" t="s">
        <v>2452</v>
      </c>
      <c r="C1581" s="177" t="s">
        <v>172</v>
      </c>
      <c r="D1581" s="177" t="s">
        <v>116</v>
      </c>
      <c r="E1581" s="324">
        <v>1000</v>
      </c>
      <c r="F1581" s="311">
        <f t="shared" si="15"/>
        <v>1.7827155035636482</v>
      </c>
      <c r="G1581" s="312">
        <v>560.94200000000001</v>
      </c>
      <c r="H1581" s="177" t="s">
        <v>581</v>
      </c>
      <c r="I1581" s="177" t="s">
        <v>2467</v>
      </c>
      <c r="J1581" s="177" t="s">
        <v>96</v>
      </c>
      <c r="K1581" s="125" t="s">
        <v>1906</v>
      </c>
      <c r="L1581" s="177" t="s">
        <v>153</v>
      </c>
      <c r="M1581" s="371"/>
      <c r="N1581" s="371"/>
    </row>
    <row r="1582" spans="1:14" ht="15.6" hidden="1">
      <c r="A1582" s="359">
        <v>45888</v>
      </c>
      <c r="B1582" s="177" t="s">
        <v>2453</v>
      </c>
      <c r="C1582" s="177" t="s">
        <v>172</v>
      </c>
      <c r="D1582" s="177" t="s">
        <v>116</v>
      </c>
      <c r="E1582" s="324">
        <v>1000</v>
      </c>
      <c r="F1582" s="311">
        <f t="shared" si="15"/>
        <v>1.7827155035636482</v>
      </c>
      <c r="G1582" s="312">
        <v>560.94200000000001</v>
      </c>
      <c r="H1582" s="177" t="s">
        <v>581</v>
      </c>
      <c r="I1582" s="177" t="s">
        <v>2467</v>
      </c>
      <c r="J1582" s="177" t="s">
        <v>96</v>
      </c>
      <c r="K1582" s="125" t="s">
        <v>1906</v>
      </c>
      <c r="L1582" s="177" t="s">
        <v>153</v>
      </c>
      <c r="M1582" s="371"/>
      <c r="N1582" s="371"/>
    </row>
    <row r="1583" spans="1:14" ht="15.6" hidden="1">
      <c r="A1583" s="362">
        <v>45888</v>
      </c>
      <c r="B1583" s="177" t="s">
        <v>2348</v>
      </c>
      <c r="C1583" s="177" t="s">
        <v>125</v>
      </c>
      <c r="D1583" s="177" t="s">
        <v>115</v>
      </c>
      <c r="E1583" s="324">
        <v>10500</v>
      </c>
      <c r="F1583" s="311">
        <f t="shared" si="15"/>
        <v>18.718512787418305</v>
      </c>
      <c r="G1583" s="312">
        <v>560.94200000000001</v>
      </c>
      <c r="H1583" s="177" t="s">
        <v>581</v>
      </c>
      <c r="I1583" s="177" t="s">
        <v>2349</v>
      </c>
      <c r="J1583" s="177" t="s">
        <v>96</v>
      </c>
      <c r="K1583" s="125" t="s">
        <v>1906</v>
      </c>
      <c r="L1583" s="177" t="s">
        <v>153</v>
      </c>
      <c r="M1583" s="371"/>
      <c r="N1583" s="371"/>
    </row>
    <row r="1584" spans="1:14" ht="15.6" hidden="1">
      <c r="A1584" s="362">
        <v>45888</v>
      </c>
      <c r="B1584" s="177" t="s">
        <v>2762</v>
      </c>
      <c r="C1584" s="177" t="s">
        <v>170</v>
      </c>
      <c r="D1584" s="177" t="s">
        <v>116</v>
      </c>
      <c r="E1584" s="324">
        <v>11000</v>
      </c>
      <c r="F1584" s="311">
        <f t="shared" si="15"/>
        <v>19.609870539200131</v>
      </c>
      <c r="G1584" s="312">
        <v>560.94200000000001</v>
      </c>
      <c r="H1584" s="380" t="s">
        <v>581</v>
      </c>
      <c r="I1584" s="177" t="s">
        <v>2350</v>
      </c>
      <c r="J1584" s="177" t="s">
        <v>96</v>
      </c>
      <c r="K1584" s="125" t="s">
        <v>1906</v>
      </c>
      <c r="L1584" s="177" t="s">
        <v>153</v>
      </c>
      <c r="M1584" s="371"/>
      <c r="N1584" s="371"/>
    </row>
    <row r="1585" spans="1:14" ht="15.6" hidden="1">
      <c r="A1585" s="362">
        <v>45888</v>
      </c>
      <c r="B1585" s="177" t="s">
        <v>2763</v>
      </c>
      <c r="C1585" s="177" t="s">
        <v>170</v>
      </c>
      <c r="D1585" s="177" t="s">
        <v>116</v>
      </c>
      <c r="E1585" s="324">
        <v>5000</v>
      </c>
      <c r="F1585" s="311">
        <f t="shared" si="15"/>
        <v>8.9135775178182417</v>
      </c>
      <c r="G1585" s="312">
        <v>560.94200000000001</v>
      </c>
      <c r="H1585" s="380" t="s">
        <v>581</v>
      </c>
      <c r="I1585" s="177" t="s">
        <v>2350</v>
      </c>
      <c r="J1585" s="177" t="s">
        <v>96</v>
      </c>
      <c r="K1585" s="125" t="s">
        <v>1906</v>
      </c>
      <c r="L1585" s="177" t="s">
        <v>153</v>
      </c>
      <c r="M1585" s="371"/>
      <c r="N1585" s="371"/>
    </row>
    <row r="1586" spans="1:14" ht="15.6" hidden="1">
      <c r="A1586" s="362">
        <v>45888</v>
      </c>
      <c r="B1586" s="177" t="s">
        <v>2772</v>
      </c>
      <c r="C1586" s="177" t="s">
        <v>170</v>
      </c>
      <c r="D1586" s="177" t="s">
        <v>116</v>
      </c>
      <c r="E1586" s="324">
        <v>11700</v>
      </c>
      <c r="F1586" s="311">
        <f t="shared" si="15"/>
        <v>20.857771391694683</v>
      </c>
      <c r="G1586" s="312">
        <v>560.94200000000001</v>
      </c>
      <c r="H1586" s="380" t="s">
        <v>581</v>
      </c>
      <c r="I1586" s="177" t="s">
        <v>2350</v>
      </c>
      <c r="J1586" s="177" t="s">
        <v>96</v>
      </c>
      <c r="K1586" s="125" t="s">
        <v>1906</v>
      </c>
      <c r="L1586" s="177" t="s">
        <v>153</v>
      </c>
      <c r="M1586" s="371"/>
      <c r="N1586" s="371"/>
    </row>
    <row r="1587" spans="1:14" ht="15.6" hidden="1">
      <c r="A1587" s="362">
        <v>45888</v>
      </c>
      <c r="B1587" s="177" t="s">
        <v>2764</v>
      </c>
      <c r="C1587" s="177" t="s">
        <v>170</v>
      </c>
      <c r="D1587" s="177" t="s">
        <v>116</v>
      </c>
      <c r="E1587" s="324">
        <v>2500</v>
      </c>
      <c r="F1587" s="311">
        <f t="shared" si="15"/>
        <v>4.4567887589091209</v>
      </c>
      <c r="G1587" s="312">
        <v>560.94200000000001</v>
      </c>
      <c r="H1587" s="380" t="s">
        <v>581</v>
      </c>
      <c r="I1587" s="177" t="s">
        <v>2350</v>
      </c>
      <c r="J1587" s="177" t="s">
        <v>96</v>
      </c>
      <c r="K1587" s="125" t="s">
        <v>1906</v>
      </c>
      <c r="L1587" s="177" t="s">
        <v>153</v>
      </c>
      <c r="M1587" s="371"/>
      <c r="N1587" s="371"/>
    </row>
    <row r="1588" spans="1:14" ht="15.6" hidden="1">
      <c r="A1588" s="362">
        <v>45888</v>
      </c>
      <c r="B1588" s="177" t="s">
        <v>2765</v>
      </c>
      <c r="C1588" s="177" t="s">
        <v>170</v>
      </c>
      <c r="D1588" s="177" t="s">
        <v>116</v>
      </c>
      <c r="E1588" s="324">
        <v>3500</v>
      </c>
      <c r="F1588" s="311">
        <f t="shared" si="15"/>
        <v>6.239504262472769</v>
      </c>
      <c r="G1588" s="312">
        <v>560.94200000000001</v>
      </c>
      <c r="H1588" s="380" t="s">
        <v>581</v>
      </c>
      <c r="I1588" s="177" t="s">
        <v>2350</v>
      </c>
      <c r="J1588" s="177" t="s">
        <v>96</v>
      </c>
      <c r="K1588" s="125" t="s">
        <v>1906</v>
      </c>
      <c r="L1588" s="177" t="s">
        <v>153</v>
      </c>
      <c r="M1588" s="371"/>
      <c r="N1588" s="371"/>
    </row>
    <row r="1589" spans="1:14" ht="15.6" hidden="1">
      <c r="A1589" s="362">
        <v>45888</v>
      </c>
      <c r="B1589" s="177" t="s">
        <v>2766</v>
      </c>
      <c r="C1589" s="177" t="s">
        <v>170</v>
      </c>
      <c r="D1589" s="177" t="s">
        <v>116</v>
      </c>
      <c r="E1589" s="324">
        <v>2750</v>
      </c>
      <c r="F1589" s="311">
        <f t="shared" si="15"/>
        <v>4.9024676348000327</v>
      </c>
      <c r="G1589" s="312">
        <v>560.94200000000001</v>
      </c>
      <c r="H1589" s="380" t="s">
        <v>581</v>
      </c>
      <c r="I1589" s="177" t="s">
        <v>2350</v>
      </c>
      <c r="J1589" s="177" t="s">
        <v>96</v>
      </c>
      <c r="K1589" s="125" t="s">
        <v>1906</v>
      </c>
      <c r="L1589" s="177" t="s">
        <v>153</v>
      </c>
      <c r="M1589" s="371"/>
      <c r="N1589" s="371"/>
    </row>
    <row r="1590" spans="1:14" ht="15.6" hidden="1">
      <c r="A1590" s="362">
        <v>45888</v>
      </c>
      <c r="B1590" s="177" t="s">
        <v>2767</v>
      </c>
      <c r="C1590" s="177" t="s">
        <v>170</v>
      </c>
      <c r="D1590" s="177" t="s">
        <v>116</v>
      </c>
      <c r="E1590" s="324">
        <v>3500</v>
      </c>
      <c r="F1590" s="311">
        <f t="shared" si="15"/>
        <v>6.239504262472769</v>
      </c>
      <c r="G1590" s="312">
        <v>560.94200000000001</v>
      </c>
      <c r="H1590" s="380" t="s">
        <v>581</v>
      </c>
      <c r="I1590" s="177" t="s">
        <v>2350</v>
      </c>
      <c r="J1590" s="177" t="s">
        <v>96</v>
      </c>
      <c r="K1590" s="125" t="s">
        <v>1906</v>
      </c>
      <c r="L1590" s="177" t="s">
        <v>153</v>
      </c>
      <c r="M1590" s="371"/>
      <c r="N1590" s="371"/>
    </row>
    <row r="1591" spans="1:14" ht="15.6" hidden="1">
      <c r="A1591" s="362">
        <v>45888</v>
      </c>
      <c r="B1591" s="177" t="s">
        <v>2768</v>
      </c>
      <c r="C1591" s="177" t="s">
        <v>170</v>
      </c>
      <c r="D1591" s="177" t="s">
        <v>116</v>
      </c>
      <c r="E1591" s="324">
        <v>1500</v>
      </c>
      <c r="F1591" s="311">
        <f t="shared" si="15"/>
        <v>2.6740732553454722</v>
      </c>
      <c r="G1591" s="312">
        <v>560.94200000000001</v>
      </c>
      <c r="H1591" s="380" t="s">
        <v>581</v>
      </c>
      <c r="I1591" s="177" t="s">
        <v>2350</v>
      </c>
      <c r="J1591" s="177" t="s">
        <v>96</v>
      </c>
      <c r="K1591" s="125" t="s">
        <v>1906</v>
      </c>
      <c r="L1591" s="177" t="s">
        <v>153</v>
      </c>
      <c r="M1591" s="371"/>
      <c r="N1591" s="371"/>
    </row>
    <row r="1592" spans="1:14" ht="15.6" hidden="1">
      <c r="A1592" s="362">
        <v>45888</v>
      </c>
      <c r="B1592" s="177" t="s">
        <v>2769</v>
      </c>
      <c r="C1592" s="177" t="s">
        <v>170</v>
      </c>
      <c r="D1592" s="177" t="s">
        <v>116</v>
      </c>
      <c r="E1592" s="324">
        <v>1900</v>
      </c>
      <c r="F1592" s="311">
        <f t="shared" si="15"/>
        <v>3.3871594567709318</v>
      </c>
      <c r="G1592" s="312">
        <v>560.94200000000001</v>
      </c>
      <c r="H1592" s="380" t="s">
        <v>581</v>
      </c>
      <c r="I1592" s="177" t="s">
        <v>2350</v>
      </c>
      <c r="J1592" s="177" t="s">
        <v>96</v>
      </c>
      <c r="K1592" s="125" t="s">
        <v>1906</v>
      </c>
      <c r="L1592" s="177" t="s">
        <v>153</v>
      </c>
      <c r="M1592" s="371"/>
      <c r="N1592" s="371"/>
    </row>
    <row r="1593" spans="1:14" ht="15.6" hidden="1">
      <c r="A1593" s="362">
        <v>45888</v>
      </c>
      <c r="B1593" s="177" t="s">
        <v>2770</v>
      </c>
      <c r="C1593" s="177" t="s">
        <v>170</v>
      </c>
      <c r="D1593" s="177" t="s">
        <v>116</v>
      </c>
      <c r="E1593" s="324">
        <v>3700</v>
      </c>
      <c r="F1593" s="311">
        <f t="shared" si="15"/>
        <v>6.596047363185499</v>
      </c>
      <c r="G1593" s="312">
        <v>560.94200000000001</v>
      </c>
      <c r="H1593" s="380" t="s">
        <v>581</v>
      </c>
      <c r="I1593" s="177" t="s">
        <v>2350</v>
      </c>
      <c r="J1593" s="177" t="s">
        <v>96</v>
      </c>
      <c r="K1593" s="125" t="s">
        <v>1906</v>
      </c>
      <c r="L1593" s="177" t="s">
        <v>153</v>
      </c>
      <c r="M1593" s="371"/>
      <c r="N1593" s="371"/>
    </row>
    <row r="1594" spans="1:14" ht="15.6" hidden="1">
      <c r="A1594" s="362">
        <v>45888</v>
      </c>
      <c r="B1594" s="177" t="s">
        <v>2771</v>
      </c>
      <c r="C1594" s="177" t="s">
        <v>170</v>
      </c>
      <c r="D1594" s="177" t="s">
        <v>116</v>
      </c>
      <c r="E1594" s="324">
        <v>3500</v>
      </c>
      <c r="F1594" s="311">
        <f t="shared" si="15"/>
        <v>6.239504262472769</v>
      </c>
      <c r="G1594" s="312">
        <v>560.94200000000001</v>
      </c>
      <c r="H1594" s="380" t="s">
        <v>581</v>
      </c>
      <c r="I1594" s="177" t="s">
        <v>2350</v>
      </c>
      <c r="J1594" s="177" t="s">
        <v>96</v>
      </c>
      <c r="K1594" s="125" t="s">
        <v>1906</v>
      </c>
      <c r="L1594" s="177" t="s">
        <v>153</v>
      </c>
      <c r="M1594" s="371"/>
      <c r="N1594" s="371"/>
    </row>
    <row r="1595" spans="1:14" ht="15.6" hidden="1">
      <c r="A1595" s="362">
        <v>45888</v>
      </c>
      <c r="B1595" s="177" t="s">
        <v>2773</v>
      </c>
      <c r="C1595" s="177" t="s">
        <v>170</v>
      </c>
      <c r="D1595" s="177" t="s">
        <v>116</v>
      </c>
      <c r="E1595" s="324">
        <v>2000</v>
      </c>
      <c r="F1595" s="311">
        <f t="shared" si="15"/>
        <v>3.5654310071272963</v>
      </c>
      <c r="G1595" s="312">
        <v>560.94200000000001</v>
      </c>
      <c r="H1595" s="380" t="s">
        <v>581</v>
      </c>
      <c r="I1595" s="177" t="s">
        <v>2350</v>
      </c>
      <c r="J1595" s="177" t="s">
        <v>96</v>
      </c>
      <c r="K1595" s="125" t="s">
        <v>1906</v>
      </c>
      <c r="L1595" s="177" t="s">
        <v>153</v>
      </c>
      <c r="M1595" s="371"/>
      <c r="N1595" s="371"/>
    </row>
    <row r="1596" spans="1:14" ht="15.6" hidden="1">
      <c r="A1596" s="237">
        <v>45888</v>
      </c>
      <c r="B1596" s="172" t="s">
        <v>4886</v>
      </c>
      <c r="C1596" s="172" t="s">
        <v>172</v>
      </c>
      <c r="D1596" s="177" t="s">
        <v>440</v>
      </c>
      <c r="E1596" s="172">
        <v>1000</v>
      </c>
      <c r="F1596" s="311">
        <f t="shared" si="15"/>
        <v>1.7827155035636482</v>
      </c>
      <c r="G1596" s="312">
        <v>560.94200000000001</v>
      </c>
      <c r="H1596" s="172" t="s">
        <v>182</v>
      </c>
      <c r="I1596" s="172" t="s">
        <v>2477</v>
      </c>
      <c r="J1596" s="177" t="s">
        <v>96</v>
      </c>
      <c r="K1596" s="125" t="s">
        <v>1906</v>
      </c>
      <c r="L1596" s="177" t="s">
        <v>153</v>
      </c>
      <c r="M1596"/>
      <c r="N1596"/>
    </row>
    <row r="1597" spans="1:14" ht="15.6" hidden="1">
      <c r="A1597" s="237">
        <v>45888</v>
      </c>
      <c r="B1597" s="172" t="s">
        <v>4894</v>
      </c>
      <c r="C1597" s="172" t="s">
        <v>172</v>
      </c>
      <c r="D1597" s="177" t="s">
        <v>440</v>
      </c>
      <c r="E1597" s="172">
        <v>1000</v>
      </c>
      <c r="F1597" s="311">
        <f t="shared" si="15"/>
        <v>1.7827155035636482</v>
      </c>
      <c r="G1597" s="312">
        <v>560.94200000000001</v>
      </c>
      <c r="H1597" s="172" t="s">
        <v>182</v>
      </c>
      <c r="I1597" s="172" t="s">
        <v>2477</v>
      </c>
      <c r="J1597" s="177" t="s">
        <v>96</v>
      </c>
      <c r="K1597" s="125" t="s">
        <v>1906</v>
      </c>
      <c r="L1597" s="177" t="s">
        <v>153</v>
      </c>
      <c r="M1597"/>
      <c r="N1597"/>
    </row>
    <row r="1598" spans="1:14" ht="15.6" hidden="1">
      <c r="A1598" s="237">
        <v>45888</v>
      </c>
      <c r="B1598" s="172" t="s">
        <v>4900</v>
      </c>
      <c r="C1598" s="172" t="s">
        <v>172</v>
      </c>
      <c r="D1598" s="177" t="s">
        <v>440</v>
      </c>
      <c r="E1598" s="172">
        <v>500</v>
      </c>
      <c r="F1598" s="311">
        <f t="shared" si="15"/>
        <v>0.89135775178182408</v>
      </c>
      <c r="G1598" s="312">
        <v>560.94200000000001</v>
      </c>
      <c r="H1598" s="172" t="s">
        <v>182</v>
      </c>
      <c r="I1598" s="172" t="s">
        <v>2477</v>
      </c>
      <c r="J1598" s="177" t="s">
        <v>96</v>
      </c>
      <c r="K1598" s="125" t="s">
        <v>1906</v>
      </c>
      <c r="L1598" s="177" t="s">
        <v>153</v>
      </c>
      <c r="M1598"/>
      <c r="N1598"/>
    </row>
    <row r="1599" spans="1:14" ht="15.6" hidden="1">
      <c r="A1599" s="237">
        <v>45888</v>
      </c>
      <c r="B1599" s="172" t="s">
        <v>4886</v>
      </c>
      <c r="C1599" s="172" t="s">
        <v>172</v>
      </c>
      <c r="D1599" s="177" t="s">
        <v>440</v>
      </c>
      <c r="E1599" s="172">
        <v>1000</v>
      </c>
      <c r="F1599" s="311">
        <f t="shared" si="15"/>
        <v>1.7827155035636482</v>
      </c>
      <c r="G1599" s="312">
        <v>560.94200000000001</v>
      </c>
      <c r="H1599" s="172" t="s">
        <v>182</v>
      </c>
      <c r="I1599" s="172" t="s">
        <v>2477</v>
      </c>
      <c r="J1599" s="177" t="s">
        <v>96</v>
      </c>
      <c r="K1599" s="125" t="s">
        <v>1906</v>
      </c>
      <c r="L1599" s="177" t="s">
        <v>153</v>
      </c>
      <c r="M1599"/>
      <c r="N1599"/>
    </row>
    <row r="1600" spans="1:14" ht="15.6" hidden="1">
      <c r="A1600" s="237">
        <v>45888</v>
      </c>
      <c r="B1600" s="172" t="s">
        <v>4894</v>
      </c>
      <c r="C1600" s="172" t="s">
        <v>172</v>
      </c>
      <c r="D1600" s="177" t="s">
        <v>440</v>
      </c>
      <c r="E1600" s="172">
        <v>1000</v>
      </c>
      <c r="F1600" s="311">
        <f t="shared" si="15"/>
        <v>1.7827155035636482</v>
      </c>
      <c r="G1600" s="312">
        <v>560.94200000000001</v>
      </c>
      <c r="H1600" s="172" t="s">
        <v>182</v>
      </c>
      <c r="I1600" s="172" t="s">
        <v>2477</v>
      </c>
      <c r="J1600" s="177" t="s">
        <v>96</v>
      </c>
      <c r="K1600" s="125" t="s">
        <v>1906</v>
      </c>
      <c r="L1600" s="177" t="s">
        <v>153</v>
      </c>
      <c r="M1600"/>
      <c r="N1600"/>
    </row>
    <row r="1601" spans="1:14" ht="15.6" hidden="1">
      <c r="A1601" s="237">
        <v>45888</v>
      </c>
      <c r="B1601" s="172" t="s">
        <v>4900</v>
      </c>
      <c r="C1601" s="172" t="s">
        <v>172</v>
      </c>
      <c r="D1601" s="177" t="s">
        <v>440</v>
      </c>
      <c r="E1601" s="172">
        <v>500</v>
      </c>
      <c r="F1601" s="311">
        <f t="shared" si="15"/>
        <v>0.89135775178182408</v>
      </c>
      <c r="G1601" s="312">
        <v>560.94200000000001</v>
      </c>
      <c r="H1601" s="172" t="s">
        <v>182</v>
      </c>
      <c r="I1601" s="172" t="s">
        <v>2477</v>
      </c>
      <c r="J1601" s="177" t="s">
        <v>96</v>
      </c>
      <c r="K1601" s="125" t="s">
        <v>1906</v>
      </c>
      <c r="L1601" s="177" t="s">
        <v>153</v>
      </c>
      <c r="M1601"/>
      <c r="N1601"/>
    </row>
    <row r="1602" spans="1:14" ht="15.6" hidden="1">
      <c r="A1602" s="360">
        <v>45888</v>
      </c>
      <c r="B1602" s="177" t="s">
        <v>4896</v>
      </c>
      <c r="C1602" s="177" t="s">
        <v>172</v>
      </c>
      <c r="D1602" s="177" t="s">
        <v>440</v>
      </c>
      <c r="E1602" s="177">
        <v>500</v>
      </c>
      <c r="F1602" s="311">
        <f t="shared" si="15"/>
        <v>0.89135775178182408</v>
      </c>
      <c r="G1602" s="312">
        <v>560.94200000000001</v>
      </c>
      <c r="H1602" s="177" t="s">
        <v>173</v>
      </c>
      <c r="I1602" s="177" t="s">
        <v>2496</v>
      </c>
      <c r="J1602" s="177" t="s">
        <v>96</v>
      </c>
      <c r="K1602" s="125" t="s">
        <v>1906</v>
      </c>
      <c r="L1602" s="177" t="s">
        <v>153</v>
      </c>
      <c r="M1602"/>
      <c r="N1602"/>
    </row>
    <row r="1603" spans="1:14" ht="15.6" hidden="1">
      <c r="A1603" s="360">
        <v>45888</v>
      </c>
      <c r="B1603" s="177" t="s">
        <v>4831</v>
      </c>
      <c r="C1603" s="177" t="s">
        <v>172</v>
      </c>
      <c r="D1603" s="177" t="s">
        <v>440</v>
      </c>
      <c r="E1603" s="177">
        <v>10000</v>
      </c>
      <c r="F1603" s="311">
        <f t="shared" si="15"/>
        <v>17.827155035636483</v>
      </c>
      <c r="G1603" s="312">
        <v>560.94200000000001</v>
      </c>
      <c r="H1603" s="177" t="s">
        <v>173</v>
      </c>
      <c r="I1603" s="177" t="s">
        <v>2504</v>
      </c>
      <c r="J1603" s="177" t="s">
        <v>96</v>
      </c>
      <c r="K1603" s="125" t="s">
        <v>1906</v>
      </c>
      <c r="L1603" s="177" t="s">
        <v>153</v>
      </c>
      <c r="M1603"/>
      <c r="N1603"/>
    </row>
    <row r="1604" spans="1:14" ht="15.6" hidden="1">
      <c r="A1604" s="360">
        <v>45888</v>
      </c>
      <c r="B1604" s="177" t="s">
        <v>4888</v>
      </c>
      <c r="C1604" s="177" t="s">
        <v>172</v>
      </c>
      <c r="D1604" s="177" t="s">
        <v>440</v>
      </c>
      <c r="E1604" s="177">
        <v>500</v>
      </c>
      <c r="F1604" s="311">
        <f t="shared" si="15"/>
        <v>0.89135775178182408</v>
      </c>
      <c r="G1604" s="312">
        <v>560.94200000000001</v>
      </c>
      <c r="H1604" s="177" t="s">
        <v>173</v>
      </c>
      <c r="I1604" s="177" t="s">
        <v>2496</v>
      </c>
      <c r="J1604" s="177" t="s">
        <v>96</v>
      </c>
      <c r="K1604" s="125" t="s">
        <v>1906</v>
      </c>
      <c r="L1604" s="177" t="s">
        <v>153</v>
      </c>
      <c r="M1604"/>
      <c r="N1604"/>
    </row>
    <row r="1605" spans="1:14" ht="15.6" hidden="1">
      <c r="A1605" s="360">
        <v>45888</v>
      </c>
      <c r="B1605" s="177" t="s">
        <v>4888</v>
      </c>
      <c r="C1605" s="177" t="s">
        <v>172</v>
      </c>
      <c r="D1605" s="177" t="s">
        <v>440</v>
      </c>
      <c r="E1605" s="177">
        <v>500</v>
      </c>
      <c r="F1605" s="311">
        <f t="shared" si="15"/>
        <v>0.89135775178182408</v>
      </c>
      <c r="G1605" s="312">
        <v>560.94200000000001</v>
      </c>
      <c r="H1605" s="177" t="s">
        <v>173</v>
      </c>
      <c r="I1605" s="177" t="s">
        <v>2496</v>
      </c>
      <c r="J1605" s="177" t="s">
        <v>96</v>
      </c>
      <c r="K1605" s="125" t="s">
        <v>1906</v>
      </c>
      <c r="L1605" s="177" t="s">
        <v>153</v>
      </c>
      <c r="M1605"/>
      <c r="N1605"/>
    </row>
    <row r="1606" spans="1:14" ht="15.6" hidden="1">
      <c r="A1606" s="360">
        <v>45888</v>
      </c>
      <c r="B1606" s="177" t="s">
        <v>4896</v>
      </c>
      <c r="C1606" s="177" t="s">
        <v>172</v>
      </c>
      <c r="D1606" s="177" t="s">
        <v>440</v>
      </c>
      <c r="E1606" s="177">
        <v>500</v>
      </c>
      <c r="F1606" s="311">
        <f t="shared" si="15"/>
        <v>0.89135775178182408</v>
      </c>
      <c r="G1606" s="312">
        <v>560.94200000000001</v>
      </c>
      <c r="H1606" s="177" t="s">
        <v>173</v>
      </c>
      <c r="I1606" s="177" t="s">
        <v>2496</v>
      </c>
      <c r="J1606" s="177" t="s">
        <v>96</v>
      </c>
      <c r="K1606" s="125" t="s">
        <v>1906</v>
      </c>
      <c r="L1606" s="177" t="s">
        <v>153</v>
      </c>
      <c r="M1606"/>
      <c r="N1606"/>
    </row>
    <row r="1607" spans="1:14" ht="15.6" hidden="1">
      <c r="A1607" s="360">
        <v>45888</v>
      </c>
      <c r="B1607" s="177" t="s">
        <v>4833</v>
      </c>
      <c r="C1607" s="177" t="s">
        <v>172</v>
      </c>
      <c r="D1607" s="177" t="s">
        <v>440</v>
      </c>
      <c r="E1607" s="177">
        <v>10000</v>
      </c>
      <c r="F1607" s="311">
        <f t="shared" si="15"/>
        <v>17.827155035636483</v>
      </c>
      <c r="G1607" s="312">
        <v>560.94200000000001</v>
      </c>
      <c r="H1607" s="177" t="s">
        <v>173</v>
      </c>
      <c r="I1607" s="177" t="s">
        <v>2505</v>
      </c>
      <c r="J1607" s="177" t="s">
        <v>96</v>
      </c>
      <c r="K1607" s="125" t="s">
        <v>1906</v>
      </c>
      <c r="L1607" s="177" t="s">
        <v>153</v>
      </c>
      <c r="M1607"/>
      <c r="N1607"/>
    </row>
    <row r="1608" spans="1:14" ht="15.6" hidden="1">
      <c r="A1608" s="360">
        <v>45888</v>
      </c>
      <c r="B1608" s="177" t="s">
        <v>4896</v>
      </c>
      <c r="C1608" s="177" t="s">
        <v>172</v>
      </c>
      <c r="D1608" s="177" t="s">
        <v>440</v>
      </c>
      <c r="E1608" s="177">
        <v>500</v>
      </c>
      <c r="F1608" s="311">
        <f t="shared" si="15"/>
        <v>0.89135775178182408</v>
      </c>
      <c r="G1608" s="312">
        <v>560.94200000000001</v>
      </c>
      <c r="H1608" s="177" t="s">
        <v>173</v>
      </c>
      <c r="I1608" s="177" t="s">
        <v>2496</v>
      </c>
      <c r="J1608" s="177" t="s">
        <v>96</v>
      </c>
      <c r="K1608" s="125" t="s">
        <v>1906</v>
      </c>
      <c r="L1608" s="177" t="s">
        <v>153</v>
      </c>
      <c r="M1608"/>
      <c r="N1608"/>
    </row>
    <row r="1609" spans="1:14" ht="15.6" hidden="1">
      <c r="A1609" s="357">
        <v>45888</v>
      </c>
      <c r="B1609" s="177" t="s">
        <v>4748</v>
      </c>
      <c r="C1609" s="177" t="s">
        <v>175</v>
      </c>
      <c r="D1609" s="177" t="s">
        <v>440</v>
      </c>
      <c r="E1609" s="177">
        <v>50000</v>
      </c>
      <c r="F1609" s="311">
        <f t="shared" si="15"/>
        <v>89.135775178182413</v>
      </c>
      <c r="G1609" s="312">
        <v>560.94200000000001</v>
      </c>
      <c r="H1609" s="177" t="s">
        <v>315</v>
      </c>
      <c r="I1609" s="177" t="s">
        <v>2518</v>
      </c>
      <c r="J1609" s="177" t="s">
        <v>96</v>
      </c>
      <c r="K1609" s="125" t="s">
        <v>1906</v>
      </c>
      <c r="L1609" s="177" t="s">
        <v>153</v>
      </c>
      <c r="M1609"/>
      <c r="N1609"/>
    </row>
    <row r="1610" spans="1:14" ht="15.6" hidden="1">
      <c r="A1610" s="357">
        <v>45888</v>
      </c>
      <c r="B1610" s="177" t="s">
        <v>4763</v>
      </c>
      <c r="C1610" s="177" t="s">
        <v>172</v>
      </c>
      <c r="D1610" s="177" t="s">
        <v>440</v>
      </c>
      <c r="E1610" s="177">
        <v>2000</v>
      </c>
      <c r="F1610" s="311">
        <f t="shared" si="15"/>
        <v>3.5654310071272963</v>
      </c>
      <c r="G1610" s="312">
        <v>560.94200000000001</v>
      </c>
      <c r="H1610" s="177" t="s">
        <v>315</v>
      </c>
      <c r="I1610" s="177" t="s">
        <v>2515</v>
      </c>
      <c r="J1610" s="177" t="s">
        <v>96</v>
      </c>
      <c r="K1610" s="125" t="s">
        <v>1906</v>
      </c>
      <c r="L1610" s="177" t="s">
        <v>153</v>
      </c>
      <c r="M1610"/>
      <c r="N1610"/>
    </row>
    <row r="1611" spans="1:14" ht="15.6" hidden="1">
      <c r="A1611" s="357">
        <v>45888</v>
      </c>
      <c r="B1611" s="177" t="s">
        <v>4901</v>
      </c>
      <c r="C1611" s="177" t="s">
        <v>172</v>
      </c>
      <c r="D1611" s="177" t="s">
        <v>440</v>
      </c>
      <c r="E1611" s="177">
        <v>500</v>
      </c>
      <c r="F1611" s="311">
        <f t="shared" si="15"/>
        <v>0.89135775178182408</v>
      </c>
      <c r="G1611" s="312">
        <v>560.94200000000001</v>
      </c>
      <c r="H1611" s="177" t="s">
        <v>315</v>
      </c>
      <c r="I1611" s="177" t="s">
        <v>2515</v>
      </c>
      <c r="J1611" s="177" t="s">
        <v>96</v>
      </c>
      <c r="K1611" s="125" t="s">
        <v>1906</v>
      </c>
      <c r="L1611" s="177" t="s">
        <v>153</v>
      </c>
      <c r="M1611"/>
      <c r="N1611"/>
    </row>
    <row r="1612" spans="1:14" ht="15.6" hidden="1">
      <c r="A1612" s="357">
        <v>45888</v>
      </c>
      <c r="B1612" s="177" t="s">
        <v>4749</v>
      </c>
      <c r="C1612" s="177" t="s">
        <v>172</v>
      </c>
      <c r="D1612" s="177" t="s">
        <v>440</v>
      </c>
      <c r="E1612" s="177">
        <v>4000</v>
      </c>
      <c r="F1612" s="311">
        <f t="shared" si="15"/>
        <v>7.1308620142545927</v>
      </c>
      <c r="G1612" s="312">
        <v>560.94200000000001</v>
      </c>
      <c r="H1612" s="177" t="s">
        <v>315</v>
      </c>
      <c r="I1612" s="177" t="s">
        <v>2519</v>
      </c>
      <c r="J1612" s="177" t="s">
        <v>96</v>
      </c>
      <c r="K1612" s="125" t="s">
        <v>1906</v>
      </c>
      <c r="L1612" s="177" t="s">
        <v>153</v>
      </c>
      <c r="M1612"/>
      <c r="N1612"/>
    </row>
    <row r="1613" spans="1:14" ht="15.6" hidden="1">
      <c r="A1613" s="357">
        <v>45888</v>
      </c>
      <c r="B1613" s="177" t="s">
        <v>4902</v>
      </c>
      <c r="C1613" s="177" t="s">
        <v>172</v>
      </c>
      <c r="D1613" s="177" t="s">
        <v>440</v>
      </c>
      <c r="E1613" s="177">
        <v>500</v>
      </c>
      <c r="F1613" s="311">
        <f t="shared" si="15"/>
        <v>0.89135775178182408</v>
      </c>
      <c r="G1613" s="312">
        <v>560.94200000000001</v>
      </c>
      <c r="H1613" s="177" t="s">
        <v>315</v>
      </c>
      <c r="I1613" s="177" t="s">
        <v>2515</v>
      </c>
      <c r="J1613" s="177" t="s">
        <v>96</v>
      </c>
      <c r="K1613" s="125" t="s">
        <v>1906</v>
      </c>
      <c r="L1613" s="177" t="s">
        <v>153</v>
      </c>
      <c r="M1613"/>
      <c r="N1613"/>
    </row>
    <row r="1614" spans="1:14" ht="15.6" hidden="1">
      <c r="A1614" s="357">
        <v>45888</v>
      </c>
      <c r="B1614" s="177" t="s">
        <v>4750</v>
      </c>
      <c r="C1614" s="177" t="s">
        <v>2394</v>
      </c>
      <c r="D1614" s="177" t="s">
        <v>440</v>
      </c>
      <c r="E1614" s="351">
        <v>50000</v>
      </c>
      <c r="F1614" s="311">
        <f t="shared" si="15"/>
        <v>89.135775178182413</v>
      </c>
      <c r="G1614" s="312">
        <v>560.94200000000001</v>
      </c>
      <c r="H1614" s="177" t="s">
        <v>321</v>
      </c>
      <c r="I1614" s="177" t="s">
        <v>2536</v>
      </c>
      <c r="J1614" s="177" t="s">
        <v>96</v>
      </c>
      <c r="K1614" s="125" t="s">
        <v>1906</v>
      </c>
      <c r="L1614" s="177" t="s">
        <v>153</v>
      </c>
      <c r="M1614"/>
      <c r="N1614"/>
    </row>
    <row r="1615" spans="1:14" ht="15.6" hidden="1">
      <c r="A1615" s="357">
        <v>45888</v>
      </c>
      <c r="B1615" s="177" t="s">
        <v>4903</v>
      </c>
      <c r="C1615" s="177" t="s">
        <v>172</v>
      </c>
      <c r="D1615" s="177" t="s">
        <v>440</v>
      </c>
      <c r="E1615" s="351">
        <v>1000</v>
      </c>
      <c r="F1615" s="311">
        <f t="shared" si="15"/>
        <v>1.7827155035636482</v>
      </c>
      <c r="G1615" s="312">
        <v>560.94200000000001</v>
      </c>
      <c r="H1615" s="177" t="s">
        <v>321</v>
      </c>
      <c r="I1615" s="177" t="s">
        <v>2532</v>
      </c>
      <c r="J1615" s="177" t="s">
        <v>96</v>
      </c>
      <c r="K1615" s="125" t="s">
        <v>1906</v>
      </c>
      <c r="L1615" s="177" t="s">
        <v>153</v>
      </c>
      <c r="M1615"/>
      <c r="N1615"/>
    </row>
    <row r="1616" spans="1:14" ht="15.6" hidden="1">
      <c r="A1616" s="357">
        <v>45888</v>
      </c>
      <c r="B1616" s="177" t="s">
        <v>4904</v>
      </c>
      <c r="C1616" s="177" t="s">
        <v>172</v>
      </c>
      <c r="D1616" s="177" t="s">
        <v>440</v>
      </c>
      <c r="E1616" s="351">
        <v>1000</v>
      </c>
      <c r="F1616" s="311">
        <f t="shared" si="15"/>
        <v>1.7827155035636482</v>
      </c>
      <c r="G1616" s="312">
        <v>560.94200000000001</v>
      </c>
      <c r="H1616" s="177" t="s">
        <v>321</v>
      </c>
      <c r="I1616" s="177" t="s">
        <v>2532</v>
      </c>
      <c r="J1616" s="177" t="s">
        <v>96</v>
      </c>
      <c r="K1616" s="125" t="s">
        <v>1906</v>
      </c>
      <c r="L1616" s="177" t="s">
        <v>153</v>
      </c>
      <c r="M1616"/>
      <c r="N1616"/>
    </row>
    <row r="1617" spans="1:14" ht="15.6" hidden="1">
      <c r="A1617" s="360">
        <v>45888</v>
      </c>
      <c r="B1617" s="177" t="s">
        <v>2576</v>
      </c>
      <c r="C1617" s="177" t="s">
        <v>172</v>
      </c>
      <c r="D1617" s="177" t="s">
        <v>115</v>
      </c>
      <c r="E1617" s="324">
        <v>1000</v>
      </c>
      <c r="F1617" s="311">
        <f t="shared" si="15"/>
        <v>1.7827155035636482</v>
      </c>
      <c r="G1617" s="312">
        <v>560.94200000000001</v>
      </c>
      <c r="H1617" s="177" t="s">
        <v>191</v>
      </c>
      <c r="I1617" s="177" t="s">
        <v>2607</v>
      </c>
      <c r="J1617" s="177" t="s">
        <v>96</v>
      </c>
      <c r="K1617" s="125" t="s">
        <v>1906</v>
      </c>
      <c r="L1617" s="177" t="s">
        <v>153</v>
      </c>
      <c r="M1617"/>
      <c r="N1617"/>
    </row>
    <row r="1618" spans="1:14" ht="15.6" hidden="1">
      <c r="A1618" s="360">
        <v>45888</v>
      </c>
      <c r="B1618" s="177" t="s">
        <v>2577</v>
      </c>
      <c r="C1618" s="177" t="s">
        <v>172</v>
      </c>
      <c r="D1618" s="177" t="s">
        <v>115</v>
      </c>
      <c r="E1618" s="324">
        <v>4000</v>
      </c>
      <c r="F1618" s="311">
        <f t="shared" si="15"/>
        <v>7.1308620142545927</v>
      </c>
      <c r="G1618" s="312">
        <v>560.94200000000001</v>
      </c>
      <c r="H1618" s="177" t="s">
        <v>191</v>
      </c>
      <c r="I1618" s="177" t="s">
        <v>2610</v>
      </c>
      <c r="J1618" s="177" t="s">
        <v>96</v>
      </c>
      <c r="K1618" s="125" t="s">
        <v>1906</v>
      </c>
      <c r="L1618" s="177" t="s">
        <v>153</v>
      </c>
      <c r="M1618"/>
      <c r="N1618"/>
    </row>
    <row r="1619" spans="1:14" ht="15.6" hidden="1">
      <c r="A1619" s="360">
        <v>45888</v>
      </c>
      <c r="B1619" s="177" t="s">
        <v>2578</v>
      </c>
      <c r="C1619" s="177" t="s">
        <v>172</v>
      </c>
      <c r="D1619" s="177" t="s">
        <v>115</v>
      </c>
      <c r="E1619" s="324">
        <v>500</v>
      </c>
      <c r="F1619" s="311">
        <f t="shared" si="15"/>
        <v>0.89135775178182408</v>
      </c>
      <c r="G1619" s="312">
        <v>560.94200000000001</v>
      </c>
      <c r="H1619" s="177" t="s">
        <v>191</v>
      </c>
      <c r="I1619" s="177" t="s">
        <v>2607</v>
      </c>
      <c r="J1619" s="177" t="s">
        <v>96</v>
      </c>
      <c r="K1619" s="125" t="s">
        <v>1906</v>
      </c>
      <c r="L1619" s="177" t="s">
        <v>153</v>
      </c>
      <c r="M1619"/>
      <c r="N1619"/>
    </row>
    <row r="1620" spans="1:14" ht="15.6" hidden="1">
      <c r="A1620" s="360">
        <v>45888</v>
      </c>
      <c r="B1620" s="177" t="s">
        <v>2579</v>
      </c>
      <c r="C1620" s="177" t="s">
        <v>172</v>
      </c>
      <c r="D1620" s="177" t="s">
        <v>115</v>
      </c>
      <c r="E1620" s="324">
        <v>300</v>
      </c>
      <c r="F1620" s="311">
        <f t="shared" si="15"/>
        <v>0.53481465106909443</v>
      </c>
      <c r="G1620" s="312">
        <v>560.94200000000001</v>
      </c>
      <c r="H1620" s="177" t="s">
        <v>191</v>
      </c>
      <c r="I1620" s="177" t="s">
        <v>2607</v>
      </c>
      <c r="J1620" s="177" t="s">
        <v>96</v>
      </c>
      <c r="K1620" s="125" t="s">
        <v>1906</v>
      </c>
      <c r="L1620" s="177" t="s">
        <v>153</v>
      </c>
      <c r="M1620"/>
      <c r="N1620"/>
    </row>
    <row r="1621" spans="1:14" ht="15.6" hidden="1">
      <c r="A1621" s="360">
        <v>45888</v>
      </c>
      <c r="B1621" s="177" t="s">
        <v>2580</v>
      </c>
      <c r="C1621" s="177" t="s">
        <v>311</v>
      </c>
      <c r="D1621" s="177" t="s">
        <v>115</v>
      </c>
      <c r="E1621" s="324">
        <v>1500</v>
      </c>
      <c r="F1621" s="311">
        <f t="shared" si="15"/>
        <v>2.6740732553454722</v>
      </c>
      <c r="G1621" s="312">
        <v>560.94200000000001</v>
      </c>
      <c r="H1621" s="177" t="s">
        <v>191</v>
      </c>
      <c r="I1621" s="177" t="s">
        <v>2611</v>
      </c>
      <c r="J1621" s="177" t="s">
        <v>96</v>
      </c>
      <c r="K1621" s="125" t="s">
        <v>1906</v>
      </c>
      <c r="L1621" s="177" t="s">
        <v>153</v>
      </c>
      <c r="M1621"/>
      <c r="N1621"/>
    </row>
    <row r="1622" spans="1:14" ht="15.6" hidden="1">
      <c r="A1622" s="360">
        <v>45888</v>
      </c>
      <c r="B1622" s="177" t="s">
        <v>2581</v>
      </c>
      <c r="C1622" s="177" t="s">
        <v>172</v>
      </c>
      <c r="D1622" s="177" t="s">
        <v>115</v>
      </c>
      <c r="E1622" s="324">
        <v>300</v>
      </c>
      <c r="F1622" s="311">
        <f t="shared" si="15"/>
        <v>0.53481465106909443</v>
      </c>
      <c r="G1622" s="312">
        <v>560.94200000000001</v>
      </c>
      <c r="H1622" s="177" t="s">
        <v>191</v>
      </c>
      <c r="I1622" s="177" t="s">
        <v>2607</v>
      </c>
      <c r="J1622" s="177" t="s">
        <v>96</v>
      </c>
      <c r="K1622" s="125" t="s">
        <v>1906</v>
      </c>
      <c r="L1622" s="177" t="s">
        <v>153</v>
      </c>
      <c r="M1622"/>
      <c r="N1622"/>
    </row>
    <row r="1623" spans="1:14" ht="15.6" hidden="1">
      <c r="A1623" s="360">
        <v>45888</v>
      </c>
      <c r="B1623" s="177" t="s">
        <v>2582</v>
      </c>
      <c r="C1623" s="177" t="s">
        <v>172</v>
      </c>
      <c r="D1623" s="177" t="s">
        <v>115</v>
      </c>
      <c r="E1623" s="324">
        <v>300</v>
      </c>
      <c r="F1623" s="311">
        <f t="shared" si="15"/>
        <v>0.53481465106909443</v>
      </c>
      <c r="G1623" s="312">
        <v>560.94200000000001</v>
      </c>
      <c r="H1623" s="177" t="s">
        <v>191</v>
      </c>
      <c r="I1623" s="177" t="s">
        <v>2607</v>
      </c>
      <c r="J1623" s="177" t="s">
        <v>96</v>
      </c>
      <c r="K1623" s="125" t="s">
        <v>1906</v>
      </c>
      <c r="L1623" s="177" t="s">
        <v>153</v>
      </c>
      <c r="M1623"/>
      <c r="N1623"/>
    </row>
    <row r="1624" spans="1:14" ht="15.6" hidden="1">
      <c r="A1624" s="360">
        <v>45888</v>
      </c>
      <c r="B1624" s="177" t="s">
        <v>2583</v>
      </c>
      <c r="C1624" s="177" t="s">
        <v>175</v>
      </c>
      <c r="D1624" s="177" t="s">
        <v>115</v>
      </c>
      <c r="E1624" s="324">
        <v>20000</v>
      </c>
      <c r="F1624" s="311">
        <f t="shared" si="15"/>
        <v>35.654310071272967</v>
      </c>
      <c r="G1624" s="312">
        <v>560.94200000000001</v>
      </c>
      <c r="H1624" s="177" t="s">
        <v>191</v>
      </c>
      <c r="I1624" s="177" t="s">
        <v>2612</v>
      </c>
      <c r="J1624" s="177" t="s">
        <v>96</v>
      </c>
      <c r="K1624" s="125" t="s">
        <v>1906</v>
      </c>
      <c r="L1624" s="177" t="s">
        <v>153</v>
      </c>
      <c r="M1624"/>
      <c r="N1624"/>
    </row>
    <row r="1625" spans="1:14" ht="15.6" hidden="1">
      <c r="A1625" s="357">
        <v>45888</v>
      </c>
      <c r="B1625" s="177" t="s">
        <v>2710</v>
      </c>
      <c r="C1625" s="177" t="s">
        <v>172</v>
      </c>
      <c r="D1625" s="177" t="s">
        <v>115</v>
      </c>
      <c r="E1625" s="177">
        <v>1000</v>
      </c>
      <c r="F1625" s="311">
        <f t="shared" si="15"/>
        <v>1.7827155035636482</v>
      </c>
      <c r="G1625" s="312">
        <v>560.94200000000001</v>
      </c>
      <c r="H1625" s="177" t="s">
        <v>185</v>
      </c>
      <c r="I1625" s="177" t="s">
        <v>2719</v>
      </c>
      <c r="J1625" s="177" t="s">
        <v>96</v>
      </c>
      <c r="K1625" s="125" t="s">
        <v>1906</v>
      </c>
      <c r="L1625" s="177" t="s">
        <v>153</v>
      </c>
      <c r="M1625"/>
      <c r="N1625"/>
    </row>
    <row r="1626" spans="1:14" ht="15.6" hidden="1">
      <c r="A1626" s="357">
        <v>45888</v>
      </c>
      <c r="B1626" s="177" t="s">
        <v>2711</v>
      </c>
      <c r="C1626" s="177" t="s">
        <v>172</v>
      </c>
      <c r="D1626" s="177" t="s">
        <v>115</v>
      </c>
      <c r="E1626" s="177">
        <v>1000</v>
      </c>
      <c r="F1626" s="311">
        <f t="shared" si="15"/>
        <v>1.7827155035636482</v>
      </c>
      <c r="G1626" s="312">
        <v>560.94200000000001</v>
      </c>
      <c r="H1626" s="177" t="s">
        <v>185</v>
      </c>
      <c r="I1626" s="177" t="s">
        <v>2719</v>
      </c>
      <c r="J1626" s="177" t="s">
        <v>96</v>
      </c>
      <c r="K1626" s="125" t="s">
        <v>1906</v>
      </c>
      <c r="L1626" s="177" t="s">
        <v>153</v>
      </c>
      <c r="M1626"/>
      <c r="N1626"/>
    </row>
    <row r="1627" spans="1:14" ht="15.6" hidden="1">
      <c r="A1627" s="357">
        <v>45888</v>
      </c>
      <c r="B1627" s="177" t="s">
        <v>2712</v>
      </c>
      <c r="C1627" s="177" t="s">
        <v>172</v>
      </c>
      <c r="D1627" s="177" t="s">
        <v>115</v>
      </c>
      <c r="E1627" s="177">
        <v>1000</v>
      </c>
      <c r="F1627" s="311">
        <f t="shared" si="15"/>
        <v>1.7827155035636482</v>
      </c>
      <c r="G1627" s="312">
        <v>560.94200000000001</v>
      </c>
      <c r="H1627" s="177" t="s">
        <v>185</v>
      </c>
      <c r="I1627" s="177" t="s">
        <v>2719</v>
      </c>
      <c r="J1627" s="177" t="s">
        <v>96</v>
      </c>
      <c r="K1627" s="125" t="s">
        <v>1906</v>
      </c>
      <c r="L1627" s="177" t="s">
        <v>153</v>
      </c>
      <c r="M1627"/>
      <c r="N1627"/>
    </row>
    <row r="1628" spans="1:14" ht="15.6" hidden="1">
      <c r="A1628" s="357">
        <v>45888</v>
      </c>
      <c r="B1628" s="177" t="s">
        <v>2548</v>
      </c>
      <c r="C1628" s="177" t="s">
        <v>172</v>
      </c>
      <c r="D1628" s="177" t="s">
        <v>115</v>
      </c>
      <c r="E1628" s="324">
        <v>9000</v>
      </c>
      <c r="F1628" s="311">
        <f t="shared" si="15"/>
        <v>16.044439532072836</v>
      </c>
      <c r="G1628" s="312">
        <v>560.94200000000001</v>
      </c>
      <c r="H1628" s="177" t="s">
        <v>188</v>
      </c>
      <c r="I1628" s="177" t="s">
        <v>2567</v>
      </c>
      <c r="J1628" s="177" t="s">
        <v>96</v>
      </c>
      <c r="K1628" s="125" t="s">
        <v>1906</v>
      </c>
      <c r="L1628" s="177" t="s">
        <v>153</v>
      </c>
      <c r="M1628"/>
      <c r="N1628"/>
    </row>
    <row r="1629" spans="1:14" ht="15.6" hidden="1">
      <c r="A1629" s="353">
        <v>45889</v>
      </c>
      <c r="B1629" s="377" t="s">
        <v>2103</v>
      </c>
      <c r="C1629" s="299" t="s">
        <v>172</v>
      </c>
      <c r="D1629" s="299" t="s">
        <v>117</v>
      </c>
      <c r="E1629" s="377">
        <v>1000</v>
      </c>
      <c r="F1629" s="311">
        <f t="shared" si="15"/>
        <v>1.7827155035636482</v>
      </c>
      <c r="G1629" s="312">
        <v>560.94200000000001</v>
      </c>
      <c r="H1629" s="384" t="s">
        <v>151</v>
      </c>
      <c r="I1629" s="385" t="s">
        <v>2428</v>
      </c>
      <c r="J1629" s="177" t="s">
        <v>96</v>
      </c>
      <c r="K1629" s="125" t="s">
        <v>1906</v>
      </c>
      <c r="L1629" s="177" t="s">
        <v>153</v>
      </c>
      <c r="M1629" s="371"/>
      <c r="N1629" s="371"/>
    </row>
    <row r="1630" spans="1:14" ht="15.6" hidden="1">
      <c r="A1630" s="353">
        <v>45889</v>
      </c>
      <c r="B1630" s="377" t="s">
        <v>2104</v>
      </c>
      <c r="C1630" s="299" t="s">
        <v>172</v>
      </c>
      <c r="D1630" s="299" t="s">
        <v>117</v>
      </c>
      <c r="E1630" s="377">
        <v>1000</v>
      </c>
      <c r="F1630" s="311">
        <f t="shared" si="15"/>
        <v>1.7827155035636482</v>
      </c>
      <c r="G1630" s="312">
        <v>560.94200000000001</v>
      </c>
      <c r="H1630" s="384" t="s">
        <v>151</v>
      </c>
      <c r="I1630" s="385" t="s">
        <v>2428</v>
      </c>
      <c r="J1630" s="177" t="s">
        <v>96</v>
      </c>
      <c r="K1630" s="125" t="s">
        <v>1906</v>
      </c>
      <c r="L1630" s="177" t="s">
        <v>153</v>
      </c>
      <c r="M1630" s="371"/>
      <c r="N1630" s="371"/>
    </row>
    <row r="1631" spans="1:14" ht="15.6" hidden="1">
      <c r="A1631" s="359">
        <v>45889</v>
      </c>
      <c r="B1631" s="177" t="s">
        <v>2454</v>
      </c>
      <c r="C1631" s="177" t="s">
        <v>172</v>
      </c>
      <c r="D1631" s="177" t="s">
        <v>116</v>
      </c>
      <c r="E1631" s="324">
        <v>500</v>
      </c>
      <c r="F1631" s="311">
        <f t="shared" si="15"/>
        <v>0.89135775178182408</v>
      </c>
      <c r="G1631" s="312">
        <v>560.94200000000001</v>
      </c>
      <c r="H1631" s="177" t="s">
        <v>581</v>
      </c>
      <c r="I1631" s="177" t="s">
        <v>2467</v>
      </c>
      <c r="J1631" s="177" t="s">
        <v>96</v>
      </c>
      <c r="K1631" s="125" t="s">
        <v>1906</v>
      </c>
      <c r="L1631" s="177" t="s">
        <v>153</v>
      </c>
      <c r="M1631" s="371"/>
      <c r="N1631" s="371"/>
    </row>
    <row r="1632" spans="1:14" ht="15.6" hidden="1">
      <c r="A1632" s="359">
        <v>45889</v>
      </c>
      <c r="B1632" s="177" t="s">
        <v>2455</v>
      </c>
      <c r="C1632" s="177" t="s">
        <v>172</v>
      </c>
      <c r="D1632" s="177" t="s">
        <v>116</v>
      </c>
      <c r="E1632" s="324">
        <v>500</v>
      </c>
      <c r="F1632" s="311">
        <f t="shared" si="15"/>
        <v>0.89135775178182408</v>
      </c>
      <c r="G1632" s="312">
        <v>560.94200000000001</v>
      </c>
      <c r="H1632" s="177" t="s">
        <v>581</v>
      </c>
      <c r="I1632" s="177" t="s">
        <v>2467</v>
      </c>
      <c r="J1632" s="177" t="s">
        <v>96</v>
      </c>
      <c r="K1632" s="125" t="s">
        <v>1906</v>
      </c>
      <c r="L1632" s="177" t="s">
        <v>153</v>
      </c>
      <c r="M1632" s="371"/>
      <c r="N1632" s="371"/>
    </row>
    <row r="1633" spans="1:14" ht="15.6" hidden="1">
      <c r="A1633" s="362">
        <v>45889</v>
      </c>
      <c r="B1633" s="177" t="s">
        <v>2351</v>
      </c>
      <c r="C1633" s="177" t="s">
        <v>180</v>
      </c>
      <c r="D1633" s="177" t="s">
        <v>116</v>
      </c>
      <c r="E1633" s="324">
        <v>3180</v>
      </c>
      <c r="F1633" s="311">
        <f t="shared" si="15"/>
        <v>5.6690353013324017</v>
      </c>
      <c r="G1633" s="312">
        <v>560.94200000000001</v>
      </c>
      <c r="H1633" s="177" t="s">
        <v>581</v>
      </c>
      <c r="I1633" s="177" t="s">
        <v>2352</v>
      </c>
      <c r="J1633" s="177" t="s">
        <v>96</v>
      </c>
      <c r="K1633" s="125" t="s">
        <v>1906</v>
      </c>
      <c r="L1633" s="177" t="s">
        <v>153</v>
      </c>
      <c r="M1633" s="371"/>
      <c r="N1633" s="371"/>
    </row>
    <row r="1634" spans="1:14" ht="15.6" hidden="1">
      <c r="A1634" s="237">
        <v>45889</v>
      </c>
      <c r="B1634" s="172" t="s">
        <v>4889</v>
      </c>
      <c r="C1634" s="172" t="s">
        <v>172</v>
      </c>
      <c r="D1634" s="177" t="s">
        <v>440</v>
      </c>
      <c r="E1634" s="172">
        <v>1000</v>
      </c>
      <c r="F1634" s="311">
        <f t="shared" si="15"/>
        <v>1.7827155035636482</v>
      </c>
      <c r="G1634" s="312">
        <v>560.94200000000001</v>
      </c>
      <c r="H1634" s="172" t="s">
        <v>182</v>
      </c>
      <c r="I1634" s="172" t="s">
        <v>2477</v>
      </c>
      <c r="J1634" s="177" t="s">
        <v>96</v>
      </c>
      <c r="K1634" s="125" t="s">
        <v>1906</v>
      </c>
      <c r="L1634" s="177" t="s">
        <v>153</v>
      </c>
      <c r="M1634"/>
      <c r="N1634"/>
    </row>
    <row r="1635" spans="1:14" ht="15.6" hidden="1">
      <c r="A1635" s="237">
        <v>45889</v>
      </c>
      <c r="B1635" s="172" t="s">
        <v>4894</v>
      </c>
      <c r="C1635" s="172" t="s">
        <v>172</v>
      </c>
      <c r="D1635" s="177" t="s">
        <v>440</v>
      </c>
      <c r="E1635" s="172">
        <v>1000</v>
      </c>
      <c r="F1635" s="311">
        <f t="shared" si="15"/>
        <v>1.7827155035636482</v>
      </c>
      <c r="G1635" s="312">
        <v>560.94200000000001</v>
      </c>
      <c r="H1635" s="172" t="s">
        <v>182</v>
      </c>
      <c r="I1635" s="172" t="s">
        <v>2477</v>
      </c>
      <c r="J1635" s="177" t="s">
        <v>96</v>
      </c>
      <c r="K1635" s="125" t="s">
        <v>1906</v>
      </c>
      <c r="L1635" s="177" t="s">
        <v>153</v>
      </c>
      <c r="M1635"/>
      <c r="N1635"/>
    </row>
    <row r="1636" spans="1:14" ht="15.6" hidden="1">
      <c r="A1636" s="237">
        <v>45889</v>
      </c>
      <c r="B1636" s="172" t="s">
        <v>4905</v>
      </c>
      <c r="C1636" s="172" t="s">
        <v>172</v>
      </c>
      <c r="D1636" s="177" t="s">
        <v>440</v>
      </c>
      <c r="E1636" s="172">
        <v>1000</v>
      </c>
      <c r="F1636" s="311">
        <f t="shared" si="15"/>
        <v>1.7827155035636482</v>
      </c>
      <c r="G1636" s="312">
        <v>560.94200000000001</v>
      </c>
      <c r="H1636" s="172" t="s">
        <v>182</v>
      </c>
      <c r="I1636" s="172" t="s">
        <v>2477</v>
      </c>
      <c r="J1636" s="177" t="s">
        <v>96</v>
      </c>
      <c r="K1636" s="125" t="s">
        <v>1906</v>
      </c>
      <c r="L1636" s="177" t="s">
        <v>153</v>
      </c>
      <c r="M1636"/>
      <c r="N1636"/>
    </row>
    <row r="1637" spans="1:14" ht="15.6" hidden="1">
      <c r="A1637" s="237">
        <v>45889</v>
      </c>
      <c r="B1637" s="172" t="s">
        <v>4894</v>
      </c>
      <c r="C1637" s="172" t="s">
        <v>172</v>
      </c>
      <c r="D1637" s="177" t="s">
        <v>440</v>
      </c>
      <c r="E1637" s="172">
        <v>1000</v>
      </c>
      <c r="F1637" s="311">
        <f t="shared" si="15"/>
        <v>1.7827155035636482</v>
      </c>
      <c r="G1637" s="312">
        <v>560.94200000000001</v>
      </c>
      <c r="H1637" s="172" t="s">
        <v>182</v>
      </c>
      <c r="I1637" s="172" t="s">
        <v>2477</v>
      </c>
      <c r="J1637" s="177" t="s">
        <v>96</v>
      </c>
      <c r="K1637" s="125" t="s">
        <v>1906</v>
      </c>
      <c r="L1637" s="177" t="s">
        <v>153</v>
      </c>
      <c r="M1637"/>
      <c r="N1637"/>
    </row>
    <row r="1638" spans="1:14" ht="15.6" hidden="1">
      <c r="A1638" s="360">
        <v>45889</v>
      </c>
      <c r="B1638" s="177" t="s">
        <v>4906</v>
      </c>
      <c r="C1638" s="177" t="s">
        <v>172</v>
      </c>
      <c r="D1638" s="177" t="s">
        <v>440</v>
      </c>
      <c r="E1638" s="177">
        <v>500</v>
      </c>
      <c r="F1638" s="311">
        <f t="shared" si="15"/>
        <v>0.89135775178182408</v>
      </c>
      <c r="G1638" s="312">
        <v>560.94200000000001</v>
      </c>
      <c r="H1638" s="177" t="s">
        <v>173</v>
      </c>
      <c r="I1638" s="177" t="s">
        <v>2496</v>
      </c>
      <c r="J1638" s="177" t="s">
        <v>96</v>
      </c>
      <c r="K1638" s="125" t="s">
        <v>1906</v>
      </c>
      <c r="L1638" s="177" t="s">
        <v>153</v>
      </c>
      <c r="M1638"/>
      <c r="N1638"/>
    </row>
    <row r="1639" spans="1:14" ht="15.6" hidden="1">
      <c r="A1639" s="360">
        <v>45889</v>
      </c>
      <c r="B1639" s="177" t="s">
        <v>4906</v>
      </c>
      <c r="C1639" s="177" t="s">
        <v>172</v>
      </c>
      <c r="D1639" s="177" t="s">
        <v>440</v>
      </c>
      <c r="E1639" s="177">
        <v>500</v>
      </c>
      <c r="F1639" s="311">
        <f t="shared" si="15"/>
        <v>0.89135775178182408</v>
      </c>
      <c r="G1639" s="312">
        <v>560.94200000000001</v>
      </c>
      <c r="H1639" s="177" t="s">
        <v>173</v>
      </c>
      <c r="I1639" s="177" t="s">
        <v>2496</v>
      </c>
      <c r="J1639" s="177" t="s">
        <v>96</v>
      </c>
      <c r="K1639" s="125" t="s">
        <v>1906</v>
      </c>
      <c r="L1639" s="177" t="s">
        <v>153</v>
      </c>
      <c r="M1639"/>
      <c r="N1639"/>
    </row>
    <row r="1640" spans="1:14" ht="15.6" hidden="1">
      <c r="A1640" s="357">
        <v>45889</v>
      </c>
      <c r="B1640" s="177" t="s">
        <v>4888</v>
      </c>
      <c r="C1640" s="177" t="s">
        <v>172</v>
      </c>
      <c r="D1640" s="177" t="s">
        <v>440</v>
      </c>
      <c r="E1640" s="177">
        <v>500</v>
      </c>
      <c r="F1640" s="311">
        <f t="shared" si="15"/>
        <v>0.89135775178182408</v>
      </c>
      <c r="G1640" s="312">
        <v>560.94200000000001</v>
      </c>
      <c r="H1640" s="177" t="s">
        <v>315</v>
      </c>
      <c r="I1640" s="177" t="s">
        <v>2515</v>
      </c>
      <c r="J1640" s="177" t="s">
        <v>96</v>
      </c>
      <c r="K1640" s="125" t="s">
        <v>1906</v>
      </c>
      <c r="L1640" s="177" t="s">
        <v>153</v>
      </c>
      <c r="M1640"/>
      <c r="N1640"/>
    </row>
    <row r="1641" spans="1:14" ht="15.6" hidden="1">
      <c r="A1641" s="357">
        <v>45889</v>
      </c>
      <c r="B1641" s="177" t="s">
        <v>4766</v>
      </c>
      <c r="C1641" s="177" t="s">
        <v>363</v>
      </c>
      <c r="D1641" s="177" t="s">
        <v>440</v>
      </c>
      <c r="E1641" s="177">
        <v>1500</v>
      </c>
      <c r="F1641" s="311">
        <f t="shared" si="15"/>
        <v>2.6740732553454722</v>
      </c>
      <c r="G1641" s="312">
        <v>560.94200000000001</v>
      </c>
      <c r="H1641" s="177" t="s">
        <v>315</v>
      </c>
      <c r="I1641" s="177" t="s">
        <v>2520</v>
      </c>
      <c r="J1641" s="177" t="s">
        <v>96</v>
      </c>
      <c r="K1641" s="125" t="s">
        <v>1906</v>
      </c>
      <c r="L1641" s="177" t="s">
        <v>153</v>
      </c>
      <c r="M1641"/>
      <c r="N1641"/>
    </row>
    <row r="1642" spans="1:14" ht="15.6" hidden="1">
      <c r="A1642" s="357">
        <v>45889</v>
      </c>
      <c r="B1642" s="177" t="s">
        <v>4896</v>
      </c>
      <c r="C1642" s="177" t="s">
        <v>172</v>
      </c>
      <c r="D1642" s="177" t="s">
        <v>440</v>
      </c>
      <c r="E1642" s="177">
        <v>500</v>
      </c>
      <c r="F1642" s="311">
        <f t="shared" si="15"/>
        <v>0.89135775178182408</v>
      </c>
      <c r="G1642" s="312">
        <v>560.94200000000001</v>
      </c>
      <c r="H1642" s="177" t="s">
        <v>315</v>
      </c>
      <c r="I1642" s="177" t="s">
        <v>2515</v>
      </c>
      <c r="J1642" s="177" t="s">
        <v>96</v>
      </c>
      <c r="K1642" s="125" t="s">
        <v>1906</v>
      </c>
      <c r="L1642" s="177" t="s">
        <v>153</v>
      </c>
      <c r="M1642"/>
      <c r="N1642"/>
    </row>
    <row r="1643" spans="1:14" ht="15.6" hidden="1">
      <c r="A1643" s="357">
        <v>45889</v>
      </c>
      <c r="B1643" s="177" t="s">
        <v>4888</v>
      </c>
      <c r="C1643" s="177" t="s">
        <v>172</v>
      </c>
      <c r="D1643" s="177" t="s">
        <v>440</v>
      </c>
      <c r="E1643" s="177">
        <v>500</v>
      </c>
      <c r="F1643" s="311">
        <f t="shared" ref="F1643:F1706" si="16">E1643/G1643</f>
        <v>0.89135775178182408</v>
      </c>
      <c r="G1643" s="312">
        <v>560.94200000000001</v>
      </c>
      <c r="H1643" s="177" t="s">
        <v>315</v>
      </c>
      <c r="I1643" s="177" t="s">
        <v>2515</v>
      </c>
      <c r="J1643" s="177" t="s">
        <v>96</v>
      </c>
      <c r="K1643" s="125" t="s">
        <v>1906</v>
      </c>
      <c r="L1643" s="177" t="s">
        <v>153</v>
      </c>
      <c r="M1643"/>
      <c r="N1643"/>
    </row>
    <row r="1644" spans="1:14" ht="15.6" hidden="1">
      <c r="A1644" s="357">
        <v>45889</v>
      </c>
      <c r="B1644" s="177" t="s">
        <v>4888</v>
      </c>
      <c r="C1644" s="177" t="s">
        <v>172</v>
      </c>
      <c r="D1644" s="177" t="s">
        <v>440</v>
      </c>
      <c r="E1644" s="177">
        <v>500</v>
      </c>
      <c r="F1644" s="311">
        <f t="shared" si="16"/>
        <v>0.89135775178182408</v>
      </c>
      <c r="G1644" s="312">
        <v>560.94200000000001</v>
      </c>
      <c r="H1644" s="177" t="s">
        <v>315</v>
      </c>
      <c r="I1644" s="177" t="s">
        <v>2515</v>
      </c>
      <c r="J1644" s="177" t="s">
        <v>96</v>
      </c>
      <c r="K1644" s="125" t="s">
        <v>1906</v>
      </c>
      <c r="L1644" s="177" t="s">
        <v>153</v>
      </c>
      <c r="M1644"/>
      <c r="N1644"/>
    </row>
    <row r="1645" spans="1:14" ht="15.6" hidden="1">
      <c r="A1645" s="357">
        <v>45889</v>
      </c>
      <c r="B1645" s="177" t="s">
        <v>4888</v>
      </c>
      <c r="C1645" s="177" t="s">
        <v>172</v>
      </c>
      <c r="D1645" s="177" t="s">
        <v>440</v>
      </c>
      <c r="E1645" s="177">
        <v>500</v>
      </c>
      <c r="F1645" s="311">
        <f t="shared" si="16"/>
        <v>0.89135775178182408</v>
      </c>
      <c r="G1645" s="312">
        <v>560.94200000000001</v>
      </c>
      <c r="H1645" s="177" t="s">
        <v>315</v>
      </c>
      <c r="I1645" s="177" t="s">
        <v>2515</v>
      </c>
      <c r="J1645" s="177" t="s">
        <v>96</v>
      </c>
      <c r="K1645" s="125" t="s">
        <v>1906</v>
      </c>
      <c r="L1645" s="177" t="s">
        <v>153</v>
      </c>
      <c r="M1645"/>
      <c r="N1645"/>
    </row>
    <row r="1646" spans="1:14" ht="15.6" hidden="1">
      <c r="A1646" s="357">
        <v>45889</v>
      </c>
      <c r="B1646" s="177" t="s">
        <v>4907</v>
      </c>
      <c r="C1646" s="177" t="s">
        <v>172</v>
      </c>
      <c r="D1646" s="177" t="s">
        <v>440</v>
      </c>
      <c r="E1646" s="351">
        <v>1000</v>
      </c>
      <c r="F1646" s="311">
        <f t="shared" si="16"/>
        <v>1.7827155035636482</v>
      </c>
      <c r="G1646" s="312">
        <v>560.94200000000001</v>
      </c>
      <c r="H1646" s="177" t="s">
        <v>321</v>
      </c>
      <c r="I1646" s="177" t="s">
        <v>2532</v>
      </c>
      <c r="J1646" s="177" t="s">
        <v>96</v>
      </c>
      <c r="K1646" s="125" t="s">
        <v>1906</v>
      </c>
      <c r="L1646" s="177" t="s">
        <v>153</v>
      </c>
      <c r="M1646"/>
      <c r="N1646"/>
    </row>
    <row r="1647" spans="1:14" ht="15.6" hidden="1">
      <c r="A1647" s="357">
        <v>45889</v>
      </c>
      <c r="B1647" s="177" t="s">
        <v>4907</v>
      </c>
      <c r="C1647" s="177" t="s">
        <v>172</v>
      </c>
      <c r="D1647" s="177" t="s">
        <v>440</v>
      </c>
      <c r="E1647" s="351">
        <v>1000</v>
      </c>
      <c r="F1647" s="311">
        <f t="shared" si="16"/>
        <v>1.7827155035636482</v>
      </c>
      <c r="G1647" s="312">
        <v>560.94200000000001</v>
      </c>
      <c r="H1647" s="177" t="s">
        <v>321</v>
      </c>
      <c r="I1647" s="177" t="s">
        <v>2532</v>
      </c>
      <c r="J1647" s="177" t="s">
        <v>96</v>
      </c>
      <c r="K1647" s="125" t="s">
        <v>1906</v>
      </c>
      <c r="L1647" s="177" t="s">
        <v>153</v>
      </c>
      <c r="M1647"/>
      <c r="N1647"/>
    </row>
    <row r="1648" spans="1:14" ht="15.6" hidden="1">
      <c r="A1648" s="357">
        <v>45889</v>
      </c>
      <c r="B1648" s="177" t="s">
        <v>4908</v>
      </c>
      <c r="C1648" s="177" t="s">
        <v>172</v>
      </c>
      <c r="D1648" s="177" t="s">
        <v>440</v>
      </c>
      <c r="E1648" s="351">
        <v>1000</v>
      </c>
      <c r="F1648" s="311">
        <f t="shared" si="16"/>
        <v>1.7827155035636482</v>
      </c>
      <c r="G1648" s="312">
        <v>560.94200000000001</v>
      </c>
      <c r="H1648" s="177" t="s">
        <v>321</v>
      </c>
      <c r="I1648" s="177" t="s">
        <v>2532</v>
      </c>
      <c r="J1648" s="177" t="s">
        <v>96</v>
      </c>
      <c r="K1648" s="125" t="s">
        <v>1906</v>
      </c>
      <c r="L1648" s="177" t="s">
        <v>153</v>
      </c>
      <c r="M1648"/>
      <c r="N1648"/>
    </row>
    <row r="1649" spans="1:14" ht="15.6" hidden="1">
      <c r="A1649" s="357">
        <v>45889</v>
      </c>
      <c r="B1649" s="177" t="s">
        <v>4907</v>
      </c>
      <c r="C1649" s="177" t="s">
        <v>172</v>
      </c>
      <c r="D1649" s="177" t="s">
        <v>440</v>
      </c>
      <c r="E1649" s="351">
        <v>1000</v>
      </c>
      <c r="F1649" s="311">
        <f t="shared" si="16"/>
        <v>1.7827155035636482</v>
      </c>
      <c r="G1649" s="312">
        <v>560.94200000000001</v>
      </c>
      <c r="H1649" s="177" t="s">
        <v>321</v>
      </c>
      <c r="I1649" s="177" t="s">
        <v>2532</v>
      </c>
      <c r="J1649" s="177" t="s">
        <v>96</v>
      </c>
      <c r="K1649" s="125" t="s">
        <v>1906</v>
      </c>
      <c r="L1649" s="177" t="s">
        <v>153</v>
      </c>
      <c r="M1649"/>
      <c r="N1649"/>
    </row>
    <row r="1650" spans="1:14" ht="15.6" hidden="1">
      <c r="A1650" s="357">
        <v>45889</v>
      </c>
      <c r="B1650" s="177" t="s">
        <v>4867</v>
      </c>
      <c r="C1650" s="177" t="s">
        <v>366</v>
      </c>
      <c r="D1650" s="177" t="s">
        <v>440</v>
      </c>
      <c r="E1650" s="351">
        <v>1000</v>
      </c>
      <c r="F1650" s="311">
        <f t="shared" si="16"/>
        <v>1.7827155035636482</v>
      </c>
      <c r="G1650" s="312">
        <v>560.94200000000001</v>
      </c>
      <c r="H1650" s="177" t="s">
        <v>321</v>
      </c>
      <c r="I1650" s="177" t="s">
        <v>2537</v>
      </c>
      <c r="J1650" s="177" t="s">
        <v>96</v>
      </c>
      <c r="K1650" s="125" t="s">
        <v>1906</v>
      </c>
      <c r="L1650" s="177" t="s">
        <v>153</v>
      </c>
      <c r="M1650"/>
      <c r="N1650"/>
    </row>
    <row r="1651" spans="1:14" ht="15.6" hidden="1">
      <c r="A1651" s="357">
        <v>45889</v>
      </c>
      <c r="B1651" s="177" t="s">
        <v>4909</v>
      </c>
      <c r="C1651" s="177" t="s">
        <v>172</v>
      </c>
      <c r="D1651" s="177" t="s">
        <v>440</v>
      </c>
      <c r="E1651" s="351">
        <v>1000</v>
      </c>
      <c r="F1651" s="311">
        <f t="shared" si="16"/>
        <v>1.7827155035636482</v>
      </c>
      <c r="G1651" s="312">
        <v>560.94200000000001</v>
      </c>
      <c r="H1651" s="177" t="s">
        <v>321</v>
      </c>
      <c r="I1651" s="177" t="s">
        <v>2532</v>
      </c>
      <c r="J1651" s="177" t="s">
        <v>96</v>
      </c>
      <c r="K1651" s="125" t="s">
        <v>1906</v>
      </c>
      <c r="L1651" s="177" t="s">
        <v>153</v>
      </c>
      <c r="M1651"/>
      <c r="N1651"/>
    </row>
    <row r="1652" spans="1:14" ht="15.6" hidden="1">
      <c r="A1652" s="357">
        <v>45889</v>
      </c>
      <c r="B1652" s="177" t="s">
        <v>2549</v>
      </c>
      <c r="C1652" s="177" t="s">
        <v>2394</v>
      </c>
      <c r="D1652" s="177" t="s">
        <v>115</v>
      </c>
      <c r="E1652" s="324">
        <v>20000</v>
      </c>
      <c r="F1652" s="311">
        <f t="shared" si="16"/>
        <v>35.654310071272967</v>
      </c>
      <c r="G1652" s="312">
        <v>560.94200000000001</v>
      </c>
      <c r="H1652" s="177" t="s">
        <v>188</v>
      </c>
      <c r="I1652" s="177" t="s">
        <v>2568</v>
      </c>
      <c r="J1652" s="177" t="s">
        <v>96</v>
      </c>
      <c r="K1652" s="125" t="s">
        <v>1906</v>
      </c>
      <c r="L1652" s="177" t="s">
        <v>153</v>
      </c>
      <c r="M1652"/>
      <c r="N1652"/>
    </row>
    <row r="1653" spans="1:14" ht="15.6" hidden="1">
      <c r="A1653" s="357">
        <v>45889</v>
      </c>
      <c r="B1653" s="177" t="s">
        <v>2550</v>
      </c>
      <c r="C1653" s="177" t="s">
        <v>172</v>
      </c>
      <c r="D1653" s="177" t="s">
        <v>115</v>
      </c>
      <c r="E1653" s="324">
        <v>1000</v>
      </c>
      <c r="F1653" s="311">
        <f t="shared" si="16"/>
        <v>1.7827155035636482</v>
      </c>
      <c r="G1653" s="312">
        <v>560.94200000000001</v>
      </c>
      <c r="H1653" s="177" t="s">
        <v>188</v>
      </c>
      <c r="I1653" s="177" t="s">
        <v>2564</v>
      </c>
      <c r="J1653" s="177" t="s">
        <v>96</v>
      </c>
      <c r="K1653" s="125" t="s">
        <v>1906</v>
      </c>
      <c r="L1653" s="177" t="s">
        <v>153</v>
      </c>
      <c r="M1653"/>
      <c r="N1653"/>
    </row>
    <row r="1654" spans="1:14" ht="15.6" hidden="1">
      <c r="A1654" s="357">
        <v>45889</v>
      </c>
      <c r="B1654" s="177" t="s">
        <v>2551</v>
      </c>
      <c r="C1654" s="177" t="s">
        <v>172</v>
      </c>
      <c r="D1654" s="177" t="s">
        <v>115</v>
      </c>
      <c r="E1654" s="324">
        <v>1000</v>
      </c>
      <c r="F1654" s="311">
        <f t="shared" si="16"/>
        <v>1.7827155035636482</v>
      </c>
      <c r="G1654" s="312">
        <v>560.94200000000001</v>
      </c>
      <c r="H1654" s="177" t="s">
        <v>188</v>
      </c>
      <c r="I1654" s="177" t="s">
        <v>2564</v>
      </c>
      <c r="J1654" s="177" t="s">
        <v>96</v>
      </c>
      <c r="K1654" s="125" t="s">
        <v>1906</v>
      </c>
      <c r="L1654" s="177" t="s">
        <v>153</v>
      </c>
      <c r="M1654"/>
      <c r="N1654"/>
    </row>
    <row r="1655" spans="1:14" ht="15.6" hidden="1">
      <c r="A1655" s="357">
        <v>45889</v>
      </c>
      <c r="B1655" s="177" t="s">
        <v>2552</v>
      </c>
      <c r="C1655" s="177" t="s">
        <v>172</v>
      </c>
      <c r="D1655" s="177" t="s">
        <v>115</v>
      </c>
      <c r="E1655" s="324">
        <v>1000</v>
      </c>
      <c r="F1655" s="311">
        <f t="shared" si="16"/>
        <v>1.7827155035636482</v>
      </c>
      <c r="G1655" s="312">
        <v>560.94200000000001</v>
      </c>
      <c r="H1655" s="177" t="s">
        <v>188</v>
      </c>
      <c r="I1655" s="177" t="s">
        <v>2564</v>
      </c>
      <c r="J1655" s="177" t="s">
        <v>96</v>
      </c>
      <c r="K1655" s="125" t="s">
        <v>1906</v>
      </c>
      <c r="L1655" s="177" t="s">
        <v>153</v>
      </c>
      <c r="M1655"/>
      <c r="N1655"/>
    </row>
    <row r="1656" spans="1:14" ht="15.6" hidden="1">
      <c r="A1656" s="357">
        <v>45889</v>
      </c>
      <c r="B1656" s="177" t="s">
        <v>2553</v>
      </c>
      <c r="C1656" s="177" t="s">
        <v>311</v>
      </c>
      <c r="D1656" s="177" t="s">
        <v>115</v>
      </c>
      <c r="E1656" s="324">
        <v>7500</v>
      </c>
      <c r="F1656" s="311">
        <f t="shared" si="16"/>
        <v>13.370366276727362</v>
      </c>
      <c r="G1656" s="312">
        <v>560.94200000000001</v>
      </c>
      <c r="H1656" s="177" t="s">
        <v>188</v>
      </c>
      <c r="I1656" s="177" t="s">
        <v>2569</v>
      </c>
      <c r="J1656" s="177" t="s">
        <v>96</v>
      </c>
      <c r="K1656" s="125" t="s">
        <v>1906</v>
      </c>
      <c r="L1656" s="177" t="s">
        <v>153</v>
      </c>
      <c r="M1656"/>
      <c r="N1656"/>
    </row>
    <row r="1657" spans="1:14" ht="15.6" hidden="1">
      <c r="A1657" s="357">
        <v>45889</v>
      </c>
      <c r="B1657" s="177" t="s">
        <v>2554</v>
      </c>
      <c r="C1657" s="177" t="s">
        <v>172</v>
      </c>
      <c r="D1657" s="177" t="s">
        <v>115</v>
      </c>
      <c r="E1657" s="324">
        <v>1000</v>
      </c>
      <c r="F1657" s="311">
        <f t="shared" si="16"/>
        <v>1.7827155035636482</v>
      </c>
      <c r="G1657" s="312">
        <v>560.94200000000001</v>
      </c>
      <c r="H1657" s="177" t="s">
        <v>188</v>
      </c>
      <c r="I1657" s="177" t="s">
        <v>2564</v>
      </c>
      <c r="J1657" s="177" t="s">
        <v>96</v>
      </c>
      <c r="K1657" s="125" t="s">
        <v>1906</v>
      </c>
      <c r="L1657" s="177" t="s">
        <v>153</v>
      </c>
      <c r="M1657"/>
      <c r="N1657"/>
    </row>
    <row r="1658" spans="1:14" ht="15.6" hidden="1">
      <c r="A1658" s="360">
        <v>45889</v>
      </c>
      <c r="B1658" s="177" t="s">
        <v>2579</v>
      </c>
      <c r="C1658" s="177" t="s">
        <v>172</v>
      </c>
      <c r="D1658" s="177" t="s">
        <v>115</v>
      </c>
      <c r="E1658" s="324">
        <v>300</v>
      </c>
      <c r="F1658" s="311">
        <f t="shared" si="16"/>
        <v>0.53481465106909443</v>
      </c>
      <c r="G1658" s="312">
        <v>560.94200000000001</v>
      </c>
      <c r="H1658" s="177" t="s">
        <v>191</v>
      </c>
      <c r="I1658" s="177" t="s">
        <v>2607</v>
      </c>
      <c r="J1658" s="177" t="s">
        <v>96</v>
      </c>
      <c r="K1658" s="125" t="s">
        <v>1906</v>
      </c>
      <c r="L1658" s="177" t="s">
        <v>153</v>
      </c>
      <c r="M1658"/>
      <c r="N1658"/>
    </row>
    <row r="1659" spans="1:14" ht="15.6" hidden="1">
      <c r="A1659" s="360">
        <v>45889</v>
      </c>
      <c r="B1659" s="177" t="s">
        <v>2584</v>
      </c>
      <c r="C1659" s="177" t="s">
        <v>311</v>
      </c>
      <c r="D1659" s="177" t="s">
        <v>115</v>
      </c>
      <c r="E1659" s="324">
        <v>1500</v>
      </c>
      <c r="F1659" s="311">
        <f t="shared" si="16"/>
        <v>2.6740732553454722</v>
      </c>
      <c r="G1659" s="312">
        <v>560.94200000000001</v>
      </c>
      <c r="H1659" s="177" t="s">
        <v>191</v>
      </c>
      <c r="I1659" s="177" t="s">
        <v>2611</v>
      </c>
      <c r="J1659" s="177" t="s">
        <v>96</v>
      </c>
      <c r="K1659" s="125" t="s">
        <v>1906</v>
      </c>
      <c r="L1659" s="177" t="s">
        <v>153</v>
      </c>
      <c r="M1659"/>
      <c r="N1659"/>
    </row>
    <row r="1660" spans="1:14" ht="15.6" hidden="1">
      <c r="A1660" s="360">
        <v>45889</v>
      </c>
      <c r="B1660" s="177" t="s">
        <v>2581</v>
      </c>
      <c r="C1660" s="177" t="s">
        <v>172</v>
      </c>
      <c r="D1660" s="177" t="s">
        <v>115</v>
      </c>
      <c r="E1660" s="324">
        <v>300</v>
      </c>
      <c r="F1660" s="311">
        <f t="shared" si="16"/>
        <v>0.53481465106909443</v>
      </c>
      <c r="G1660" s="312">
        <v>560.94200000000001</v>
      </c>
      <c r="H1660" s="177" t="s">
        <v>191</v>
      </c>
      <c r="I1660" s="177" t="s">
        <v>2607</v>
      </c>
      <c r="J1660" s="177" t="s">
        <v>96</v>
      </c>
      <c r="K1660" s="125" t="s">
        <v>1906</v>
      </c>
      <c r="L1660" s="177" t="s">
        <v>153</v>
      </c>
      <c r="M1660"/>
      <c r="N1660"/>
    </row>
    <row r="1661" spans="1:14" ht="15.6" hidden="1">
      <c r="A1661" s="360">
        <v>45889</v>
      </c>
      <c r="B1661" s="177" t="s">
        <v>2585</v>
      </c>
      <c r="C1661" s="177" t="s">
        <v>172</v>
      </c>
      <c r="D1661" s="177" t="s">
        <v>115</v>
      </c>
      <c r="E1661" s="324">
        <v>300</v>
      </c>
      <c r="F1661" s="311">
        <f t="shared" si="16"/>
        <v>0.53481465106909443</v>
      </c>
      <c r="G1661" s="312">
        <v>560.94200000000001</v>
      </c>
      <c r="H1661" s="177" t="s">
        <v>191</v>
      </c>
      <c r="I1661" s="177" t="s">
        <v>2607</v>
      </c>
      <c r="J1661" s="177" t="s">
        <v>96</v>
      </c>
      <c r="K1661" s="125" t="s">
        <v>1906</v>
      </c>
      <c r="L1661" s="177" t="s">
        <v>153</v>
      </c>
      <c r="M1661"/>
      <c r="N1661"/>
    </row>
    <row r="1662" spans="1:14" ht="15.6" hidden="1">
      <c r="A1662" s="360">
        <v>45889</v>
      </c>
      <c r="B1662" s="177" t="s">
        <v>2586</v>
      </c>
      <c r="C1662" s="177" t="s">
        <v>172</v>
      </c>
      <c r="D1662" s="177" t="s">
        <v>115</v>
      </c>
      <c r="E1662" s="324">
        <v>300</v>
      </c>
      <c r="F1662" s="311">
        <f t="shared" si="16"/>
        <v>0.53481465106909443</v>
      </c>
      <c r="G1662" s="312">
        <v>560.94200000000001</v>
      </c>
      <c r="H1662" s="177" t="s">
        <v>191</v>
      </c>
      <c r="I1662" s="177" t="s">
        <v>2607</v>
      </c>
      <c r="J1662" s="177" t="s">
        <v>96</v>
      </c>
      <c r="K1662" s="125" t="s">
        <v>1906</v>
      </c>
      <c r="L1662" s="177" t="s">
        <v>153</v>
      </c>
      <c r="M1662"/>
      <c r="N1662"/>
    </row>
    <row r="1663" spans="1:14" ht="15.6" hidden="1">
      <c r="A1663" s="360">
        <v>45889</v>
      </c>
      <c r="B1663" s="177" t="s">
        <v>2579</v>
      </c>
      <c r="C1663" s="177" t="s">
        <v>172</v>
      </c>
      <c r="D1663" s="177" t="s">
        <v>115</v>
      </c>
      <c r="E1663" s="324">
        <v>300</v>
      </c>
      <c r="F1663" s="311">
        <f t="shared" si="16"/>
        <v>0.53481465106909443</v>
      </c>
      <c r="G1663" s="312">
        <v>560.94200000000001</v>
      </c>
      <c r="H1663" s="177" t="s">
        <v>191</v>
      </c>
      <c r="I1663" s="177" t="s">
        <v>2607</v>
      </c>
      <c r="J1663" s="177" t="s">
        <v>96</v>
      </c>
      <c r="K1663" s="125" t="s">
        <v>1906</v>
      </c>
      <c r="L1663" s="177" t="s">
        <v>153</v>
      </c>
      <c r="M1663"/>
      <c r="N1663"/>
    </row>
    <row r="1664" spans="1:14" ht="15.6" hidden="1">
      <c r="A1664" s="360">
        <v>45889</v>
      </c>
      <c r="B1664" s="177" t="s">
        <v>2587</v>
      </c>
      <c r="C1664" s="177" t="s">
        <v>311</v>
      </c>
      <c r="D1664" s="177" t="s">
        <v>115</v>
      </c>
      <c r="E1664" s="324">
        <v>1500</v>
      </c>
      <c r="F1664" s="311">
        <f t="shared" si="16"/>
        <v>2.6740732553454722</v>
      </c>
      <c r="G1664" s="312">
        <v>560.94200000000001</v>
      </c>
      <c r="H1664" s="177" t="s">
        <v>191</v>
      </c>
      <c r="I1664" s="177" t="s">
        <v>2611</v>
      </c>
      <c r="J1664" s="177" t="s">
        <v>96</v>
      </c>
      <c r="K1664" s="125" t="s">
        <v>1906</v>
      </c>
      <c r="L1664" s="177" t="s">
        <v>153</v>
      </c>
      <c r="M1664"/>
      <c r="N1664"/>
    </row>
    <row r="1665" spans="1:14" ht="15.6" hidden="1">
      <c r="A1665" s="360">
        <v>45889</v>
      </c>
      <c r="B1665" s="177" t="s">
        <v>2581</v>
      </c>
      <c r="C1665" s="177" t="s">
        <v>172</v>
      </c>
      <c r="D1665" s="177" t="s">
        <v>115</v>
      </c>
      <c r="E1665" s="324">
        <v>300</v>
      </c>
      <c r="F1665" s="311">
        <f t="shared" si="16"/>
        <v>0.53481465106909443</v>
      </c>
      <c r="G1665" s="312">
        <v>560.94200000000001</v>
      </c>
      <c r="H1665" s="177" t="s">
        <v>191</v>
      </c>
      <c r="I1665" s="177" t="s">
        <v>2607</v>
      </c>
      <c r="J1665" s="177" t="s">
        <v>96</v>
      </c>
      <c r="K1665" s="125" t="s">
        <v>1906</v>
      </c>
      <c r="L1665" s="177" t="s">
        <v>153</v>
      </c>
      <c r="M1665"/>
      <c r="N1665"/>
    </row>
    <row r="1666" spans="1:14" ht="15.6" hidden="1">
      <c r="A1666" s="360">
        <v>45889</v>
      </c>
      <c r="B1666" s="177" t="s">
        <v>2582</v>
      </c>
      <c r="C1666" s="177" t="s">
        <v>172</v>
      </c>
      <c r="D1666" s="177" t="s">
        <v>115</v>
      </c>
      <c r="E1666" s="324">
        <v>300</v>
      </c>
      <c r="F1666" s="311">
        <f t="shared" si="16"/>
        <v>0.53481465106909443</v>
      </c>
      <c r="G1666" s="312">
        <v>560.94200000000001</v>
      </c>
      <c r="H1666" s="177" t="s">
        <v>191</v>
      </c>
      <c r="I1666" s="177" t="s">
        <v>2607</v>
      </c>
      <c r="J1666" s="177" t="s">
        <v>96</v>
      </c>
      <c r="K1666" s="125" t="s">
        <v>1906</v>
      </c>
      <c r="L1666" s="177" t="s">
        <v>153</v>
      </c>
      <c r="M1666"/>
      <c r="N1666"/>
    </row>
    <row r="1667" spans="1:14" ht="15.6" hidden="1">
      <c r="A1667" s="357">
        <v>45889</v>
      </c>
      <c r="B1667" s="177" t="s">
        <v>2713</v>
      </c>
      <c r="C1667" s="177" t="s">
        <v>172</v>
      </c>
      <c r="D1667" s="177" t="s">
        <v>115</v>
      </c>
      <c r="E1667" s="177">
        <v>3000</v>
      </c>
      <c r="F1667" s="311">
        <f t="shared" si="16"/>
        <v>5.3481465106909445</v>
      </c>
      <c r="G1667" s="312">
        <v>560.94200000000001</v>
      </c>
      <c r="H1667" s="177" t="s">
        <v>185</v>
      </c>
      <c r="I1667" s="177" t="s">
        <v>2719</v>
      </c>
      <c r="J1667" s="177" t="s">
        <v>96</v>
      </c>
      <c r="K1667" s="125" t="s">
        <v>1906</v>
      </c>
      <c r="L1667" s="177" t="s">
        <v>153</v>
      </c>
      <c r="M1667"/>
      <c r="N1667"/>
    </row>
    <row r="1668" spans="1:14" ht="15.6" hidden="1">
      <c r="A1668" s="357">
        <v>45889</v>
      </c>
      <c r="B1668" s="177" t="s">
        <v>2712</v>
      </c>
      <c r="C1668" s="177" t="s">
        <v>172</v>
      </c>
      <c r="D1668" s="177" t="s">
        <v>115</v>
      </c>
      <c r="E1668" s="177">
        <v>1000</v>
      </c>
      <c r="F1668" s="311">
        <f t="shared" si="16"/>
        <v>1.7827155035636482</v>
      </c>
      <c r="G1668" s="312">
        <v>560.94200000000001</v>
      </c>
      <c r="H1668" s="177" t="s">
        <v>185</v>
      </c>
      <c r="I1668" s="177" t="s">
        <v>2719</v>
      </c>
      <c r="J1668" s="177" t="s">
        <v>96</v>
      </c>
      <c r="K1668" s="125" t="s">
        <v>1906</v>
      </c>
      <c r="L1668" s="177" t="s">
        <v>153</v>
      </c>
      <c r="M1668"/>
      <c r="N1668"/>
    </row>
    <row r="1669" spans="1:14" ht="15.6" hidden="1">
      <c r="A1669" s="357">
        <v>45889</v>
      </c>
      <c r="B1669" s="177" t="s">
        <v>2714</v>
      </c>
      <c r="C1669" s="177" t="s">
        <v>172</v>
      </c>
      <c r="D1669" s="177" t="s">
        <v>115</v>
      </c>
      <c r="E1669" s="177">
        <v>1500</v>
      </c>
      <c r="F1669" s="311">
        <f t="shared" si="16"/>
        <v>2.6740732553454722</v>
      </c>
      <c r="G1669" s="312">
        <v>560.94200000000001</v>
      </c>
      <c r="H1669" s="177" t="s">
        <v>185</v>
      </c>
      <c r="I1669" s="177" t="s">
        <v>2719</v>
      </c>
      <c r="J1669" s="177" t="s">
        <v>96</v>
      </c>
      <c r="K1669" s="125" t="s">
        <v>1906</v>
      </c>
      <c r="L1669" s="177" t="s">
        <v>153</v>
      </c>
      <c r="M1669"/>
      <c r="N1669"/>
    </row>
    <row r="1670" spans="1:14" ht="15.6" hidden="1">
      <c r="A1670" s="357">
        <v>45889</v>
      </c>
      <c r="B1670" s="177" t="s">
        <v>2715</v>
      </c>
      <c r="C1670" s="177" t="s">
        <v>172</v>
      </c>
      <c r="D1670" s="177" t="s">
        <v>115</v>
      </c>
      <c r="E1670" s="177">
        <v>1500</v>
      </c>
      <c r="F1670" s="311">
        <f t="shared" si="16"/>
        <v>2.6740732553454722</v>
      </c>
      <c r="G1670" s="312">
        <v>560.94200000000001</v>
      </c>
      <c r="H1670" s="177" t="s">
        <v>185</v>
      </c>
      <c r="I1670" s="177" t="s">
        <v>2719</v>
      </c>
      <c r="J1670" s="177" t="s">
        <v>96</v>
      </c>
      <c r="K1670" s="125" t="s">
        <v>1906</v>
      </c>
      <c r="L1670" s="177" t="s">
        <v>153</v>
      </c>
      <c r="M1670"/>
      <c r="N1670"/>
    </row>
    <row r="1671" spans="1:14" ht="15.6" hidden="1">
      <c r="A1671" s="353">
        <v>45890</v>
      </c>
      <c r="B1671" s="377" t="s">
        <v>2103</v>
      </c>
      <c r="C1671" s="299" t="s">
        <v>172</v>
      </c>
      <c r="D1671" s="299" t="s">
        <v>117</v>
      </c>
      <c r="E1671" s="377">
        <v>1000</v>
      </c>
      <c r="F1671" s="311">
        <f t="shared" si="16"/>
        <v>1.7827155035636482</v>
      </c>
      <c r="G1671" s="312">
        <v>560.94200000000001</v>
      </c>
      <c r="H1671" s="384" t="s">
        <v>151</v>
      </c>
      <c r="I1671" s="385" t="s">
        <v>2428</v>
      </c>
      <c r="J1671" s="177" t="s">
        <v>96</v>
      </c>
      <c r="K1671" s="125" t="s">
        <v>1906</v>
      </c>
      <c r="L1671" s="177" t="s">
        <v>153</v>
      </c>
      <c r="M1671" s="371"/>
      <c r="N1671" s="371"/>
    </row>
    <row r="1672" spans="1:14" ht="15.6" hidden="1">
      <c r="A1672" s="353">
        <v>45890</v>
      </c>
      <c r="B1672" s="377" t="s">
        <v>2104</v>
      </c>
      <c r="C1672" s="299" t="s">
        <v>172</v>
      </c>
      <c r="D1672" s="299" t="s">
        <v>117</v>
      </c>
      <c r="E1672" s="377">
        <v>1000</v>
      </c>
      <c r="F1672" s="311">
        <f t="shared" si="16"/>
        <v>1.7827155035636482</v>
      </c>
      <c r="G1672" s="312">
        <v>560.94200000000001</v>
      </c>
      <c r="H1672" s="384" t="s">
        <v>151</v>
      </c>
      <c r="I1672" s="385" t="s">
        <v>2428</v>
      </c>
      <c r="J1672" s="177" t="s">
        <v>96</v>
      </c>
      <c r="K1672" s="125" t="s">
        <v>1906</v>
      </c>
      <c r="L1672" s="177" t="s">
        <v>153</v>
      </c>
      <c r="M1672" s="371"/>
      <c r="N1672" s="371"/>
    </row>
    <row r="1673" spans="1:14" ht="15.6" hidden="1">
      <c r="A1673" s="359">
        <v>45890</v>
      </c>
      <c r="B1673" s="177" t="s">
        <v>2157</v>
      </c>
      <c r="C1673" s="177" t="s">
        <v>172</v>
      </c>
      <c r="D1673" s="177" t="s">
        <v>116</v>
      </c>
      <c r="E1673" s="324">
        <v>1000</v>
      </c>
      <c r="F1673" s="311">
        <f t="shared" si="16"/>
        <v>1.7827155035636482</v>
      </c>
      <c r="G1673" s="312">
        <v>560.94200000000001</v>
      </c>
      <c r="H1673" s="177" t="s">
        <v>581</v>
      </c>
      <c r="I1673" s="177" t="s">
        <v>2467</v>
      </c>
      <c r="J1673" s="177" t="s">
        <v>96</v>
      </c>
      <c r="K1673" s="125" t="s">
        <v>1906</v>
      </c>
      <c r="L1673" s="177" t="s">
        <v>153</v>
      </c>
      <c r="M1673" s="371"/>
      <c r="N1673" s="371"/>
    </row>
    <row r="1674" spans="1:14" ht="15.6" hidden="1">
      <c r="A1674" s="359">
        <v>45890</v>
      </c>
      <c r="B1674" s="177" t="s">
        <v>2158</v>
      </c>
      <c r="C1674" s="177" t="s">
        <v>172</v>
      </c>
      <c r="D1674" s="177" t="s">
        <v>116</v>
      </c>
      <c r="E1674" s="324">
        <v>1000</v>
      </c>
      <c r="F1674" s="311">
        <f t="shared" si="16"/>
        <v>1.7827155035636482</v>
      </c>
      <c r="G1674" s="312">
        <v>560.94200000000001</v>
      </c>
      <c r="H1674" s="177" t="s">
        <v>581</v>
      </c>
      <c r="I1674" s="177" t="s">
        <v>2467</v>
      </c>
      <c r="J1674" s="177" t="s">
        <v>96</v>
      </c>
      <c r="K1674" s="125" t="s">
        <v>1906</v>
      </c>
      <c r="L1674" s="177" t="s">
        <v>153</v>
      </c>
      <c r="M1674" s="371"/>
      <c r="N1674" s="371"/>
    </row>
    <row r="1675" spans="1:14" ht="15.6" hidden="1">
      <c r="A1675" s="237">
        <v>45890</v>
      </c>
      <c r="B1675" s="172" t="s">
        <v>4894</v>
      </c>
      <c r="C1675" s="172" t="s">
        <v>172</v>
      </c>
      <c r="D1675" s="177" t="s">
        <v>440</v>
      </c>
      <c r="E1675" s="172">
        <v>1000</v>
      </c>
      <c r="F1675" s="311">
        <f t="shared" si="16"/>
        <v>1.7827155035636482</v>
      </c>
      <c r="G1675" s="312">
        <v>560.94200000000001</v>
      </c>
      <c r="H1675" s="172" t="s">
        <v>182</v>
      </c>
      <c r="I1675" s="172" t="s">
        <v>2477</v>
      </c>
      <c r="J1675" s="177" t="s">
        <v>96</v>
      </c>
      <c r="K1675" s="125" t="s">
        <v>1906</v>
      </c>
      <c r="L1675" s="177" t="s">
        <v>153</v>
      </c>
      <c r="M1675"/>
      <c r="N1675"/>
    </row>
    <row r="1676" spans="1:14" ht="15.6" hidden="1">
      <c r="A1676" s="237">
        <v>45890</v>
      </c>
      <c r="B1676" s="172" t="s">
        <v>4894</v>
      </c>
      <c r="C1676" s="172" t="s">
        <v>172</v>
      </c>
      <c r="D1676" s="177" t="s">
        <v>440</v>
      </c>
      <c r="E1676" s="172">
        <v>1000</v>
      </c>
      <c r="F1676" s="311">
        <f t="shared" si="16"/>
        <v>1.7827155035636482</v>
      </c>
      <c r="G1676" s="312">
        <v>560.94200000000001</v>
      </c>
      <c r="H1676" s="172" t="s">
        <v>182</v>
      </c>
      <c r="I1676" s="172" t="s">
        <v>2477</v>
      </c>
      <c r="J1676" s="177" t="s">
        <v>96</v>
      </c>
      <c r="K1676" s="125" t="s">
        <v>1906</v>
      </c>
      <c r="L1676" s="177" t="s">
        <v>153</v>
      </c>
      <c r="M1676"/>
      <c r="N1676"/>
    </row>
    <row r="1677" spans="1:14" ht="15.6" hidden="1">
      <c r="A1677" s="237">
        <v>45890</v>
      </c>
      <c r="B1677" s="172" t="s">
        <v>4900</v>
      </c>
      <c r="C1677" s="172" t="s">
        <v>172</v>
      </c>
      <c r="D1677" s="177" t="s">
        <v>440</v>
      </c>
      <c r="E1677" s="172">
        <v>500</v>
      </c>
      <c r="F1677" s="311">
        <f t="shared" si="16"/>
        <v>0.89135775178182408</v>
      </c>
      <c r="G1677" s="312">
        <v>560.94200000000001</v>
      </c>
      <c r="H1677" s="172" t="s">
        <v>182</v>
      </c>
      <c r="I1677" s="172" t="s">
        <v>2477</v>
      </c>
      <c r="J1677" s="177" t="s">
        <v>96</v>
      </c>
      <c r="K1677" s="125" t="s">
        <v>1906</v>
      </c>
      <c r="L1677" s="177" t="s">
        <v>153</v>
      </c>
      <c r="M1677"/>
      <c r="N1677"/>
    </row>
    <row r="1678" spans="1:14" ht="15.6" hidden="1">
      <c r="A1678" s="237">
        <v>45890</v>
      </c>
      <c r="B1678" s="172" t="s">
        <v>4886</v>
      </c>
      <c r="C1678" s="172" t="s">
        <v>172</v>
      </c>
      <c r="D1678" s="177" t="s">
        <v>440</v>
      </c>
      <c r="E1678" s="172">
        <v>1000</v>
      </c>
      <c r="F1678" s="311">
        <f t="shared" si="16"/>
        <v>1.7827155035636482</v>
      </c>
      <c r="G1678" s="312">
        <v>560.94200000000001</v>
      </c>
      <c r="H1678" s="172" t="s">
        <v>182</v>
      </c>
      <c r="I1678" s="172" t="s">
        <v>2477</v>
      </c>
      <c r="J1678" s="177" t="s">
        <v>96</v>
      </c>
      <c r="K1678" s="125" t="s">
        <v>1906</v>
      </c>
      <c r="L1678" s="177" t="s">
        <v>153</v>
      </c>
      <c r="M1678"/>
      <c r="N1678"/>
    </row>
    <row r="1679" spans="1:14" ht="15.6" hidden="1">
      <c r="A1679" s="360">
        <v>45890</v>
      </c>
      <c r="B1679" s="177" t="s">
        <v>4896</v>
      </c>
      <c r="C1679" s="177" t="s">
        <v>172</v>
      </c>
      <c r="D1679" s="177" t="s">
        <v>440</v>
      </c>
      <c r="E1679" s="177">
        <v>500</v>
      </c>
      <c r="F1679" s="311">
        <f t="shared" si="16"/>
        <v>0.89135775178182408</v>
      </c>
      <c r="G1679" s="312">
        <v>560.94200000000001</v>
      </c>
      <c r="H1679" s="177" t="s">
        <v>173</v>
      </c>
      <c r="I1679" s="177" t="s">
        <v>2496</v>
      </c>
      <c r="J1679" s="177" t="s">
        <v>96</v>
      </c>
      <c r="K1679" s="125" t="s">
        <v>1906</v>
      </c>
      <c r="L1679" s="177" t="s">
        <v>153</v>
      </c>
      <c r="M1679"/>
      <c r="N1679"/>
    </row>
    <row r="1680" spans="1:14" ht="15.6" hidden="1">
      <c r="A1680" s="360">
        <v>45890</v>
      </c>
      <c r="B1680" s="177" t="s">
        <v>4888</v>
      </c>
      <c r="C1680" s="177" t="s">
        <v>172</v>
      </c>
      <c r="D1680" s="177" t="s">
        <v>440</v>
      </c>
      <c r="E1680" s="177">
        <v>500</v>
      </c>
      <c r="F1680" s="311">
        <f t="shared" si="16"/>
        <v>0.89135775178182408</v>
      </c>
      <c r="G1680" s="312">
        <v>560.94200000000001</v>
      </c>
      <c r="H1680" s="177" t="s">
        <v>173</v>
      </c>
      <c r="I1680" s="177" t="s">
        <v>2496</v>
      </c>
      <c r="J1680" s="177" t="s">
        <v>96</v>
      </c>
      <c r="K1680" s="125" t="s">
        <v>1906</v>
      </c>
      <c r="L1680" s="177" t="s">
        <v>153</v>
      </c>
      <c r="M1680"/>
      <c r="N1680"/>
    </row>
    <row r="1681" spans="1:14" ht="15.6" hidden="1">
      <c r="A1681" s="357">
        <v>45890</v>
      </c>
      <c r="B1681" s="177" t="s">
        <v>4760</v>
      </c>
      <c r="C1681" s="177" t="s">
        <v>175</v>
      </c>
      <c r="D1681" s="177" t="s">
        <v>440</v>
      </c>
      <c r="E1681" s="177">
        <v>30000</v>
      </c>
      <c r="F1681" s="311">
        <f t="shared" si="16"/>
        <v>53.481465106909447</v>
      </c>
      <c r="G1681" s="312">
        <v>560.94200000000001</v>
      </c>
      <c r="H1681" s="177" t="s">
        <v>315</v>
      </c>
      <c r="I1681" s="177" t="s">
        <v>2521</v>
      </c>
      <c r="J1681" s="177" t="s">
        <v>96</v>
      </c>
      <c r="K1681" s="125" t="s">
        <v>1906</v>
      </c>
      <c r="L1681" s="177" t="s">
        <v>153</v>
      </c>
      <c r="M1681"/>
      <c r="N1681"/>
    </row>
    <row r="1682" spans="1:14" ht="15.6" hidden="1">
      <c r="A1682" s="357">
        <v>45890</v>
      </c>
      <c r="B1682" s="177" t="s">
        <v>4896</v>
      </c>
      <c r="C1682" s="177" t="s">
        <v>172</v>
      </c>
      <c r="D1682" s="177" t="s">
        <v>440</v>
      </c>
      <c r="E1682" s="177">
        <v>500</v>
      </c>
      <c r="F1682" s="311">
        <f t="shared" si="16"/>
        <v>0.89135775178182408</v>
      </c>
      <c r="G1682" s="312">
        <v>560.94200000000001</v>
      </c>
      <c r="H1682" s="177" t="s">
        <v>315</v>
      </c>
      <c r="I1682" s="177" t="s">
        <v>2515</v>
      </c>
      <c r="J1682" s="177" t="s">
        <v>96</v>
      </c>
      <c r="K1682" s="125" t="s">
        <v>1906</v>
      </c>
      <c r="L1682" s="177" t="s">
        <v>153</v>
      </c>
      <c r="M1682"/>
      <c r="N1682"/>
    </row>
    <row r="1683" spans="1:14" ht="15.6" hidden="1">
      <c r="A1683" s="357">
        <v>45890</v>
      </c>
      <c r="B1683" s="177" t="s">
        <v>4797</v>
      </c>
      <c r="C1683" s="177" t="s">
        <v>172</v>
      </c>
      <c r="D1683" s="177" t="s">
        <v>440</v>
      </c>
      <c r="E1683" s="177">
        <v>4000</v>
      </c>
      <c r="F1683" s="311">
        <f t="shared" si="16"/>
        <v>7.1308620142545927</v>
      </c>
      <c r="G1683" s="312">
        <v>560.94200000000001</v>
      </c>
      <c r="H1683" s="177" t="s">
        <v>315</v>
      </c>
      <c r="I1683" s="177" t="s">
        <v>2522</v>
      </c>
      <c r="J1683" s="177" t="s">
        <v>96</v>
      </c>
      <c r="K1683" s="125" t="s">
        <v>1906</v>
      </c>
      <c r="L1683" s="177" t="s">
        <v>153</v>
      </c>
      <c r="M1683"/>
      <c r="N1683"/>
    </row>
    <row r="1684" spans="1:14" ht="15.6" hidden="1">
      <c r="A1684" s="357">
        <v>45890</v>
      </c>
      <c r="B1684" s="177" t="s">
        <v>4910</v>
      </c>
      <c r="C1684" s="177" t="s">
        <v>172</v>
      </c>
      <c r="D1684" s="177" t="s">
        <v>440</v>
      </c>
      <c r="E1684" s="177">
        <v>500</v>
      </c>
      <c r="F1684" s="311">
        <f t="shared" si="16"/>
        <v>0.89135775178182408</v>
      </c>
      <c r="G1684" s="312">
        <v>560.94200000000001</v>
      </c>
      <c r="H1684" s="177" t="s">
        <v>315</v>
      </c>
      <c r="I1684" s="177" t="s">
        <v>2515</v>
      </c>
      <c r="J1684" s="177" t="s">
        <v>96</v>
      </c>
      <c r="K1684" s="125" t="s">
        <v>1906</v>
      </c>
      <c r="L1684" s="177" t="s">
        <v>153</v>
      </c>
      <c r="M1684"/>
      <c r="N1684"/>
    </row>
    <row r="1685" spans="1:14" ht="15.6" hidden="1">
      <c r="A1685" s="357">
        <v>45890</v>
      </c>
      <c r="B1685" s="177" t="s">
        <v>4888</v>
      </c>
      <c r="C1685" s="177" t="s">
        <v>172</v>
      </c>
      <c r="D1685" s="177" t="s">
        <v>440</v>
      </c>
      <c r="E1685" s="177">
        <v>500</v>
      </c>
      <c r="F1685" s="311">
        <f t="shared" si="16"/>
        <v>0.89135775178182408</v>
      </c>
      <c r="G1685" s="312">
        <v>560.94200000000001</v>
      </c>
      <c r="H1685" s="177" t="s">
        <v>315</v>
      </c>
      <c r="I1685" s="177" t="s">
        <v>2515</v>
      </c>
      <c r="J1685" s="177" t="s">
        <v>96</v>
      </c>
      <c r="K1685" s="125" t="s">
        <v>1906</v>
      </c>
      <c r="L1685" s="177" t="s">
        <v>153</v>
      </c>
      <c r="M1685"/>
      <c r="N1685"/>
    </row>
    <row r="1686" spans="1:14" ht="15.6" hidden="1">
      <c r="A1686" s="357">
        <v>45890</v>
      </c>
      <c r="B1686" s="177" t="s">
        <v>4900</v>
      </c>
      <c r="C1686" s="177" t="s">
        <v>172</v>
      </c>
      <c r="D1686" s="177" t="s">
        <v>440</v>
      </c>
      <c r="E1686" s="177">
        <v>500</v>
      </c>
      <c r="F1686" s="311">
        <f t="shared" si="16"/>
        <v>0.89135775178182408</v>
      </c>
      <c r="G1686" s="312">
        <v>560.94200000000001</v>
      </c>
      <c r="H1686" s="177" t="s">
        <v>315</v>
      </c>
      <c r="I1686" s="177" t="s">
        <v>2515</v>
      </c>
      <c r="J1686" s="177" t="s">
        <v>96</v>
      </c>
      <c r="K1686" s="125" t="s">
        <v>1906</v>
      </c>
      <c r="L1686" s="177" t="s">
        <v>153</v>
      </c>
      <c r="M1686"/>
      <c r="N1686"/>
    </row>
    <row r="1687" spans="1:14" ht="15.6" hidden="1">
      <c r="A1687" s="357">
        <v>45890</v>
      </c>
      <c r="B1687" s="177" t="s">
        <v>4900</v>
      </c>
      <c r="C1687" s="177" t="s">
        <v>172</v>
      </c>
      <c r="D1687" s="177" t="s">
        <v>440</v>
      </c>
      <c r="E1687" s="177">
        <v>500</v>
      </c>
      <c r="F1687" s="311">
        <f t="shared" si="16"/>
        <v>0.89135775178182408</v>
      </c>
      <c r="G1687" s="312">
        <v>560.94200000000001</v>
      </c>
      <c r="H1687" s="177" t="s">
        <v>315</v>
      </c>
      <c r="I1687" s="177" t="s">
        <v>2515</v>
      </c>
      <c r="J1687" s="177" t="s">
        <v>96</v>
      </c>
      <c r="K1687" s="125" t="s">
        <v>1906</v>
      </c>
      <c r="L1687" s="177" t="s">
        <v>153</v>
      </c>
      <c r="M1687"/>
      <c r="N1687"/>
    </row>
    <row r="1688" spans="1:14" ht="15.6" hidden="1">
      <c r="A1688" s="357">
        <v>45890</v>
      </c>
      <c r="B1688" s="177" t="s">
        <v>4911</v>
      </c>
      <c r="C1688" s="177" t="s">
        <v>172</v>
      </c>
      <c r="D1688" s="177" t="s">
        <v>440</v>
      </c>
      <c r="E1688" s="351">
        <v>1000</v>
      </c>
      <c r="F1688" s="311">
        <f t="shared" si="16"/>
        <v>1.7827155035636482</v>
      </c>
      <c r="G1688" s="312">
        <v>560.94200000000001</v>
      </c>
      <c r="H1688" s="177" t="s">
        <v>321</v>
      </c>
      <c r="I1688" s="177" t="s">
        <v>2532</v>
      </c>
      <c r="J1688" s="177" t="s">
        <v>96</v>
      </c>
      <c r="K1688" s="125" t="s">
        <v>1906</v>
      </c>
      <c r="L1688" s="177" t="s">
        <v>153</v>
      </c>
      <c r="M1688"/>
      <c r="N1688"/>
    </row>
    <row r="1689" spans="1:14" ht="15.6" hidden="1">
      <c r="A1689" s="357">
        <v>45890</v>
      </c>
      <c r="B1689" s="177" t="s">
        <v>2932</v>
      </c>
      <c r="C1689" s="177" t="s">
        <v>366</v>
      </c>
      <c r="D1689" s="177" t="s">
        <v>440</v>
      </c>
      <c r="E1689" s="351">
        <v>1000</v>
      </c>
      <c r="F1689" s="311">
        <f t="shared" si="16"/>
        <v>1.7827155035636482</v>
      </c>
      <c r="G1689" s="312">
        <v>560.94200000000001</v>
      </c>
      <c r="H1689" s="177" t="s">
        <v>321</v>
      </c>
      <c r="I1689" s="177" t="s">
        <v>2537</v>
      </c>
      <c r="J1689" s="177" t="s">
        <v>96</v>
      </c>
      <c r="K1689" s="125" t="s">
        <v>1906</v>
      </c>
      <c r="L1689" s="177" t="s">
        <v>153</v>
      </c>
      <c r="M1689"/>
      <c r="N1689"/>
    </row>
    <row r="1690" spans="1:14" ht="15.6" hidden="1">
      <c r="A1690" s="357">
        <v>45890</v>
      </c>
      <c r="B1690" s="177" t="s">
        <v>4912</v>
      </c>
      <c r="C1690" s="177" t="s">
        <v>172</v>
      </c>
      <c r="D1690" s="177" t="s">
        <v>440</v>
      </c>
      <c r="E1690" s="351">
        <v>1000</v>
      </c>
      <c r="F1690" s="311">
        <f t="shared" si="16"/>
        <v>1.7827155035636482</v>
      </c>
      <c r="G1690" s="312">
        <v>560.94200000000001</v>
      </c>
      <c r="H1690" s="177" t="s">
        <v>321</v>
      </c>
      <c r="I1690" s="177" t="s">
        <v>2532</v>
      </c>
      <c r="J1690" s="177" t="s">
        <v>96</v>
      </c>
      <c r="K1690" s="125" t="s">
        <v>1906</v>
      </c>
      <c r="L1690" s="177" t="s">
        <v>153</v>
      </c>
      <c r="M1690"/>
      <c r="N1690"/>
    </row>
    <row r="1691" spans="1:14" ht="15.6" hidden="1">
      <c r="A1691" s="357">
        <v>45890</v>
      </c>
      <c r="B1691" s="177" t="s">
        <v>4912</v>
      </c>
      <c r="C1691" s="177" t="s">
        <v>172</v>
      </c>
      <c r="D1691" s="177" t="s">
        <v>440</v>
      </c>
      <c r="E1691" s="351">
        <v>1000</v>
      </c>
      <c r="F1691" s="311">
        <f t="shared" si="16"/>
        <v>1.7827155035636482</v>
      </c>
      <c r="G1691" s="312">
        <v>560.94200000000001</v>
      </c>
      <c r="H1691" s="177" t="s">
        <v>321</v>
      </c>
      <c r="I1691" s="177" t="s">
        <v>2532</v>
      </c>
      <c r="J1691" s="177" t="s">
        <v>96</v>
      </c>
      <c r="K1691" s="125" t="s">
        <v>1906</v>
      </c>
      <c r="L1691" s="177" t="s">
        <v>153</v>
      </c>
      <c r="M1691"/>
      <c r="N1691"/>
    </row>
    <row r="1692" spans="1:14" ht="15.6" hidden="1">
      <c r="A1692" s="357">
        <v>45890</v>
      </c>
      <c r="B1692" s="177" t="s">
        <v>2555</v>
      </c>
      <c r="C1692" s="177" t="s">
        <v>172</v>
      </c>
      <c r="D1692" s="177" t="s">
        <v>115</v>
      </c>
      <c r="E1692" s="324">
        <v>1000</v>
      </c>
      <c r="F1692" s="311">
        <f t="shared" si="16"/>
        <v>1.7827155035636482</v>
      </c>
      <c r="G1692" s="312">
        <v>560.94200000000001</v>
      </c>
      <c r="H1692" s="177" t="s">
        <v>188</v>
      </c>
      <c r="I1692" s="177" t="s">
        <v>2564</v>
      </c>
      <c r="J1692" s="177" t="s">
        <v>96</v>
      </c>
      <c r="K1692" s="125" t="s">
        <v>1906</v>
      </c>
      <c r="L1692" s="177" t="s">
        <v>153</v>
      </c>
      <c r="M1692"/>
      <c r="N1692"/>
    </row>
    <row r="1693" spans="1:14" ht="15.6" hidden="1">
      <c r="A1693" s="357">
        <v>45890</v>
      </c>
      <c r="B1693" s="177" t="s">
        <v>2556</v>
      </c>
      <c r="C1693" s="177" t="s">
        <v>311</v>
      </c>
      <c r="D1693" s="177" t="s">
        <v>115</v>
      </c>
      <c r="E1693" s="324">
        <v>7500</v>
      </c>
      <c r="F1693" s="311">
        <f t="shared" si="16"/>
        <v>13.370366276727362</v>
      </c>
      <c r="G1693" s="312">
        <v>560.94200000000001</v>
      </c>
      <c r="H1693" s="177" t="s">
        <v>188</v>
      </c>
      <c r="I1693" s="177" t="s">
        <v>2569</v>
      </c>
      <c r="J1693" s="177" t="s">
        <v>96</v>
      </c>
      <c r="K1693" s="125" t="s">
        <v>1906</v>
      </c>
      <c r="L1693" s="177" t="s">
        <v>153</v>
      </c>
      <c r="M1693"/>
      <c r="N1693"/>
    </row>
    <row r="1694" spans="1:14" ht="15.6" hidden="1">
      <c r="A1694" s="357">
        <v>45890</v>
      </c>
      <c r="B1694" s="177" t="s">
        <v>2554</v>
      </c>
      <c r="C1694" s="177" t="s">
        <v>172</v>
      </c>
      <c r="D1694" s="177" t="s">
        <v>115</v>
      </c>
      <c r="E1694" s="324">
        <v>1000</v>
      </c>
      <c r="F1694" s="311">
        <f t="shared" si="16"/>
        <v>1.7827155035636482</v>
      </c>
      <c r="G1694" s="312">
        <v>560.94200000000001</v>
      </c>
      <c r="H1694" s="177" t="s">
        <v>188</v>
      </c>
      <c r="I1694" s="177" t="s">
        <v>2564</v>
      </c>
      <c r="J1694" s="177" t="s">
        <v>96</v>
      </c>
      <c r="K1694" s="125" t="s">
        <v>1906</v>
      </c>
      <c r="L1694" s="177" t="s">
        <v>153</v>
      </c>
      <c r="M1694"/>
      <c r="N1694"/>
    </row>
    <row r="1695" spans="1:14" ht="15.6" hidden="1">
      <c r="A1695" s="357">
        <v>45890</v>
      </c>
      <c r="B1695" s="177" t="s">
        <v>2555</v>
      </c>
      <c r="C1695" s="177" t="s">
        <v>172</v>
      </c>
      <c r="D1695" s="177" t="s">
        <v>115</v>
      </c>
      <c r="E1695" s="324">
        <v>1000</v>
      </c>
      <c r="F1695" s="311">
        <f t="shared" si="16"/>
        <v>1.7827155035636482</v>
      </c>
      <c r="G1695" s="312">
        <v>560.94200000000001</v>
      </c>
      <c r="H1695" s="177" t="s">
        <v>188</v>
      </c>
      <c r="I1695" s="177" t="s">
        <v>2564</v>
      </c>
      <c r="J1695" s="177" t="s">
        <v>96</v>
      </c>
      <c r="K1695" s="125" t="s">
        <v>1906</v>
      </c>
      <c r="L1695" s="177" t="s">
        <v>153</v>
      </c>
      <c r="M1695"/>
      <c r="N1695"/>
    </row>
    <row r="1696" spans="1:14" ht="15.6" hidden="1">
      <c r="A1696" s="357">
        <v>45890</v>
      </c>
      <c r="B1696" s="177" t="s">
        <v>2557</v>
      </c>
      <c r="C1696" s="177" t="s">
        <v>311</v>
      </c>
      <c r="D1696" s="177" t="s">
        <v>115</v>
      </c>
      <c r="E1696" s="324">
        <v>7500</v>
      </c>
      <c r="F1696" s="311">
        <f t="shared" si="16"/>
        <v>13.370366276727362</v>
      </c>
      <c r="G1696" s="312">
        <v>560.94200000000001</v>
      </c>
      <c r="H1696" s="177" t="s">
        <v>188</v>
      </c>
      <c r="I1696" s="177" t="s">
        <v>2569</v>
      </c>
      <c r="J1696" s="177" t="s">
        <v>96</v>
      </c>
      <c r="K1696" s="125" t="s">
        <v>1906</v>
      </c>
      <c r="L1696" s="177" t="s">
        <v>153</v>
      </c>
      <c r="M1696"/>
      <c r="N1696"/>
    </row>
    <row r="1697" spans="1:14" ht="15.6" hidden="1">
      <c r="A1697" s="357">
        <v>45890</v>
      </c>
      <c r="B1697" s="177" t="s">
        <v>2558</v>
      </c>
      <c r="C1697" s="177" t="s">
        <v>172</v>
      </c>
      <c r="D1697" s="177" t="s">
        <v>115</v>
      </c>
      <c r="E1697" s="324">
        <v>1000</v>
      </c>
      <c r="F1697" s="311">
        <f t="shared" si="16"/>
        <v>1.7827155035636482</v>
      </c>
      <c r="G1697" s="312">
        <v>560.94200000000001</v>
      </c>
      <c r="H1697" s="177" t="s">
        <v>188</v>
      </c>
      <c r="I1697" s="177" t="s">
        <v>2564</v>
      </c>
      <c r="J1697" s="177" t="s">
        <v>96</v>
      </c>
      <c r="K1697" s="125" t="s">
        <v>1906</v>
      </c>
      <c r="L1697" s="177" t="s">
        <v>153</v>
      </c>
      <c r="M1697"/>
      <c r="N1697"/>
    </row>
    <row r="1698" spans="1:14" ht="15.6" hidden="1">
      <c r="A1698" s="357">
        <v>45890</v>
      </c>
      <c r="B1698" s="177" t="s">
        <v>2551</v>
      </c>
      <c r="C1698" s="177" t="s">
        <v>172</v>
      </c>
      <c r="D1698" s="177" t="s">
        <v>115</v>
      </c>
      <c r="E1698" s="324">
        <v>1000</v>
      </c>
      <c r="F1698" s="311">
        <f t="shared" si="16"/>
        <v>1.7827155035636482</v>
      </c>
      <c r="G1698" s="312">
        <v>560.94200000000001</v>
      </c>
      <c r="H1698" s="177" t="s">
        <v>188</v>
      </c>
      <c r="I1698" s="177" t="s">
        <v>2564</v>
      </c>
      <c r="J1698" s="177" t="s">
        <v>96</v>
      </c>
      <c r="K1698" s="125" t="s">
        <v>1906</v>
      </c>
      <c r="L1698" s="177" t="s">
        <v>153</v>
      </c>
      <c r="M1698"/>
      <c r="N1698"/>
    </row>
    <row r="1699" spans="1:14" ht="15.6" hidden="1">
      <c r="A1699" s="360">
        <v>45890</v>
      </c>
      <c r="B1699" s="177" t="s">
        <v>2588</v>
      </c>
      <c r="C1699" s="177" t="s">
        <v>175</v>
      </c>
      <c r="D1699" s="177" t="s">
        <v>115</v>
      </c>
      <c r="E1699" s="324">
        <v>30000</v>
      </c>
      <c r="F1699" s="311">
        <f t="shared" si="16"/>
        <v>53.481465106909447</v>
      </c>
      <c r="G1699" s="312">
        <v>560.94200000000001</v>
      </c>
      <c r="H1699" s="177" t="s">
        <v>191</v>
      </c>
      <c r="I1699" s="177" t="s">
        <v>2613</v>
      </c>
      <c r="J1699" s="177" t="s">
        <v>96</v>
      </c>
      <c r="K1699" s="125" t="s">
        <v>1906</v>
      </c>
      <c r="L1699" s="177" t="s">
        <v>153</v>
      </c>
      <c r="M1699"/>
      <c r="N1699"/>
    </row>
    <row r="1700" spans="1:14" ht="15.6" hidden="1">
      <c r="A1700" s="360">
        <v>45890</v>
      </c>
      <c r="B1700" s="177" t="s">
        <v>2589</v>
      </c>
      <c r="C1700" s="177" t="s">
        <v>172</v>
      </c>
      <c r="D1700" s="177" t="s">
        <v>115</v>
      </c>
      <c r="E1700" s="324">
        <v>500</v>
      </c>
      <c r="F1700" s="311">
        <f t="shared" si="16"/>
        <v>0.89135775178182408</v>
      </c>
      <c r="G1700" s="312">
        <v>560.94200000000001</v>
      </c>
      <c r="H1700" s="177" t="s">
        <v>191</v>
      </c>
      <c r="I1700" s="177" t="s">
        <v>2607</v>
      </c>
      <c r="J1700" s="177" t="s">
        <v>96</v>
      </c>
      <c r="K1700" s="125" t="s">
        <v>1906</v>
      </c>
      <c r="L1700" s="177" t="s">
        <v>153</v>
      </c>
      <c r="M1700"/>
      <c r="N1700"/>
    </row>
    <row r="1701" spans="1:14" ht="15.6" hidden="1">
      <c r="A1701" s="360">
        <v>45890</v>
      </c>
      <c r="B1701" s="177" t="s">
        <v>2590</v>
      </c>
      <c r="C1701" s="321" t="s">
        <v>172</v>
      </c>
      <c r="D1701" s="177" t="s">
        <v>115</v>
      </c>
      <c r="E1701" s="324">
        <v>5000</v>
      </c>
      <c r="F1701" s="311">
        <f t="shared" si="16"/>
        <v>8.9135775178182417</v>
      </c>
      <c r="G1701" s="312">
        <v>560.94200000000001</v>
      </c>
      <c r="H1701" s="177" t="s">
        <v>191</v>
      </c>
      <c r="I1701" s="177" t="s">
        <v>2614</v>
      </c>
      <c r="J1701" s="177" t="s">
        <v>96</v>
      </c>
      <c r="K1701" s="125" t="s">
        <v>1906</v>
      </c>
      <c r="L1701" s="177" t="s">
        <v>153</v>
      </c>
      <c r="M1701"/>
      <c r="N1701"/>
    </row>
    <row r="1702" spans="1:14" ht="15.6" hidden="1">
      <c r="A1702" s="360">
        <v>45890</v>
      </c>
      <c r="B1702" s="177" t="s">
        <v>2591</v>
      </c>
      <c r="C1702" s="177" t="s">
        <v>172</v>
      </c>
      <c r="D1702" s="177" t="s">
        <v>115</v>
      </c>
      <c r="E1702" s="324">
        <v>7000</v>
      </c>
      <c r="F1702" s="311">
        <f t="shared" si="16"/>
        <v>12.479008524945538</v>
      </c>
      <c r="G1702" s="312">
        <v>560.94200000000001</v>
      </c>
      <c r="H1702" s="177" t="s">
        <v>191</v>
      </c>
      <c r="I1702" s="177" t="s">
        <v>2615</v>
      </c>
      <c r="J1702" s="177" t="s">
        <v>96</v>
      </c>
      <c r="K1702" s="125" t="s">
        <v>1906</v>
      </c>
      <c r="L1702" s="177" t="s">
        <v>153</v>
      </c>
      <c r="M1702"/>
      <c r="N1702"/>
    </row>
    <row r="1703" spans="1:14" ht="15.6" hidden="1">
      <c r="A1703" s="360">
        <v>45890</v>
      </c>
      <c r="B1703" s="177" t="s">
        <v>2592</v>
      </c>
      <c r="C1703" s="177" t="s">
        <v>172</v>
      </c>
      <c r="D1703" s="177" t="s">
        <v>115</v>
      </c>
      <c r="E1703" s="324">
        <v>1000</v>
      </c>
      <c r="F1703" s="311">
        <f t="shared" si="16"/>
        <v>1.7827155035636482</v>
      </c>
      <c r="G1703" s="312">
        <v>560.94200000000001</v>
      </c>
      <c r="H1703" s="177" t="s">
        <v>191</v>
      </c>
      <c r="I1703" s="177" t="s">
        <v>2607</v>
      </c>
      <c r="J1703" s="177" t="s">
        <v>96</v>
      </c>
      <c r="K1703" s="125" t="s">
        <v>1906</v>
      </c>
      <c r="L1703" s="177" t="s">
        <v>153</v>
      </c>
      <c r="M1703"/>
      <c r="N1703"/>
    </row>
    <row r="1704" spans="1:14" ht="15.6" hidden="1">
      <c r="A1704" s="357">
        <v>45891</v>
      </c>
      <c r="B1704" s="177" t="s">
        <v>1074</v>
      </c>
      <c r="C1704" s="177" t="s">
        <v>172</v>
      </c>
      <c r="D1704" s="177" t="s">
        <v>115</v>
      </c>
      <c r="E1704" s="324">
        <v>8000</v>
      </c>
      <c r="F1704" s="311">
        <f t="shared" si="16"/>
        <v>14.261724028509185</v>
      </c>
      <c r="G1704" s="312">
        <v>560.94200000000001</v>
      </c>
      <c r="H1704" s="177" t="s">
        <v>188</v>
      </c>
      <c r="I1704" s="177" t="s">
        <v>2570</v>
      </c>
      <c r="J1704" s="177" t="s">
        <v>96</v>
      </c>
      <c r="K1704" s="125" t="s">
        <v>1906</v>
      </c>
      <c r="L1704" s="177" t="s">
        <v>153</v>
      </c>
      <c r="M1704"/>
      <c r="N1704"/>
    </row>
    <row r="1705" spans="1:14" ht="15.6" hidden="1">
      <c r="A1705" s="353">
        <v>45891</v>
      </c>
      <c r="B1705" s="377" t="s">
        <v>2103</v>
      </c>
      <c r="C1705" s="299" t="s">
        <v>172</v>
      </c>
      <c r="D1705" s="299" t="s">
        <v>117</v>
      </c>
      <c r="E1705" s="377">
        <v>1000</v>
      </c>
      <c r="F1705" s="311">
        <f t="shared" si="16"/>
        <v>1.7827155035636482</v>
      </c>
      <c r="G1705" s="312">
        <v>560.94200000000001</v>
      </c>
      <c r="H1705" s="384" t="s">
        <v>151</v>
      </c>
      <c r="I1705" s="385" t="s">
        <v>2428</v>
      </c>
      <c r="J1705" s="177" t="s">
        <v>96</v>
      </c>
      <c r="K1705" s="125" t="s">
        <v>1906</v>
      </c>
      <c r="L1705" s="177" t="s">
        <v>153</v>
      </c>
      <c r="M1705" s="371"/>
      <c r="N1705" s="371"/>
    </row>
    <row r="1706" spans="1:14" ht="15.6" hidden="1">
      <c r="A1706" s="353">
        <v>45891</v>
      </c>
      <c r="B1706" s="377" t="s">
        <v>2387</v>
      </c>
      <c r="C1706" s="299" t="s">
        <v>172</v>
      </c>
      <c r="D1706" s="299" t="s">
        <v>117</v>
      </c>
      <c r="E1706" s="377">
        <v>1000</v>
      </c>
      <c r="F1706" s="311">
        <f t="shared" si="16"/>
        <v>1.7827155035636482</v>
      </c>
      <c r="G1706" s="312">
        <v>560.94200000000001</v>
      </c>
      <c r="H1706" s="384" t="s">
        <v>151</v>
      </c>
      <c r="I1706" s="385" t="s">
        <v>2428</v>
      </c>
      <c r="J1706" s="177" t="s">
        <v>96</v>
      </c>
      <c r="K1706" s="125" t="s">
        <v>1906</v>
      </c>
      <c r="L1706" s="177" t="s">
        <v>153</v>
      </c>
      <c r="M1706" s="371"/>
      <c r="N1706" s="371"/>
    </row>
    <row r="1707" spans="1:14" ht="15.6" hidden="1">
      <c r="A1707" s="355">
        <v>45891</v>
      </c>
      <c r="B1707" s="376" t="s">
        <v>2404</v>
      </c>
      <c r="C1707" s="376" t="s">
        <v>172</v>
      </c>
      <c r="D1707" s="376" t="s">
        <v>115</v>
      </c>
      <c r="E1707" s="386">
        <v>500</v>
      </c>
      <c r="F1707" s="311">
        <f t="shared" ref="F1707:F1770" si="17">E1707/G1707</f>
        <v>0.89135775178182408</v>
      </c>
      <c r="G1707" s="312">
        <v>560.94200000000001</v>
      </c>
      <c r="H1707" s="172" t="s">
        <v>198</v>
      </c>
      <c r="I1707" s="376" t="s">
        <v>2426</v>
      </c>
      <c r="J1707" s="177" t="s">
        <v>96</v>
      </c>
      <c r="K1707" s="125" t="s">
        <v>1906</v>
      </c>
      <c r="L1707" s="177" t="s">
        <v>153</v>
      </c>
      <c r="M1707" s="371"/>
      <c r="N1707" s="371"/>
    </row>
    <row r="1708" spans="1:14" ht="15.6" hidden="1">
      <c r="A1708" s="355">
        <v>45891</v>
      </c>
      <c r="B1708" s="376" t="s">
        <v>2405</v>
      </c>
      <c r="C1708" s="376" t="s">
        <v>172</v>
      </c>
      <c r="D1708" s="376" t="s">
        <v>115</v>
      </c>
      <c r="E1708" s="386">
        <v>500</v>
      </c>
      <c r="F1708" s="311">
        <f t="shared" si="17"/>
        <v>0.89135775178182408</v>
      </c>
      <c r="G1708" s="312">
        <v>560.94200000000001</v>
      </c>
      <c r="H1708" s="172" t="s">
        <v>198</v>
      </c>
      <c r="I1708" s="376" t="s">
        <v>2426</v>
      </c>
      <c r="J1708" s="177" t="s">
        <v>96</v>
      </c>
      <c r="K1708" s="125" t="s">
        <v>1906</v>
      </c>
      <c r="L1708" s="177" t="s">
        <v>153</v>
      </c>
      <c r="M1708" s="371"/>
      <c r="N1708" s="371"/>
    </row>
    <row r="1709" spans="1:14" ht="15.6" hidden="1">
      <c r="A1709" s="355">
        <v>45891</v>
      </c>
      <c r="B1709" s="376" t="s">
        <v>2406</v>
      </c>
      <c r="C1709" s="376" t="s">
        <v>172</v>
      </c>
      <c r="D1709" s="376" t="s">
        <v>115</v>
      </c>
      <c r="E1709" s="386">
        <v>500</v>
      </c>
      <c r="F1709" s="311">
        <f t="shared" si="17"/>
        <v>0.89135775178182408</v>
      </c>
      <c r="G1709" s="312">
        <v>560.94200000000001</v>
      </c>
      <c r="H1709" s="172" t="s">
        <v>198</v>
      </c>
      <c r="I1709" s="376" t="s">
        <v>2426</v>
      </c>
      <c r="J1709" s="177" t="s">
        <v>96</v>
      </c>
      <c r="K1709" s="125" t="s">
        <v>1906</v>
      </c>
      <c r="L1709" s="177" t="s">
        <v>153</v>
      </c>
      <c r="M1709" s="371"/>
      <c r="N1709" s="371"/>
    </row>
    <row r="1710" spans="1:14" ht="15.6" hidden="1">
      <c r="A1710" s="359">
        <v>45891</v>
      </c>
      <c r="B1710" s="177" t="s">
        <v>2456</v>
      </c>
      <c r="C1710" s="177" t="s">
        <v>172</v>
      </c>
      <c r="D1710" s="177" t="s">
        <v>116</v>
      </c>
      <c r="E1710" s="324">
        <v>1000</v>
      </c>
      <c r="F1710" s="311">
        <f t="shared" si="17"/>
        <v>1.7827155035636482</v>
      </c>
      <c r="G1710" s="312">
        <v>560.94200000000001</v>
      </c>
      <c r="H1710" s="177" t="s">
        <v>581</v>
      </c>
      <c r="I1710" s="177" t="s">
        <v>2467</v>
      </c>
      <c r="J1710" s="177" t="s">
        <v>96</v>
      </c>
      <c r="K1710" s="125" t="s">
        <v>1906</v>
      </c>
      <c r="L1710" s="177" t="s">
        <v>153</v>
      </c>
      <c r="M1710" s="371"/>
      <c r="N1710" s="371"/>
    </row>
    <row r="1711" spans="1:14" ht="15.6" hidden="1">
      <c r="A1711" s="359">
        <v>45891</v>
      </c>
      <c r="B1711" s="177" t="s">
        <v>2457</v>
      </c>
      <c r="C1711" s="177" t="s">
        <v>172</v>
      </c>
      <c r="D1711" s="177" t="s">
        <v>116</v>
      </c>
      <c r="E1711" s="324">
        <v>1000</v>
      </c>
      <c r="F1711" s="311">
        <f t="shared" si="17"/>
        <v>1.7827155035636482</v>
      </c>
      <c r="G1711" s="312">
        <v>560.94200000000001</v>
      </c>
      <c r="H1711" s="177" t="s">
        <v>581</v>
      </c>
      <c r="I1711" s="177" t="s">
        <v>2467</v>
      </c>
      <c r="J1711" s="177" t="s">
        <v>96</v>
      </c>
      <c r="K1711" s="125" t="s">
        <v>1906</v>
      </c>
      <c r="L1711" s="177" t="s">
        <v>153</v>
      </c>
      <c r="M1711" s="371"/>
      <c r="N1711" s="371"/>
    </row>
    <row r="1712" spans="1:14" ht="15.6" hidden="1">
      <c r="A1712" s="359">
        <v>45891</v>
      </c>
      <c r="B1712" s="177" t="s">
        <v>2458</v>
      </c>
      <c r="C1712" s="177" t="s">
        <v>172</v>
      </c>
      <c r="D1712" s="177" t="s">
        <v>116</v>
      </c>
      <c r="E1712" s="324">
        <v>500</v>
      </c>
      <c r="F1712" s="311">
        <f t="shared" si="17"/>
        <v>0.89135775178182408</v>
      </c>
      <c r="G1712" s="312">
        <v>560.94200000000001</v>
      </c>
      <c r="H1712" s="177" t="s">
        <v>581</v>
      </c>
      <c r="I1712" s="177" t="s">
        <v>2467</v>
      </c>
      <c r="J1712" s="177" t="s">
        <v>96</v>
      </c>
      <c r="K1712" s="125" t="s">
        <v>1906</v>
      </c>
      <c r="L1712" s="177" t="s">
        <v>153</v>
      </c>
      <c r="M1712" s="371"/>
      <c r="N1712" s="371"/>
    </row>
    <row r="1713" spans="1:14" ht="15.6" hidden="1">
      <c r="A1713" s="359">
        <v>45891</v>
      </c>
      <c r="B1713" s="177" t="s">
        <v>2459</v>
      </c>
      <c r="C1713" s="177" t="s">
        <v>172</v>
      </c>
      <c r="D1713" s="177" t="s">
        <v>116</v>
      </c>
      <c r="E1713" s="324">
        <v>500</v>
      </c>
      <c r="F1713" s="311">
        <f t="shared" si="17"/>
        <v>0.89135775178182408</v>
      </c>
      <c r="G1713" s="312">
        <v>560.94200000000001</v>
      </c>
      <c r="H1713" s="177" t="s">
        <v>581</v>
      </c>
      <c r="I1713" s="177" t="s">
        <v>2467</v>
      </c>
      <c r="J1713" s="177" t="s">
        <v>96</v>
      </c>
      <c r="K1713" s="125" t="s">
        <v>1906</v>
      </c>
      <c r="L1713" s="177" t="s">
        <v>153</v>
      </c>
      <c r="M1713" s="371"/>
      <c r="N1713" s="371"/>
    </row>
    <row r="1714" spans="1:14" ht="15.6" hidden="1">
      <c r="A1714" s="359">
        <v>45891</v>
      </c>
      <c r="B1714" s="177" t="s">
        <v>2460</v>
      </c>
      <c r="C1714" s="177" t="s">
        <v>172</v>
      </c>
      <c r="D1714" s="177" t="s">
        <v>116</v>
      </c>
      <c r="E1714" s="324">
        <v>500</v>
      </c>
      <c r="F1714" s="311">
        <f t="shared" si="17"/>
        <v>0.89135775178182408</v>
      </c>
      <c r="G1714" s="312">
        <v>560.94200000000001</v>
      </c>
      <c r="H1714" s="177" t="s">
        <v>581</v>
      </c>
      <c r="I1714" s="177" t="s">
        <v>2467</v>
      </c>
      <c r="J1714" s="177" t="s">
        <v>96</v>
      </c>
      <c r="K1714" s="125" t="s">
        <v>1906</v>
      </c>
      <c r="L1714" s="177" t="s">
        <v>153</v>
      </c>
      <c r="M1714" s="371"/>
      <c r="N1714" s="371"/>
    </row>
    <row r="1715" spans="1:14" ht="15.6" hidden="1">
      <c r="A1715" s="362">
        <v>45891</v>
      </c>
      <c r="B1715" s="177" t="s">
        <v>2355</v>
      </c>
      <c r="C1715" s="177" t="s">
        <v>180</v>
      </c>
      <c r="D1715" s="177" t="s">
        <v>116</v>
      </c>
      <c r="E1715" s="324">
        <v>31890</v>
      </c>
      <c r="F1715" s="311">
        <f t="shared" si="17"/>
        <v>56.850797408644745</v>
      </c>
      <c r="G1715" s="312">
        <v>560.94200000000001</v>
      </c>
      <c r="H1715" s="177" t="s">
        <v>581</v>
      </c>
      <c r="I1715" s="177" t="s">
        <v>2356</v>
      </c>
      <c r="J1715" s="177" t="s">
        <v>96</v>
      </c>
      <c r="K1715" s="125" t="s">
        <v>1906</v>
      </c>
      <c r="L1715" s="177" t="s">
        <v>153</v>
      </c>
      <c r="M1715" s="371"/>
      <c r="N1715" s="371"/>
    </row>
    <row r="1716" spans="1:14" ht="15.6" hidden="1">
      <c r="A1716" s="237">
        <v>45891</v>
      </c>
      <c r="B1716" s="172" t="s">
        <v>4894</v>
      </c>
      <c r="C1716" s="172" t="s">
        <v>172</v>
      </c>
      <c r="D1716" s="177" t="s">
        <v>440</v>
      </c>
      <c r="E1716" s="172">
        <v>1000</v>
      </c>
      <c r="F1716" s="311">
        <f t="shared" si="17"/>
        <v>1.7827155035636482</v>
      </c>
      <c r="G1716" s="312">
        <v>560.94200000000001</v>
      </c>
      <c r="H1716" s="172" t="s">
        <v>182</v>
      </c>
      <c r="I1716" s="172" t="s">
        <v>2477</v>
      </c>
      <c r="J1716" s="177" t="s">
        <v>96</v>
      </c>
      <c r="K1716" s="125" t="s">
        <v>1906</v>
      </c>
      <c r="L1716" s="177" t="s">
        <v>153</v>
      </c>
      <c r="M1716"/>
      <c r="N1716"/>
    </row>
    <row r="1717" spans="1:14" ht="15.6" hidden="1">
      <c r="A1717" s="237">
        <v>45891</v>
      </c>
      <c r="B1717" s="172" t="s">
        <v>4880</v>
      </c>
      <c r="C1717" s="172" t="s">
        <v>172</v>
      </c>
      <c r="D1717" s="177" t="s">
        <v>440</v>
      </c>
      <c r="E1717" s="172">
        <v>1000</v>
      </c>
      <c r="F1717" s="311">
        <f t="shared" si="17"/>
        <v>1.7827155035636482</v>
      </c>
      <c r="G1717" s="312">
        <v>560.94200000000001</v>
      </c>
      <c r="H1717" s="172" t="s">
        <v>182</v>
      </c>
      <c r="I1717" s="172" t="s">
        <v>2477</v>
      </c>
      <c r="J1717" s="177" t="s">
        <v>96</v>
      </c>
      <c r="K1717" s="125" t="s">
        <v>1906</v>
      </c>
      <c r="L1717" s="177" t="s">
        <v>153</v>
      </c>
      <c r="M1717"/>
      <c r="N1717"/>
    </row>
    <row r="1718" spans="1:14" ht="15.6" hidden="1">
      <c r="A1718" s="237">
        <v>45891</v>
      </c>
      <c r="B1718" s="172" t="s">
        <v>4894</v>
      </c>
      <c r="C1718" s="172" t="s">
        <v>172</v>
      </c>
      <c r="D1718" s="177" t="s">
        <v>440</v>
      </c>
      <c r="E1718" s="172">
        <v>1000</v>
      </c>
      <c r="F1718" s="311">
        <f t="shared" si="17"/>
        <v>1.7827155035636482</v>
      </c>
      <c r="G1718" s="312">
        <v>560.94200000000001</v>
      </c>
      <c r="H1718" s="172" t="s">
        <v>182</v>
      </c>
      <c r="I1718" s="172" t="s">
        <v>2477</v>
      </c>
      <c r="J1718" s="177" t="s">
        <v>96</v>
      </c>
      <c r="K1718" s="125" t="s">
        <v>1906</v>
      </c>
      <c r="L1718" s="177" t="s">
        <v>153</v>
      </c>
      <c r="M1718"/>
      <c r="N1718"/>
    </row>
    <row r="1719" spans="1:14" ht="15.6" hidden="1">
      <c r="A1719" s="237">
        <v>45891</v>
      </c>
      <c r="B1719" s="172" t="s">
        <v>4886</v>
      </c>
      <c r="C1719" s="172" t="s">
        <v>172</v>
      </c>
      <c r="D1719" s="177" t="s">
        <v>440</v>
      </c>
      <c r="E1719" s="172">
        <v>1000</v>
      </c>
      <c r="F1719" s="311">
        <f t="shared" si="17"/>
        <v>1.7827155035636482</v>
      </c>
      <c r="G1719" s="312">
        <v>560.94200000000001</v>
      </c>
      <c r="H1719" s="172" t="s">
        <v>182</v>
      </c>
      <c r="I1719" s="172" t="s">
        <v>2477</v>
      </c>
      <c r="J1719" s="177" t="s">
        <v>96</v>
      </c>
      <c r="K1719" s="125" t="s">
        <v>1906</v>
      </c>
      <c r="L1719" s="177" t="s">
        <v>153</v>
      </c>
      <c r="M1719"/>
      <c r="N1719"/>
    </row>
    <row r="1720" spans="1:14" ht="15.6" hidden="1">
      <c r="A1720" s="237">
        <v>45891</v>
      </c>
      <c r="B1720" s="172" t="s">
        <v>4892</v>
      </c>
      <c r="C1720" s="172" t="s">
        <v>172</v>
      </c>
      <c r="D1720" s="177" t="s">
        <v>440</v>
      </c>
      <c r="E1720" s="172">
        <v>500</v>
      </c>
      <c r="F1720" s="311">
        <f t="shared" si="17"/>
        <v>0.89135775178182408</v>
      </c>
      <c r="G1720" s="312">
        <v>560.94200000000001</v>
      </c>
      <c r="H1720" s="172" t="s">
        <v>182</v>
      </c>
      <c r="I1720" s="172" t="s">
        <v>2477</v>
      </c>
      <c r="J1720" s="177" t="s">
        <v>96</v>
      </c>
      <c r="K1720" s="125" t="s">
        <v>1906</v>
      </c>
      <c r="L1720" s="177" t="s">
        <v>153</v>
      </c>
      <c r="M1720"/>
      <c r="N1720"/>
    </row>
    <row r="1721" spans="1:14" ht="15.6" hidden="1">
      <c r="A1721" s="237">
        <v>45891</v>
      </c>
      <c r="B1721" s="172" t="s">
        <v>4894</v>
      </c>
      <c r="C1721" s="172" t="s">
        <v>172</v>
      </c>
      <c r="D1721" s="177" t="s">
        <v>440</v>
      </c>
      <c r="E1721" s="172">
        <v>1000</v>
      </c>
      <c r="F1721" s="311">
        <f t="shared" si="17"/>
        <v>1.7827155035636482</v>
      </c>
      <c r="G1721" s="312">
        <v>560.94200000000001</v>
      </c>
      <c r="H1721" s="172" t="s">
        <v>182</v>
      </c>
      <c r="I1721" s="172" t="s">
        <v>2477</v>
      </c>
      <c r="J1721" s="177" t="s">
        <v>96</v>
      </c>
      <c r="K1721" s="125" t="s">
        <v>1906</v>
      </c>
      <c r="L1721" s="177" t="s">
        <v>153</v>
      </c>
      <c r="M1721"/>
      <c r="N1721"/>
    </row>
    <row r="1722" spans="1:14" ht="15.6" hidden="1">
      <c r="A1722" s="237">
        <v>45891</v>
      </c>
      <c r="B1722" s="172" t="s">
        <v>4913</v>
      </c>
      <c r="C1722" s="172" t="s">
        <v>172</v>
      </c>
      <c r="D1722" s="177" t="s">
        <v>440</v>
      </c>
      <c r="E1722" s="172">
        <v>500</v>
      </c>
      <c r="F1722" s="311">
        <f t="shared" si="17"/>
        <v>0.89135775178182408</v>
      </c>
      <c r="G1722" s="312">
        <v>560.94200000000001</v>
      </c>
      <c r="H1722" s="172" t="s">
        <v>182</v>
      </c>
      <c r="I1722" s="172" t="s">
        <v>2477</v>
      </c>
      <c r="J1722" s="177" t="s">
        <v>96</v>
      </c>
      <c r="K1722" s="125" t="s">
        <v>1906</v>
      </c>
      <c r="L1722" s="177" t="s">
        <v>153</v>
      </c>
      <c r="M1722"/>
      <c r="N1722"/>
    </row>
    <row r="1723" spans="1:14" ht="15.6" hidden="1">
      <c r="A1723" s="237">
        <v>45891</v>
      </c>
      <c r="B1723" s="172" t="s">
        <v>4886</v>
      </c>
      <c r="C1723" s="172" t="s">
        <v>172</v>
      </c>
      <c r="D1723" s="177" t="s">
        <v>440</v>
      </c>
      <c r="E1723" s="172">
        <v>1000</v>
      </c>
      <c r="F1723" s="311">
        <f t="shared" si="17"/>
        <v>1.7827155035636482</v>
      </c>
      <c r="G1723" s="312">
        <v>560.94200000000001</v>
      </c>
      <c r="H1723" s="172" t="s">
        <v>182</v>
      </c>
      <c r="I1723" s="172" t="s">
        <v>2477</v>
      </c>
      <c r="J1723" s="177" t="s">
        <v>96</v>
      </c>
      <c r="K1723" s="125" t="s">
        <v>1906</v>
      </c>
      <c r="L1723" s="177" t="s">
        <v>153</v>
      </c>
      <c r="M1723"/>
      <c r="N1723"/>
    </row>
    <row r="1724" spans="1:14" ht="15.6" hidden="1">
      <c r="A1724" s="360">
        <v>45891</v>
      </c>
      <c r="B1724" s="177" t="s">
        <v>4900</v>
      </c>
      <c r="C1724" s="177" t="s">
        <v>172</v>
      </c>
      <c r="D1724" s="177" t="s">
        <v>440</v>
      </c>
      <c r="E1724" s="177">
        <v>500</v>
      </c>
      <c r="F1724" s="311">
        <f t="shared" si="17"/>
        <v>0.89135775178182408</v>
      </c>
      <c r="G1724" s="312">
        <v>560.94200000000001</v>
      </c>
      <c r="H1724" s="177" t="s">
        <v>173</v>
      </c>
      <c r="I1724" s="177" t="s">
        <v>2496</v>
      </c>
      <c r="J1724" s="177" t="s">
        <v>96</v>
      </c>
      <c r="K1724" s="125" t="s">
        <v>1906</v>
      </c>
      <c r="L1724" s="177" t="s">
        <v>153</v>
      </c>
      <c r="M1724"/>
      <c r="N1724"/>
    </row>
    <row r="1725" spans="1:14" ht="15.6" hidden="1">
      <c r="A1725" s="360">
        <v>45891</v>
      </c>
      <c r="B1725" s="177" t="s">
        <v>4896</v>
      </c>
      <c r="C1725" s="177" t="s">
        <v>172</v>
      </c>
      <c r="D1725" s="177" t="s">
        <v>440</v>
      </c>
      <c r="E1725" s="177">
        <v>500</v>
      </c>
      <c r="F1725" s="311">
        <f t="shared" si="17"/>
        <v>0.89135775178182408</v>
      </c>
      <c r="G1725" s="312">
        <v>560.94200000000001</v>
      </c>
      <c r="H1725" s="177" t="s">
        <v>173</v>
      </c>
      <c r="I1725" s="177" t="s">
        <v>2496</v>
      </c>
      <c r="J1725" s="177" t="s">
        <v>96</v>
      </c>
      <c r="K1725" s="125" t="s">
        <v>1906</v>
      </c>
      <c r="L1725" s="177" t="s">
        <v>153</v>
      </c>
      <c r="M1725"/>
      <c r="N1725"/>
    </row>
    <row r="1726" spans="1:14" ht="15.6" hidden="1">
      <c r="A1726" s="357">
        <v>45891</v>
      </c>
      <c r="B1726" s="177" t="s">
        <v>4888</v>
      </c>
      <c r="C1726" s="177" t="s">
        <v>172</v>
      </c>
      <c r="D1726" s="177" t="s">
        <v>440</v>
      </c>
      <c r="E1726" s="177">
        <v>500</v>
      </c>
      <c r="F1726" s="311">
        <f t="shared" si="17"/>
        <v>0.89135775178182408</v>
      </c>
      <c r="G1726" s="312">
        <v>560.94200000000001</v>
      </c>
      <c r="H1726" s="177" t="s">
        <v>315</v>
      </c>
      <c r="I1726" s="177" t="s">
        <v>2515</v>
      </c>
      <c r="J1726" s="177" t="s">
        <v>96</v>
      </c>
      <c r="K1726" s="125" t="s">
        <v>1906</v>
      </c>
      <c r="L1726" s="177" t="s">
        <v>153</v>
      </c>
      <c r="M1726"/>
      <c r="N1726"/>
    </row>
    <row r="1727" spans="1:14" ht="15.6" hidden="1">
      <c r="A1727" s="357">
        <v>45891</v>
      </c>
      <c r="B1727" s="177" t="s">
        <v>4888</v>
      </c>
      <c r="C1727" s="177" t="s">
        <v>172</v>
      </c>
      <c r="D1727" s="177" t="s">
        <v>440</v>
      </c>
      <c r="E1727" s="177">
        <v>500</v>
      </c>
      <c r="F1727" s="311">
        <f t="shared" si="17"/>
        <v>0.89135775178182408</v>
      </c>
      <c r="G1727" s="312">
        <v>560.94200000000001</v>
      </c>
      <c r="H1727" s="177" t="s">
        <v>315</v>
      </c>
      <c r="I1727" s="177" t="s">
        <v>2515</v>
      </c>
      <c r="J1727" s="177" t="s">
        <v>96</v>
      </c>
      <c r="K1727" s="125" t="s">
        <v>1906</v>
      </c>
      <c r="L1727" s="177" t="s">
        <v>153</v>
      </c>
      <c r="M1727"/>
      <c r="N1727"/>
    </row>
    <row r="1728" spans="1:14" ht="15.6" hidden="1">
      <c r="A1728" s="357">
        <v>45891</v>
      </c>
      <c r="B1728" s="177" t="s">
        <v>4914</v>
      </c>
      <c r="C1728" s="177" t="s">
        <v>363</v>
      </c>
      <c r="D1728" s="177" t="s">
        <v>440</v>
      </c>
      <c r="E1728" s="177">
        <v>2000</v>
      </c>
      <c r="F1728" s="311">
        <f t="shared" si="17"/>
        <v>3.5654310071272963</v>
      </c>
      <c r="G1728" s="312">
        <v>560.94200000000001</v>
      </c>
      <c r="H1728" s="177" t="s">
        <v>315</v>
      </c>
      <c r="I1728" s="177" t="s">
        <v>2520</v>
      </c>
      <c r="J1728" s="177" t="s">
        <v>96</v>
      </c>
      <c r="K1728" s="125" t="s">
        <v>1906</v>
      </c>
      <c r="L1728" s="177" t="s">
        <v>153</v>
      </c>
      <c r="M1728"/>
      <c r="N1728"/>
    </row>
    <row r="1729" spans="1:14" ht="15.6" hidden="1">
      <c r="A1729" s="357">
        <v>45891</v>
      </c>
      <c r="B1729" s="177" t="s">
        <v>4888</v>
      </c>
      <c r="C1729" s="177" t="s">
        <v>172</v>
      </c>
      <c r="D1729" s="177" t="s">
        <v>440</v>
      </c>
      <c r="E1729" s="177">
        <v>500</v>
      </c>
      <c r="F1729" s="311">
        <f t="shared" si="17"/>
        <v>0.89135775178182408</v>
      </c>
      <c r="G1729" s="312">
        <v>560.94200000000001</v>
      </c>
      <c r="H1729" s="177" t="s">
        <v>315</v>
      </c>
      <c r="I1729" s="177" t="s">
        <v>2515</v>
      </c>
      <c r="J1729" s="177" t="s">
        <v>96</v>
      </c>
      <c r="K1729" s="125" t="s">
        <v>1906</v>
      </c>
      <c r="L1729" s="177" t="s">
        <v>153</v>
      </c>
      <c r="M1729"/>
      <c r="N1729"/>
    </row>
    <row r="1730" spans="1:14" ht="15.6" hidden="1">
      <c r="A1730" s="357">
        <v>45891</v>
      </c>
      <c r="B1730" s="177" t="s">
        <v>4888</v>
      </c>
      <c r="C1730" s="177" t="s">
        <v>172</v>
      </c>
      <c r="D1730" s="177" t="s">
        <v>440</v>
      </c>
      <c r="E1730" s="177">
        <v>500</v>
      </c>
      <c r="F1730" s="311">
        <f t="shared" si="17"/>
        <v>0.89135775178182408</v>
      </c>
      <c r="G1730" s="312">
        <v>560.94200000000001</v>
      </c>
      <c r="H1730" s="177" t="s">
        <v>315</v>
      </c>
      <c r="I1730" s="177" t="s">
        <v>2515</v>
      </c>
      <c r="J1730" s="177" t="s">
        <v>96</v>
      </c>
      <c r="K1730" s="125" t="s">
        <v>1906</v>
      </c>
      <c r="L1730" s="177" t="s">
        <v>153</v>
      </c>
      <c r="M1730"/>
      <c r="N1730"/>
    </row>
    <row r="1731" spans="1:14" ht="15.6" hidden="1">
      <c r="A1731" s="357">
        <v>45891</v>
      </c>
      <c r="B1731" s="177" t="s">
        <v>4896</v>
      </c>
      <c r="C1731" s="177" t="s">
        <v>172</v>
      </c>
      <c r="D1731" s="177" t="s">
        <v>440</v>
      </c>
      <c r="E1731" s="177">
        <v>500</v>
      </c>
      <c r="F1731" s="311">
        <f t="shared" si="17"/>
        <v>0.89135775178182408</v>
      </c>
      <c r="G1731" s="312">
        <v>560.94200000000001</v>
      </c>
      <c r="H1731" s="177" t="s">
        <v>315</v>
      </c>
      <c r="I1731" s="177" t="s">
        <v>2515</v>
      </c>
      <c r="J1731" s="177" t="s">
        <v>96</v>
      </c>
      <c r="K1731" s="125" t="s">
        <v>1906</v>
      </c>
      <c r="L1731" s="177" t="s">
        <v>153</v>
      </c>
      <c r="M1731"/>
      <c r="N1731"/>
    </row>
    <row r="1732" spans="1:14" ht="15.6" hidden="1">
      <c r="A1732" s="357">
        <v>45891</v>
      </c>
      <c r="B1732" s="177" t="s">
        <v>4907</v>
      </c>
      <c r="C1732" s="177" t="s">
        <v>172</v>
      </c>
      <c r="D1732" s="177" t="s">
        <v>440</v>
      </c>
      <c r="E1732" s="351">
        <v>1000</v>
      </c>
      <c r="F1732" s="311">
        <f t="shared" si="17"/>
        <v>1.7827155035636482</v>
      </c>
      <c r="G1732" s="312">
        <v>560.94200000000001</v>
      </c>
      <c r="H1732" s="177" t="s">
        <v>321</v>
      </c>
      <c r="I1732" s="177" t="s">
        <v>2532</v>
      </c>
      <c r="J1732" s="177" t="s">
        <v>96</v>
      </c>
      <c r="K1732" s="125" t="s">
        <v>1906</v>
      </c>
      <c r="L1732" s="177" t="s">
        <v>153</v>
      </c>
      <c r="M1732"/>
      <c r="N1732"/>
    </row>
    <row r="1733" spans="1:14" ht="15.6" hidden="1">
      <c r="A1733" s="357">
        <v>45891</v>
      </c>
      <c r="B1733" s="177" t="s">
        <v>4915</v>
      </c>
      <c r="C1733" s="177" t="s">
        <v>172</v>
      </c>
      <c r="D1733" s="177" t="s">
        <v>440</v>
      </c>
      <c r="E1733" s="351">
        <v>3000</v>
      </c>
      <c r="F1733" s="311">
        <f t="shared" si="17"/>
        <v>5.3481465106909445</v>
      </c>
      <c r="G1733" s="312">
        <v>560.94200000000001</v>
      </c>
      <c r="H1733" s="177" t="s">
        <v>321</v>
      </c>
      <c r="I1733" s="177" t="s">
        <v>2538</v>
      </c>
      <c r="J1733" s="177" t="s">
        <v>96</v>
      </c>
      <c r="K1733" s="125" t="s">
        <v>1906</v>
      </c>
      <c r="L1733" s="177" t="s">
        <v>153</v>
      </c>
      <c r="M1733"/>
      <c r="N1733"/>
    </row>
    <row r="1734" spans="1:14" ht="15.6" hidden="1">
      <c r="A1734" s="357">
        <v>45891</v>
      </c>
      <c r="B1734" s="177" t="s">
        <v>4916</v>
      </c>
      <c r="C1734" s="177" t="s">
        <v>172</v>
      </c>
      <c r="D1734" s="177" t="s">
        <v>440</v>
      </c>
      <c r="E1734" s="351">
        <v>500</v>
      </c>
      <c r="F1734" s="311">
        <f t="shared" si="17"/>
        <v>0.89135775178182408</v>
      </c>
      <c r="G1734" s="312">
        <v>560.94200000000001</v>
      </c>
      <c r="H1734" s="177" t="s">
        <v>321</v>
      </c>
      <c r="I1734" s="177" t="s">
        <v>2532</v>
      </c>
      <c r="J1734" s="177" t="s">
        <v>96</v>
      </c>
      <c r="K1734" s="125" t="s">
        <v>1906</v>
      </c>
      <c r="L1734" s="177" t="s">
        <v>153</v>
      </c>
      <c r="M1734"/>
      <c r="N1734"/>
    </row>
    <row r="1735" spans="1:14" ht="15.6" hidden="1">
      <c r="A1735" s="357">
        <v>45891</v>
      </c>
      <c r="B1735" s="177" t="s">
        <v>4917</v>
      </c>
      <c r="C1735" s="177" t="s">
        <v>172</v>
      </c>
      <c r="D1735" s="177" t="s">
        <v>440</v>
      </c>
      <c r="E1735" s="351">
        <v>500</v>
      </c>
      <c r="F1735" s="311">
        <f t="shared" si="17"/>
        <v>0.89135775178182408</v>
      </c>
      <c r="G1735" s="312">
        <v>560.94200000000001</v>
      </c>
      <c r="H1735" s="177" t="s">
        <v>321</v>
      </c>
      <c r="I1735" s="177" t="s">
        <v>2532</v>
      </c>
      <c r="J1735" s="177" t="s">
        <v>96</v>
      </c>
      <c r="K1735" s="125" t="s">
        <v>1906</v>
      </c>
      <c r="L1735" s="177" t="s">
        <v>153</v>
      </c>
      <c r="M1735"/>
      <c r="N1735"/>
    </row>
    <row r="1736" spans="1:14" ht="15.6" hidden="1">
      <c r="A1736" s="357">
        <v>45891</v>
      </c>
      <c r="B1736" s="177" t="s">
        <v>4867</v>
      </c>
      <c r="C1736" s="177" t="s">
        <v>366</v>
      </c>
      <c r="D1736" s="177" t="s">
        <v>440</v>
      </c>
      <c r="E1736" s="351">
        <v>1000</v>
      </c>
      <c r="F1736" s="311">
        <f t="shared" si="17"/>
        <v>1.7827155035636482</v>
      </c>
      <c r="G1736" s="312">
        <v>560.94200000000001</v>
      </c>
      <c r="H1736" s="177" t="s">
        <v>321</v>
      </c>
      <c r="I1736" s="177" t="s">
        <v>2537</v>
      </c>
      <c r="J1736" s="177" t="s">
        <v>96</v>
      </c>
      <c r="K1736" s="125" t="s">
        <v>1906</v>
      </c>
      <c r="L1736" s="177" t="s">
        <v>153</v>
      </c>
      <c r="M1736"/>
      <c r="N1736"/>
    </row>
    <row r="1737" spans="1:14" ht="15.6" hidden="1">
      <c r="A1737" s="357">
        <v>45891</v>
      </c>
      <c r="B1737" s="177" t="s">
        <v>4907</v>
      </c>
      <c r="C1737" s="177" t="s">
        <v>172</v>
      </c>
      <c r="D1737" s="177" t="s">
        <v>440</v>
      </c>
      <c r="E1737" s="351">
        <v>500</v>
      </c>
      <c r="F1737" s="311">
        <f t="shared" si="17"/>
        <v>0.89135775178182408</v>
      </c>
      <c r="G1737" s="312">
        <v>560.94200000000001</v>
      </c>
      <c r="H1737" s="177" t="s">
        <v>321</v>
      </c>
      <c r="I1737" s="177" t="s">
        <v>2532</v>
      </c>
      <c r="J1737" s="177" t="s">
        <v>96</v>
      </c>
      <c r="K1737" s="125" t="s">
        <v>1906</v>
      </c>
      <c r="L1737" s="177" t="s">
        <v>153</v>
      </c>
      <c r="M1737"/>
      <c r="N1737"/>
    </row>
    <row r="1738" spans="1:14" ht="15.6" hidden="1">
      <c r="A1738" s="357">
        <v>45891</v>
      </c>
      <c r="B1738" s="177" t="s">
        <v>4899</v>
      </c>
      <c r="C1738" s="177" t="s">
        <v>172</v>
      </c>
      <c r="D1738" s="177" t="s">
        <v>440</v>
      </c>
      <c r="E1738" s="351">
        <v>3000</v>
      </c>
      <c r="F1738" s="311">
        <f t="shared" si="17"/>
        <v>5.3481465106909445</v>
      </c>
      <c r="G1738" s="312">
        <v>560.94200000000001</v>
      </c>
      <c r="H1738" s="177" t="s">
        <v>321</v>
      </c>
      <c r="I1738" s="177" t="s">
        <v>2539</v>
      </c>
      <c r="J1738" s="177" t="s">
        <v>96</v>
      </c>
      <c r="K1738" s="125" t="s">
        <v>1906</v>
      </c>
      <c r="L1738" s="177" t="s">
        <v>153</v>
      </c>
      <c r="M1738"/>
      <c r="N1738"/>
    </row>
    <row r="1739" spans="1:14" ht="15.6" hidden="1">
      <c r="A1739" s="357">
        <v>45891</v>
      </c>
      <c r="B1739" s="177" t="s">
        <v>4907</v>
      </c>
      <c r="C1739" s="177" t="s">
        <v>172</v>
      </c>
      <c r="D1739" s="177" t="s">
        <v>440</v>
      </c>
      <c r="E1739" s="351">
        <v>500</v>
      </c>
      <c r="F1739" s="311">
        <f t="shared" si="17"/>
        <v>0.89135775178182408</v>
      </c>
      <c r="G1739" s="312">
        <v>560.94200000000001</v>
      </c>
      <c r="H1739" s="177" t="s">
        <v>321</v>
      </c>
      <c r="I1739" s="177" t="s">
        <v>2532</v>
      </c>
      <c r="J1739" s="177" t="s">
        <v>96</v>
      </c>
      <c r="K1739" s="125" t="s">
        <v>1906</v>
      </c>
      <c r="L1739" s="177" t="s">
        <v>153</v>
      </c>
      <c r="M1739"/>
      <c r="N1739"/>
    </row>
    <row r="1740" spans="1:14" ht="15.6" hidden="1">
      <c r="A1740" s="357">
        <v>45891</v>
      </c>
      <c r="B1740" s="177" t="s">
        <v>2559</v>
      </c>
      <c r="C1740" s="177" t="s">
        <v>2394</v>
      </c>
      <c r="D1740" s="382" t="s">
        <v>115</v>
      </c>
      <c r="E1740" s="324">
        <v>30000</v>
      </c>
      <c r="F1740" s="311">
        <f t="shared" si="17"/>
        <v>53.481465106909447</v>
      </c>
      <c r="G1740" s="312">
        <v>560.94200000000001</v>
      </c>
      <c r="H1740" s="177" t="s">
        <v>188</v>
      </c>
      <c r="I1740" s="177" t="s">
        <v>2571</v>
      </c>
      <c r="J1740" s="177" t="s">
        <v>96</v>
      </c>
      <c r="K1740" s="125" t="s">
        <v>1906</v>
      </c>
      <c r="L1740" s="177" t="s">
        <v>153</v>
      </c>
      <c r="M1740"/>
      <c r="N1740"/>
    </row>
    <row r="1741" spans="1:14" ht="15.6" hidden="1">
      <c r="A1741" s="357">
        <v>45891</v>
      </c>
      <c r="B1741" s="177" t="s">
        <v>2560</v>
      </c>
      <c r="C1741" s="177" t="s">
        <v>172</v>
      </c>
      <c r="D1741" s="382" t="s">
        <v>115</v>
      </c>
      <c r="E1741" s="324">
        <v>1000</v>
      </c>
      <c r="F1741" s="311">
        <f t="shared" si="17"/>
        <v>1.7827155035636482</v>
      </c>
      <c r="G1741" s="312">
        <v>560.94200000000001</v>
      </c>
      <c r="H1741" s="177" t="s">
        <v>188</v>
      </c>
      <c r="I1741" s="177" t="s">
        <v>2564</v>
      </c>
      <c r="J1741" s="177" t="s">
        <v>96</v>
      </c>
      <c r="K1741" s="125" t="s">
        <v>1906</v>
      </c>
      <c r="L1741" s="177" t="s">
        <v>153</v>
      </c>
      <c r="M1741"/>
      <c r="N1741"/>
    </row>
    <row r="1742" spans="1:14" ht="15.6" hidden="1">
      <c r="A1742" s="357">
        <v>45891</v>
      </c>
      <c r="B1742" s="177" t="s">
        <v>2561</v>
      </c>
      <c r="C1742" s="177" t="s">
        <v>172</v>
      </c>
      <c r="D1742" s="382" t="s">
        <v>115</v>
      </c>
      <c r="E1742" s="324">
        <v>2000</v>
      </c>
      <c r="F1742" s="311">
        <f t="shared" si="17"/>
        <v>3.5654310071272963</v>
      </c>
      <c r="G1742" s="312">
        <v>560.94200000000001</v>
      </c>
      <c r="H1742" s="177" t="s">
        <v>188</v>
      </c>
      <c r="I1742" s="177" t="s">
        <v>2564</v>
      </c>
      <c r="J1742" s="177" t="s">
        <v>96</v>
      </c>
      <c r="K1742" s="125" t="s">
        <v>1906</v>
      </c>
      <c r="L1742" s="177" t="s">
        <v>153</v>
      </c>
      <c r="M1742"/>
      <c r="N1742"/>
    </row>
    <row r="1743" spans="1:14" ht="15.6" hidden="1">
      <c r="A1743" s="362">
        <v>45891</v>
      </c>
      <c r="B1743" s="177" t="s">
        <v>2353</v>
      </c>
      <c r="C1743" s="177" t="s">
        <v>170</v>
      </c>
      <c r="D1743" s="382" t="s">
        <v>116</v>
      </c>
      <c r="E1743" s="324">
        <v>68500</v>
      </c>
      <c r="F1743" s="311">
        <f t="shared" si="17"/>
        <v>122.11601199410991</v>
      </c>
      <c r="G1743" s="312">
        <v>560.94200000000001</v>
      </c>
      <c r="H1743" s="177" t="s">
        <v>191</v>
      </c>
      <c r="I1743" s="177" t="s">
        <v>2354</v>
      </c>
      <c r="J1743" s="177" t="s">
        <v>96</v>
      </c>
      <c r="K1743" s="125" t="s">
        <v>1906</v>
      </c>
      <c r="L1743" s="177" t="s">
        <v>153</v>
      </c>
      <c r="M1743"/>
      <c r="N1743"/>
    </row>
    <row r="1744" spans="1:14" ht="15.6" hidden="1">
      <c r="A1744" s="356">
        <v>45891</v>
      </c>
      <c r="B1744" s="177" t="s">
        <v>2634</v>
      </c>
      <c r="C1744" s="377" t="s">
        <v>194</v>
      </c>
      <c r="D1744" s="388" t="s">
        <v>115</v>
      </c>
      <c r="E1744" s="351">
        <v>500</v>
      </c>
      <c r="F1744" s="311">
        <f t="shared" si="17"/>
        <v>0.89135775178182408</v>
      </c>
      <c r="G1744" s="312">
        <v>560.94200000000001</v>
      </c>
      <c r="H1744" s="252" t="s">
        <v>195</v>
      </c>
      <c r="I1744" s="177" t="s">
        <v>2667</v>
      </c>
      <c r="J1744" s="177" t="s">
        <v>96</v>
      </c>
      <c r="K1744" s="125" t="s">
        <v>1906</v>
      </c>
      <c r="L1744" s="177" t="s">
        <v>153</v>
      </c>
      <c r="M1744"/>
      <c r="N1744"/>
    </row>
    <row r="1745" spans="1:14" ht="15.6" hidden="1">
      <c r="A1745" s="356">
        <v>45891</v>
      </c>
      <c r="B1745" s="177" t="s">
        <v>2635</v>
      </c>
      <c r="C1745" s="377" t="s">
        <v>194</v>
      </c>
      <c r="D1745" s="388" t="s">
        <v>115</v>
      </c>
      <c r="E1745" s="351">
        <v>500</v>
      </c>
      <c r="F1745" s="311">
        <f t="shared" si="17"/>
        <v>0.89135775178182408</v>
      </c>
      <c r="G1745" s="312">
        <v>560.94200000000001</v>
      </c>
      <c r="H1745" s="252" t="s">
        <v>195</v>
      </c>
      <c r="I1745" s="177" t="s">
        <v>2667</v>
      </c>
      <c r="J1745" s="177" t="s">
        <v>96</v>
      </c>
      <c r="K1745" s="125" t="s">
        <v>1906</v>
      </c>
      <c r="L1745" s="177" t="s">
        <v>153</v>
      </c>
      <c r="M1745"/>
      <c r="N1745"/>
    </row>
    <row r="1746" spans="1:14" ht="15.6" hidden="1">
      <c r="A1746" s="356">
        <v>45891</v>
      </c>
      <c r="B1746" s="177" t="s">
        <v>2636</v>
      </c>
      <c r="C1746" s="377" t="s">
        <v>194</v>
      </c>
      <c r="D1746" s="388" t="s">
        <v>115</v>
      </c>
      <c r="E1746" s="351">
        <v>500</v>
      </c>
      <c r="F1746" s="311">
        <f t="shared" si="17"/>
        <v>0.89135775178182408</v>
      </c>
      <c r="G1746" s="312">
        <v>560.94200000000001</v>
      </c>
      <c r="H1746" s="252" t="s">
        <v>195</v>
      </c>
      <c r="I1746" s="177" t="s">
        <v>2667</v>
      </c>
      <c r="J1746" s="177" t="s">
        <v>96</v>
      </c>
      <c r="K1746" s="125" t="s">
        <v>1906</v>
      </c>
      <c r="L1746" s="177" t="s">
        <v>153</v>
      </c>
      <c r="M1746"/>
      <c r="N1746"/>
    </row>
    <row r="1747" spans="1:14" ht="15.6" hidden="1">
      <c r="A1747" s="357">
        <v>45891</v>
      </c>
      <c r="B1747" s="177" t="s">
        <v>2716</v>
      </c>
      <c r="C1747" s="177" t="s">
        <v>172</v>
      </c>
      <c r="D1747" s="382" t="s">
        <v>115</v>
      </c>
      <c r="E1747" s="177">
        <v>500</v>
      </c>
      <c r="F1747" s="311">
        <f t="shared" si="17"/>
        <v>0.89135775178182408</v>
      </c>
      <c r="G1747" s="312">
        <v>560.94200000000001</v>
      </c>
      <c r="H1747" s="177" t="s">
        <v>185</v>
      </c>
      <c r="I1747" s="177" t="s">
        <v>2719</v>
      </c>
      <c r="J1747" s="177" t="s">
        <v>96</v>
      </c>
      <c r="K1747" s="125" t="s">
        <v>1906</v>
      </c>
      <c r="L1747" s="177" t="s">
        <v>153</v>
      </c>
      <c r="M1747"/>
      <c r="N1747"/>
    </row>
    <row r="1748" spans="1:14" ht="15.6" hidden="1">
      <c r="A1748" s="357">
        <v>45891</v>
      </c>
      <c r="B1748" s="177" t="s">
        <v>2717</v>
      </c>
      <c r="C1748" s="177" t="s">
        <v>172</v>
      </c>
      <c r="D1748" s="382" t="s">
        <v>115</v>
      </c>
      <c r="E1748" s="177">
        <v>500</v>
      </c>
      <c r="F1748" s="311">
        <f t="shared" si="17"/>
        <v>0.89135775178182408</v>
      </c>
      <c r="G1748" s="312">
        <v>560.94200000000001</v>
      </c>
      <c r="H1748" s="177" t="s">
        <v>185</v>
      </c>
      <c r="I1748" s="177" t="s">
        <v>2719</v>
      </c>
      <c r="J1748" s="177" t="s">
        <v>96</v>
      </c>
      <c r="K1748" s="125" t="s">
        <v>1906</v>
      </c>
      <c r="L1748" s="177" t="s">
        <v>153</v>
      </c>
      <c r="M1748"/>
      <c r="N1748"/>
    </row>
    <row r="1749" spans="1:14" ht="15.6" hidden="1">
      <c r="A1749" s="366">
        <v>45891</v>
      </c>
      <c r="B1749" s="320" t="s">
        <v>2728</v>
      </c>
      <c r="C1749" s="328" t="s">
        <v>121</v>
      </c>
      <c r="D1749" s="381" t="s">
        <v>115</v>
      </c>
      <c r="E1749" s="324">
        <v>150000</v>
      </c>
      <c r="F1749" s="311">
        <f t="shared" si="17"/>
        <v>267.40732553454723</v>
      </c>
      <c r="G1749" s="312">
        <v>560.94200000000001</v>
      </c>
      <c r="H1749" s="177" t="s">
        <v>146</v>
      </c>
      <c r="I1749" s="177" t="s">
        <v>2746</v>
      </c>
      <c r="J1749" s="177" t="s">
        <v>96</v>
      </c>
      <c r="K1749" s="125" t="s">
        <v>1906</v>
      </c>
      <c r="L1749" s="177" t="s">
        <v>153</v>
      </c>
      <c r="M1749"/>
      <c r="N1749"/>
    </row>
    <row r="1750" spans="1:14" ht="15.6" hidden="1">
      <c r="A1750" s="353">
        <v>45892</v>
      </c>
      <c r="B1750" s="377" t="s">
        <v>2103</v>
      </c>
      <c r="C1750" s="299" t="s">
        <v>172</v>
      </c>
      <c r="D1750" s="389" t="s">
        <v>117</v>
      </c>
      <c r="E1750" s="377">
        <v>1000</v>
      </c>
      <c r="F1750" s="311">
        <f t="shared" si="17"/>
        <v>1.7827155035636482</v>
      </c>
      <c r="G1750" s="312">
        <v>560.94200000000001</v>
      </c>
      <c r="H1750" s="384" t="s">
        <v>151</v>
      </c>
      <c r="I1750" s="385" t="s">
        <v>2428</v>
      </c>
      <c r="J1750" s="177" t="s">
        <v>96</v>
      </c>
      <c r="K1750" s="125" t="s">
        <v>1906</v>
      </c>
      <c r="L1750" s="177" t="s">
        <v>153</v>
      </c>
      <c r="M1750" s="371"/>
      <c r="N1750" s="371"/>
    </row>
    <row r="1751" spans="1:14" ht="15.6" hidden="1">
      <c r="A1751" s="353">
        <v>45892</v>
      </c>
      <c r="B1751" s="377" t="s">
        <v>2104</v>
      </c>
      <c r="C1751" s="299" t="s">
        <v>172</v>
      </c>
      <c r="D1751" s="389" t="s">
        <v>117</v>
      </c>
      <c r="E1751" s="377">
        <v>1000</v>
      </c>
      <c r="F1751" s="311">
        <f t="shared" si="17"/>
        <v>1.7827155035636482</v>
      </c>
      <c r="G1751" s="312">
        <v>560.94200000000001</v>
      </c>
      <c r="H1751" s="384" t="s">
        <v>151</v>
      </c>
      <c r="I1751" s="385" t="s">
        <v>2428</v>
      </c>
      <c r="J1751" s="177" t="s">
        <v>96</v>
      </c>
      <c r="K1751" s="125" t="s">
        <v>1906</v>
      </c>
      <c r="L1751" s="177" t="s">
        <v>153</v>
      </c>
      <c r="M1751" s="371"/>
      <c r="N1751" s="371"/>
    </row>
    <row r="1752" spans="1:14" ht="15.6" hidden="1">
      <c r="A1752" s="355">
        <v>45892</v>
      </c>
      <c r="B1752" s="376" t="s">
        <v>2407</v>
      </c>
      <c r="C1752" s="376" t="s">
        <v>172</v>
      </c>
      <c r="D1752" s="378" t="s">
        <v>115</v>
      </c>
      <c r="E1752" s="386">
        <v>500</v>
      </c>
      <c r="F1752" s="311">
        <f t="shared" si="17"/>
        <v>0.89135775178182408</v>
      </c>
      <c r="G1752" s="312">
        <v>560.94200000000001</v>
      </c>
      <c r="H1752" s="172" t="s">
        <v>198</v>
      </c>
      <c r="I1752" s="376" t="s">
        <v>2426</v>
      </c>
      <c r="J1752" s="177" t="s">
        <v>96</v>
      </c>
      <c r="K1752" s="125" t="s">
        <v>1906</v>
      </c>
      <c r="L1752" s="177" t="s">
        <v>153</v>
      </c>
      <c r="M1752" s="371"/>
      <c r="N1752" s="371"/>
    </row>
    <row r="1753" spans="1:14" ht="15.6" hidden="1">
      <c r="A1753" s="355">
        <v>45892</v>
      </c>
      <c r="B1753" s="376" t="s">
        <v>2408</v>
      </c>
      <c r="C1753" s="376" t="s">
        <v>172</v>
      </c>
      <c r="D1753" s="378" t="s">
        <v>115</v>
      </c>
      <c r="E1753" s="386">
        <v>500</v>
      </c>
      <c r="F1753" s="311">
        <f t="shared" si="17"/>
        <v>0.89135775178182408</v>
      </c>
      <c r="G1753" s="312">
        <v>560.94200000000001</v>
      </c>
      <c r="H1753" s="172" t="s">
        <v>198</v>
      </c>
      <c r="I1753" s="376" t="s">
        <v>2426</v>
      </c>
      <c r="J1753" s="177" t="s">
        <v>96</v>
      </c>
      <c r="K1753" s="125" t="s">
        <v>1906</v>
      </c>
      <c r="L1753" s="177" t="s">
        <v>153</v>
      </c>
      <c r="M1753" s="371"/>
      <c r="N1753" s="371"/>
    </row>
    <row r="1754" spans="1:14" ht="15.6" hidden="1">
      <c r="A1754" s="355">
        <v>45892</v>
      </c>
      <c r="B1754" s="376" t="s">
        <v>2409</v>
      </c>
      <c r="C1754" s="376" t="s">
        <v>172</v>
      </c>
      <c r="D1754" s="378" t="s">
        <v>115</v>
      </c>
      <c r="E1754" s="386">
        <v>500</v>
      </c>
      <c r="F1754" s="311">
        <f t="shared" si="17"/>
        <v>0.89135775178182408</v>
      </c>
      <c r="G1754" s="312">
        <v>560.94200000000001</v>
      </c>
      <c r="H1754" s="172" t="s">
        <v>198</v>
      </c>
      <c r="I1754" s="376" t="s">
        <v>2426</v>
      </c>
      <c r="J1754" s="177" t="s">
        <v>96</v>
      </c>
      <c r="K1754" s="125" t="s">
        <v>1906</v>
      </c>
      <c r="L1754" s="177" t="s">
        <v>153</v>
      </c>
      <c r="M1754" s="371"/>
      <c r="N1754" s="371"/>
    </row>
    <row r="1755" spans="1:14" ht="15.6" hidden="1">
      <c r="A1755" s="355">
        <v>45892</v>
      </c>
      <c r="B1755" s="376" t="s">
        <v>2406</v>
      </c>
      <c r="C1755" s="376" t="s">
        <v>172</v>
      </c>
      <c r="D1755" s="378" t="s">
        <v>115</v>
      </c>
      <c r="E1755" s="386">
        <v>500</v>
      </c>
      <c r="F1755" s="311">
        <f t="shared" si="17"/>
        <v>0.89135775178182408</v>
      </c>
      <c r="G1755" s="312">
        <v>560.94200000000001</v>
      </c>
      <c r="H1755" s="172" t="s">
        <v>198</v>
      </c>
      <c r="I1755" s="376" t="s">
        <v>2426</v>
      </c>
      <c r="J1755" s="177" t="s">
        <v>96</v>
      </c>
      <c r="K1755" s="125" t="s">
        <v>1906</v>
      </c>
      <c r="L1755" s="177" t="s">
        <v>153</v>
      </c>
      <c r="M1755" s="371"/>
      <c r="N1755" s="371"/>
    </row>
    <row r="1756" spans="1:14" ht="15.6" hidden="1">
      <c r="A1756" s="237">
        <v>45892</v>
      </c>
      <c r="B1756" s="172" t="s">
        <v>2410</v>
      </c>
      <c r="C1756" s="172" t="s">
        <v>2394</v>
      </c>
      <c r="D1756" s="369" t="s">
        <v>115</v>
      </c>
      <c r="E1756" s="387">
        <v>105000</v>
      </c>
      <c r="F1756" s="311">
        <f t="shared" si="17"/>
        <v>187.18512787418308</v>
      </c>
      <c r="G1756" s="312">
        <v>560.94200000000001</v>
      </c>
      <c r="H1756" s="172" t="s">
        <v>198</v>
      </c>
      <c r="I1756" s="376" t="s">
        <v>2802</v>
      </c>
      <c r="J1756" s="177" t="s">
        <v>96</v>
      </c>
      <c r="K1756" s="125" t="s">
        <v>1906</v>
      </c>
      <c r="L1756" s="177" t="s">
        <v>153</v>
      </c>
      <c r="M1756" s="371"/>
      <c r="N1756" s="371"/>
    </row>
    <row r="1757" spans="1:14" ht="15.6" hidden="1">
      <c r="A1757" s="355">
        <v>45892</v>
      </c>
      <c r="B1757" s="376" t="s">
        <v>2411</v>
      </c>
      <c r="C1757" s="376" t="s">
        <v>172</v>
      </c>
      <c r="D1757" s="378" t="s">
        <v>115</v>
      </c>
      <c r="E1757" s="386">
        <v>500</v>
      </c>
      <c r="F1757" s="311">
        <f t="shared" si="17"/>
        <v>0.89135775178182408</v>
      </c>
      <c r="G1757" s="312">
        <v>560.94200000000001</v>
      </c>
      <c r="H1757" s="172" t="s">
        <v>198</v>
      </c>
      <c r="I1757" s="376" t="s">
        <v>2426</v>
      </c>
      <c r="J1757" s="177" t="s">
        <v>96</v>
      </c>
      <c r="K1757" s="125" t="s">
        <v>1906</v>
      </c>
      <c r="L1757" s="177" t="s">
        <v>153</v>
      </c>
      <c r="M1757" s="371"/>
      <c r="N1757" s="371"/>
    </row>
    <row r="1758" spans="1:14" ht="15.6" hidden="1">
      <c r="A1758" s="237">
        <v>45892</v>
      </c>
      <c r="B1758" s="172" t="s">
        <v>4886</v>
      </c>
      <c r="C1758" s="172" t="s">
        <v>172</v>
      </c>
      <c r="D1758" s="177" t="s">
        <v>440</v>
      </c>
      <c r="E1758" s="172">
        <v>1000</v>
      </c>
      <c r="F1758" s="311">
        <f t="shared" si="17"/>
        <v>1.7827155035636482</v>
      </c>
      <c r="G1758" s="312">
        <v>560.94200000000001</v>
      </c>
      <c r="H1758" s="172" t="s">
        <v>182</v>
      </c>
      <c r="I1758" s="172" t="s">
        <v>2477</v>
      </c>
      <c r="J1758" s="177" t="s">
        <v>96</v>
      </c>
      <c r="K1758" s="125" t="s">
        <v>1906</v>
      </c>
      <c r="L1758" s="177" t="s">
        <v>153</v>
      </c>
      <c r="M1758"/>
      <c r="N1758"/>
    </row>
    <row r="1759" spans="1:14" ht="15.6" hidden="1">
      <c r="A1759" s="237">
        <v>45892</v>
      </c>
      <c r="B1759" s="172" t="s">
        <v>4894</v>
      </c>
      <c r="C1759" s="172" t="s">
        <v>172</v>
      </c>
      <c r="D1759" s="177" t="s">
        <v>440</v>
      </c>
      <c r="E1759" s="172">
        <v>1000</v>
      </c>
      <c r="F1759" s="311">
        <f t="shared" si="17"/>
        <v>1.7827155035636482</v>
      </c>
      <c r="G1759" s="312">
        <v>560.94200000000001</v>
      </c>
      <c r="H1759" s="172" t="s">
        <v>182</v>
      </c>
      <c r="I1759" s="172" t="s">
        <v>2477</v>
      </c>
      <c r="J1759" s="177" t="s">
        <v>96</v>
      </c>
      <c r="K1759" s="125" t="s">
        <v>1906</v>
      </c>
      <c r="L1759" s="177" t="s">
        <v>153</v>
      </c>
      <c r="M1759"/>
      <c r="N1759"/>
    </row>
    <row r="1760" spans="1:14" ht="15.6" hidden="1">
      <c r="A1760" s="237">
        <v>45892</v>
      </c>
      <c r="B1760" s="172" t="s">
        <v>4900</v>
      </c>
      <c r="C1760" s="172" t="s">
        <v>172</v>
      </c>
      <c r="D1760" s="177" t="s">
        <v>440</v>
      </c>
      <c r="E1760" s="172">
        <v>500</v>
      </c>
      <c r="F1760" s="311">
        <f t="shared" si="17"/>
        <v>0.89135775178182408</v>
      </c>
      <c r="G1760" s="312">
        <v>560.94200000000001</v>
      </c>
      <c r="H1760" s="172" t="s">
        <v>182</v>
      </c>
      <c r="I1760" s="172" t="s">
        <v>2477</v>
      </c>
      <c r="J1760" s="177" t="s">
        <v>96</v>
      </c>
      <c r="K1760" s="125" t="s">
        <v>1906</v>
      </c>
      <c r="L1760" s="177" t="s">
        <v>153</v>
      </c>
      <c r="M1760"/>
      <c r="N1760"/>
    </row>
    <row r="1761" spans="1:14" ht="15.6" hidden="1">
      <c r="A1761" s="237">
        <v>45892</v>
      </c>
      <c r="B1761" s="172" t="s">
        <v>4886</v>
      </c>
      <c r="C1761" s="172" t="s">
        <v>172</v>
      </c>
      <c r="D1761" s="177" t="s">
        <v>440</v>
      </c>
      <c r="E1761" s="172">
        <v>1000</v>
      </c>
      <c r="F1761" s="311">
        <f t="shared" si="17"/>
        <v>1.7827155035636482</v>
      </c>
      <c r="G1761" s="312">
        <v>560.94200000000001</v>
      </c>
      <c r="H1761" s="172" t="s">
        <v>182</v>
      </c>
      <c r="I1761" s="172" t="s">
        <v>2477</v>
      </c>
      <c r="J1761" s="177" t="s">
        <v>96</v>
      </c>
      <c r="K1761" s="125" t="s">
        <v>1906</v>
      </c>
      <c r="L1761" s="177" t="s">
        <v>153</v>
      </c>
      <c r="M1761"/>
      <c r="N1761"/>
    </row>
    <row r="1762" spans="1:14" ht="15.6" hidden="1">
      <c r="A1762" s="237">
        <v>45892</v>
      </c>
      <c r="B1762" s="172" t="s">
        <v>4900</v>
      </c>
      <c r="C1762" s="172" t="s">
        <v>172</v>
      </c>
      <c r="D1762" s="177" t="s">
        <v>440</v>
      </c>
      <c r="E1762" s="172">
        <v>500</v>
      </c>
      <c r="F1762" s="311">
        <f t="shared" si="17"/>
        <v>0.89135775178182408</v>
      </c>
      <c r="G1762" s="312">
        <v>560.94200000000001</v>
      </c>
      <c r="H1762" s="172" t="s">
        <v>182</v>
      </c>
      <c r="I1762" s="172" t="s">
        <v>2477</v>
      </c>
      <c r="J1762" s="177" t="s">
        <v>96</v>
      </c>
      <c r="K1762" s="125" t="s">
        <v>1906</v>
      </c>
      <c r="L1762" s="177" t="s">
        <v>153</v>
      </c>
      <c r="M1762"/>
      <c r="N1762"/>
    </row>
    <row r="1763" spans="1:14" ht="15.6" hidden="1">
      <c r="A1763" s="237">
        <v>45892</v>
      </c>
      <c r="B1763" s="172" t="s">
        <v>4894</v>
      </c>
      <c r="C1763" s="172" t="s">
        <v>172</v>
      </c>
      <c r="D1763" s="177" t="s">
        <v>440</v>
      </c>
      <c r="E1763" s="172">
        <v>1000</v>
      </c>
      <c r="F1763" s="311">
        <f t="shared" si="17"/>
        <v>1.7827155035636482</v>
      </c>
      <c r="G1763" s="312">
        <v>560.94200000000001</v>
      </c>
      <c r="H1763" s="172" t="s">
        <v>182</v>
      </c>
      <c r="I1763" s="172" t="s">
        <v>2477</v>
      </c>
      <c r="J1763" s="177" t="s">
        <v>96</v>
      </c>
      <c r="K1763" s="125" t="s">
        <v>1906</v>
      </c>
      <c r="L1763" s="177" t="s">
        <v>153</v>
      </c>
      <c r="M1763"/>
      <c r="N1763"/>
    </row>
    <row r="1764" spans="1:14" ht="15.6" hidden="1">
      <c r="A1764" s="360">
        <v>45892</v>
      </c>
      <c r="B1764" s="177" t="s">
        <v>4888</v>
      </c>
      <c r="C1764" s="177" t="s">
        <v>172</v>
      </c>
      <c r="D1764" s="177" t="s">
        <v>440</v>
      </c>
      <c r="E1764" s="177">
        <v>500</v>
      </c>
      <c r="F1764" s="311">
        <f t="shared" si="17"/>
        <v>0.89135775178182408</v>
      </c>
      <c r="G1764" s="312">
        <v>560.94200000000001</v>
      </c>
      <c r="H1764" s="177" t="s">
        <v>173</v>
      </c>
      <c r="I1764" s="177" t="s">
        <v>2496</v>
      </c>
      <c r="J1764" s="177" t="s">
        <v>96</v>
      </c>
      <c r="K1764" s="125" t="s">
        <v>1906</v>
      </c>
      <c r="L1764" s="177" t="s">
        <v>153</v>
      </c>
      <c r="M1764"/>
      <c r="N1764"/>
    </row>
    <row r="1765" spans="1:14" ht="15.6" hidden="1">
      <c r="A1765" s="360">
        <v>45892</v>
      </c>
      <c r="B1765" s="177" t="s">
        <v>4888</v>
      </c>
      <c r="C1765" s="177" t="s">
        <v>172</v>
      </c>
      <c r="D1765" s="177" t="s">
        <v>440</v>
      </c>
      <c r="E1765" s="177">
        <v>500</v>
      </c>
      <c r="F1765" s="311">
        <f t="shared" si="17"/>
        <v>0.89135775178182408</v>
      </c>
      <c r="G1765" s="312">
        <v>560.94200000000001</v>
      </c>
      <c r="H1765" s="177" t="s">
        <v>173</v>
      </c>
      <c r="I1765" s="177" t="s">
        <v>2496</v>
      </c>
      <c r="J1765" s="177" t="s">
        <v>96</v>
      </c>
      <c r="K1765" s="125" t="s">
        <v>1906</v>
      </c>
      <c r="L1765" s="177" t="s">
        <v>153</v>
      </c>
      <c r="M1765"/>
      <c r="N1765"/>
    </row>
    <row r="1766" spans="1:14" ht="15.6" hidden="1">
      <c r="A1766" s="360">
        <v>45892</v>
      </c>
      <c r="B1766" s="177" t="s">
        <v>4888</v>
      </c>
      <c r="C1766" s="177" t="s">
        <v>172</v>
      </c>
      <c r="D1766" s="177" t="s">
        <v>440</v>
      </c>
      <c r="E1766" s="177">
        <v>500</v>
      </c>
      <c r="F1766" s="311">
        <f t="shared" si="17"/>
        <v>0.89135775178182408</v>
      </c>
      <c r="G1766" s="312">
        <v>560.94200000000001</v>
      </c>
      <c r="H1766" s="177" t="s">
        <v>173</v>
      </c>
      <c r="I1766" s="177" t="s">
        <v>2496</v>
      </c>
      <c r="J1766" s="177" t="s">
        <v>96</v>
      </c>
      <c r="K1766" s="125" t="s">
        <v>1906</v>
      </c>
      <c r="L1766" s="177" t="s">
        <v>153</v>
      </c>
      <c r="M1766"/>
      <c r="N1766"/>
    </row>
    <row r="1767" spans="1:14" ht="15.6" hidden="1">
      <c r="A1767" s="360">
        <v>45892</v>
      </c>
      <c r="B1767" s="177" t="s">
        <v>4896</v>
      </c>
      <c r="C1767" s="177" t="s">
        <v>172</v>
      </c>
      <c r="D1767" s="177" t="s">
        <v>440</v>
      </c>
      <c r="E1767" s="177">
        <v>500</v>
      </c>
      <c r="F1767" s="311">
        <f t="shared" si="17"/>
        <v>0.89135775178182408</v>
      </c>
      <c r="G1767" s="312">
        <v>560.94200000000001</v>
      </c>
      <c r="H1767" s="177" t="s">
        <v>173</v>
      </c>
      <c r="I1767" s="177" t="s">
        <v>2496</v>
      </c>
      <c r="J1767" s="177" t="s">
        <v>96</v>
      </c>
      <c r="K1767" s="125" t="s">
        <v>1906</v>
      </c>
      <c r="L1767" s="177" t="s">
        <v>153</v>
      </c>
      <c r="M1767"/>
      <c r="N1767"/>
    </row>
    <row r="1768" spans="1:14" ht="15.6" hidden="1">
      <c r="A1768" s="360">
        <v>45892</v>
      </c>
      <c r="B1768" s="177" t="s">
        <v>4896</v>
      </c>
      <c r="C1768" s="177" t="s">
        <v>172</v>
      </c>
      <c r="D1768" s="177" t="s">
        <v>440</v>
      </c>
      <c r="E1768" s="177">
        <v>500</v>
      </c>
      <c r="F1768" s="311">
        <f t="shared" si="17"/>
        <v>0.89135775178182408</v>
      </c>
      <c r="G1768" s="312">
        <v>560.94200000000001</v>
      </c>
      <c r="H1768" s="177" t="s">
        <v>173</v>
      </c>
      <c r="I1768" s="177" t="s">
        <v>2496</v>
      </c>
      <c r="J1768" s="177" t="s">
        <v>96</v>
      </c>
      <c r="K1768" s="125" t="s">
        <v>1906</v>
      </c>
      <c r="L1768" s="177" t="s">
        <v>153</v>
      </c>
      <c r="M1768"/>
      <c r="N1768"/>
    </row>
    <row r="1769" spans="1:14" ht="15.6" hidden="1">
      <c r="A1769" s="360">
        <v>45892</v>
      </c>
      <c r="B1769" s="177" t="s">
        <v>4754</v>
      </c>
      <c r="C1769" s="177" t="s">
        <v>2394</v>
      </c>
      <c r="D1769" s="177" t="s">
        <v>440</v>
      </c>
      <c r="E1769" s="177">
        <v>105000</v>
      </c>
      <c r="F1769" s="311">
        <f t="shared" si="17"/>
        <v>187.18512787418308</v>
      </c>
      <c r="G1769" s="312">
        <v>560.94200000000001</v>
      </c>
      <c r="H1769" s="177" t="s">
        <v>173</v>
      </c>
      <c r="I1769" s="177" t="s">
        <v>2506</v>
      </c>
      <c r="J1769" s="177" t="s">
        <v>96</v>
      </c>
      <c r="K1769" s="125" t="s">
        <v>1906</v>
      </c>
      <c r="L1769" s="177" t="s">
        <v>153</v>
      </c>
      <c r="M1769"/>
      <c r="N1769"/>
    </row>
    <row r="1770" spans="1:14" ht="15.6" hidden="1">
      <c r="A1770" s="357">
        <v>45892</v>
      </c>
      <c r="B1770" s="177" t="s">
        <v>4762</v>
      </c>
      <c r="C1770" s="177" t="s">
        <v>175</v>
      </c>
      <c r="D1770" s="177" t="s">
        <v>440</v>
      </c>
      <c r="E1770" s="177">
        <v>30000</v>
      </c>
      <c r="F1770" s="311">
        <f t="shared" si="17"/>
        <v>53.481465106909447</v>
      </c>
      <c r="G1770" s="312">
        <v>560.94200000000001</v>
      </c>
      <c r="H1770" s="177" t="s">
        <v>315</v>
      </c>
      <c r="I1770" s="177" t="s">
        <v>2523</v>
      </c>
      <c r="J1770" s="177" t="s">
        <v>96</v>
      </c>
      <c r="K1770" s="125" t="s">
        <v>1906</v>
      </c>
      <c r="L1770" s="177" t="s">
        <v>153</v>
      </c>
      <c r="M1770"/>
      <c r="N1770"/>
    </row>
    <row r="1771" spans="1:14" ht="15.6" hidden="1">
      <c r="A1771" s="357">
        <v>45892</v>
      </c>
      <c r="B1771" s="177" t="s">
        <v>4888</v>
      </c>
      <c r="C1771" s="177" t="s">
        <v>172</v>
      </c>
      <c r="D1771" s="177" t="s">
        <v>440</v>
      </c>
      <c r="E1771" s="177">
        <v>500</v>
      </c>
      <c r="F1771" s="311">
        <f t="shared" ref="F1771:F1834" si="18">E1771/G1771</f>
        <v>0.89135775178182408</v>
      </c>
      <c r="G1771" s="312">
        <v>560.94200000000001</v>
      </c>
      <c r="H1771" s="177" t="s">
        <v>315</v>
      </c>
      <c r="I1771" s="177" t="s">
        <v>2515</v>
      </c>
      <c r="J1771" s="177" t="s">
        <v>96</v>
      </c>
      <c r="K1771" s="125" t="s">
        <v>1906</v>
      </c>
      <c r="L1771" s="177" t="s">
        <v>153</v>
      </c>
      <c r="M1771"/>
      <c r="N1771"/>
    </row>
    <row r="1772" spans="1:14" ht="15.6" hidden="1">
      <c r="A1772" s="357">
        <v>45892</v>
      </c>
      <c r="B1772" s="177" t="s">
        <v>4797</v>
      </c>
      <c r="C1772" s="177" t="s">
        <v>172</v>
      </c>
      <c r="D1772" s="177" t="s">
        <v>440</v>
      </c>
      <c r="E1772" s="177">
        <v>5000</v>
      </c>
      <c r="F1772" s="311">
        <f t="shared" si="18"/>
        <v>8.9135775178182417</v>
      </c>
      <c r="G1772" s="312">
        <v>560.94200000000001</v>
      </c>
      <c r="H1772" s="177" t="s">
        <v>315</v>
      </c>
      <c r="I1772" s="177" t="s">
        <v>2524</v>
      </c>
      <c r="J1772" s="177" t="s">
        <v>96</v>
      </c>
      <c r="K1772" s="125" t="s">
        <v>1906</v>
      </c>
      <c r="L1772" s="177" t="s">
        <v>153</v>
      </c>
      <c r="M1772"/>
      <c r="N1772"/>
    </row>
    <row r="1773" spans="1:14" ht="15.6" hidden="1">
      <c r="A1773" s="357">
        <v>45892</v>
      </c>
      <c r="B1773" s="177" t="s">
        <v>4888</v>
      </c>
      <c r="C1773" s="177" t="s">
        <v>172</v>
      </c>
      <c r="D1773" s="177" t="s">
        <v>440</v>
      </c>
      <c r="E1773" s="177">
        <v>500</v>
      </c>
      <c r="F1773" s="311">
        <f t="shared" si="18"/>
        <v>0.89135775178182408</v>
      </c>
      <c r="G1773" s="312">
        <v>560.94200000000001</v>
      </c>
      <c r="H1773" s="177" t="s">
        <v>315</v>
      </c>
      <c r="I1773" s="177" t="s">
        <v>2515</v>
      </c>
      <c r="J1773" s="177" t="s">
        <v>96</v>
      </c>
      <c r="K1773" s="125" t="s">
        <v>1906</v>
      </c>
      <c r="L1773" s="177" t="s">
        <v>153</v>
      </c>
      <c r="M1773"/>
      <c r="N1773"/>
    </row>
    <row r="1774" spans="1:14" ht="15.6" hidden="1">
      <c r="A1774" s="357">
        <v>45892</v>
      </c>
      <c r="B1774" s="177" t="s">
        <v>4888</v>
      </c>
      <c r="C1774" s="177" t="s">
        <v>172</v>
      </c>
      <c r="D1774" s="177" t="s">
        <v>440</v>
      </c>
      <c r="E1774" s="177">
        <v>500</v>
      </c>
      <c r="F1774" s="311">
        <f t="shared" si="18"/>
        <v>0.89135775178182408</v>
      </c>
      <c r="G1774" s="312">
        <v>560.94200000000001</v>
      </c>
      <c r="H1774" s="177" t="s">
        <v>315</v>
      </c>
      <c r="I1774" s="177" t="s">
        <v>2515</v>
      </c>
      <c r="J1774" s="177" t="s">
        <v>96</v>
      </c>
      <c r="K1774" s="125" t="s">
        <v>1906</v>
      </c>
      <c r="L1774" s="177" t="s">
        <v>153</v>
      </c>
      <c r="M1774"/>
      <c r="N1774"/>
    </row>
    <row r="1775" spans="1:14" ht="15.6" hidden="1">
      <c r="A1775" s="357">
        <v>45892</v>
      </c>
      <c r="B1775" s="177" t="s">
        <v>4896</v>
      </c>
      <c r="C1775" s="177" t="s">
        <v>172</v>
      </c>
      <c r="D1775" s="177" t="s">
        <v>440</v>
      </c>
      <c r="E1775" s="177">
        <v>500</v>
      </c>
      <c r="F1775" s="311">
        <f t="shared" si="18"/>
        <v>0.89135775178182408</v>
      </c>
      <c r="G1775" s="312">
        <v>560.94200000000001</v>
      </c>
      <c r="H1775" s="177" t="s">
        <v>315</v>
      </c>
      <c r="I1775" s="177" t="s">
        <v>2515</v>
      </c>
      <c r="J1775" s="177" t="s">
        <v>96</v>
      </c>
      <c r="K1775" s="125" t="s">
        <v>1906</v>
      </c>
      <c r="L1775" s="177" t="s">
        <v>153</v>
      </c>
      <c r="M1775"/>
      <c r="N1775"/>
    </row>
    <row r="1776" spans="1:14" ht="15.6" hidden="1">
      <c r="A1776" s="357">
        <v>45892</v>
      </c>
      <c r="B1776" s="177" t="s">
        <v>4888</v>
      </c>
      <c r="C1776" s="177" t="s">
        <v>172</v>
      </c>
      <c r="D1776" s="177" t="s">
        <v>440</v>
      </c>
      <c r="E1776" s="177">
        <v>500</v>
      </c>
      <c r="F1776" s="311">
        <f t="shared" si="18"/>
        <v>0.89135775178182408</v>
      </c>
      <c r="G1776" s="312">
        <v>560.94200000000001</v>
      </c>
      <c r="H1776" s="177" t="s">
        <v>315</v>
      </c>
      <c r="I1776" s="177" t="s">
        <v>2515</v>
      </c>
      <c r="J1776" s="177" t="s">
        <v>96</v>
      </c>
      <c r="K1776" s="125" t="s">
        <v>1906</v>
      </c>
      <c r="L1776" s="177" t="s">
        <v>153</v>
      </c>
      <c r="M1776"/>
      <c r="N1776"/>
    </row>
    <row r="1777" spans="1:14" ht="15.6" hidden="1">
      <c r="A1777" s="357">
        <v>45892</v>
      </c>
      <c r="B1777" s="177" t="s">
        <v>4880</v>
      </c>
      <c r="C1777" s="177" t="s">
        <v>172</v>
      </c>
      <c r="D1777" s="177" t="s">
        <v>440</v>
      </c>
      <c r="E1777" s="351">
        <v>500</v>
      </c>
      <c r="F1777" s="311">
        <f t="shared" si="18"/>
        <v>0.89135775178182408</v>
      </c>
      <c r="G1777" s="312">
        <v>560.94200000000001</v>
      </c>
      <c r="H1777" s="177" t="s">
        <v>321</v>
      </c>
      <c r="I1777" s="177" t="s">
        <v>2532</v>
      </c>
      <c r="J1777" s="177" t="s">
        <v>96</v>
      </c>
      <c r="K1777" s="125" t="s">
        <v>1906</v>
      </c>
      <c r="L1777" s="177" t="s">
        <v>153</v>
      </c>
      <c r="M1777"/>
      <c r="N1777"/>
    </row>
    <row r="1778" spans="1:14" ht="15.6" hidden="1">
      <c r="A1778" s="357">
        <v>45892</v>
      </c>
      <c r="B1778" s="177" t="s">
        <v>4918</v>
      </c>
      <c r="C1778" s="177" t="s">
        <v>172</v>
      </c>
      <c r="D1778" s="177" t="s">
        <v>440</v>
      </c>
      <c r="E1778" s="351">
        <v>4000</v>
      </c>
      <c r="F1778" s="311">
        <f t="shared" si="18"/>
        <v>7.1308620142545927</v>
      </c>
      <c r="G1778" s="312">
        <v>560.94200000000001</v>
      </c>
      <c r="H1778" s="177" t="s">
        <v>321</v>
      </c>
      <c r="I1778" s="177" t="s">
        <v>2540</v>
      </c>
      <c r="J1778" s="177" t="s">
        <v>96</v>
      </c>
      <c r="K1778" s="125" t="s">
        <v>1906</v>
      </c>
      <c r="L1778" s="177" t="s">
        <v>153</v>
      </c>
      <c r="M1778"/>
      <c r="N1778"/>
    </row>
    <row r="1779" spans="1:14" ht="15.6" hidden="1">
      <c r="A1779" s="357">
        <v>45892</v>
      </c>
      <c r="B1779" s="177" t="s">
        <v>4919</v>
      </c>
      <c r="C1779" s="177" t="s">
        <v>172</v>
      </c>
      <c r="D1779" s="177" t="s">
        <v>440</v>
      </c>
      <c r="E1779" s="351">
        <v>500</v>
      </c>
      <c r="F1779" s="311">
        <f t="shared" si="18"/>
        <v>0.89135775178182408</v>
      </c>
      <c r="G1779" s="312">
        <v>560.94200000000001</v>
      </c>
      <c r="H1779" s="177" t="s">
        <v>321</v>
      </c>
      <c r="I1779" s="177" t="s">
        <v>2532</v>
      </c>
      <c r="J1779" s="177" t="s">
        <v>96</v>
      </c>
      <c r="K1779" s="125" t="s">
        <v>1906</v>
      </c>
      <c r="L1779" s="177" t="s">
        <v>153</v>
      </c>
      <c r="M1779"/>
      <c r="N1779"/>
    </row>
    <row r="1780" spans="1:14" ht="15.6" hidden="1">
      <c r="A1780" s="357">
        <v>45892</v>
      </c>
      <c r="B1780" s="177" t="s">
        <v>2932</v>
      </c>
      <c r="C1780" s="177" t="s">
        <v>366</v>
      </c>
      <c r="D1780" s="177" t="s">
        <v>440</v>
      </c>
      <c r="E1780" s="351">
        <v>1000</v>
      </c>
      <c r="F1780" s="311">
        <f t="shared" si="18"/>
        <v>1.7827155035636482</v>
      </c>
      <c r="G1780" s="312">
        <v>560.94200000000001</v>
      </c>
      <c r="H1780" s="177" t="s">
        <v>321</v>
      </c>
      <c r="I1780" s="177" t="s">
        <v>2537</v>
      </c>
      <c r="J1780" s="177" t="s">
        <v>96</v>
      </c>
      <c r="K1780" s="125" t="s">
        <v>1906</v>
      </c>
      <c r="L1780" s="177" t="s">
        <v>153</v>
      </c>
      <c r="M1780"/>
      <c r="N1780"/>
    </row>
    <row r="1781" spans="1:14" ht="15.6" hidden="1">
      <c r="A1781" s="357">
        <v>45892</v>
      </c>
      <c r="B1781" s="177" t="s">
        <v>4920</v>
      </c>
      <c r="C1781" s="177" t="s">
        <v>172</v>
      </c>
      <c r="D1781" s="177" t="s">
        <v>440</v>
      </c>
      <c r="E1781" s="351">
        <v>500</v>
      </c>
      <c r="F1781" s="311">
        <f t="shared" si="18"/>
        <v>0.89135775178182408</v>
      </c>
      <c r="G1781" s="312">
        <v>560.94200000000001</v>
      </c>
      <c r="H1781" s="177" t="s">
        <v>321</v>
      </c>
      <c r="I1781" s="177" t="s">
        <v>2532</v>
      </c>
      <c r="J1781" s="177" t="s">
        <v>96</v>
      </c>
      <c r="K1781" s="125" t="s">
        <v>1906</v>
      </c>
      <c r="L1781" s="177" t="s">
        <v>153</v>
      </c>
      <c r="M1781"/>
      <c r="N1781"/>
    </row>
    <row r="1782" spans="1:14" ht="15.6" hidden="1">
      <c r="A1782" s="357">
        <v>45892</v>
      </c>
      <c r="B1782" s="177" t="s">
        <v>4876</v>
      </c>
      <c r="C1782" s="177" t="s">
        <v>172</v>
      </c>
      <c r="D1782" s="177" t="s">
        <v>440</v>
      </c>
      <c r="E1782" s="351">
        <v>500</v>
      </c>
      <c r="F1782" s="311">
        <f t="shared" si="18"/>
        <v>0.89135775178182408</v>
      </c>
      <c r="G1782" s="312">
        <v>560.94200000000001</v>
      </c>
      <c r="H1782" s="177" t="s">
        <v>321</v>
      </c>
      <c r="I1782" s="177" t="s">
        <v>2532</v>
      </c>
      <c r="J1782" s="177" t="s">
        <v>96</v>
      </c>
      <c r="K1782" s="125" t="s">
        <v>1906</v>
      </c>
      <c r="L1782" s="177" t="s">
        <v>153</v>
      </c>
      <c r="M1782"/>
      <c r="N1782"/>
    </row>
    <row r="1783" spans="1:14" ht="15.6" hidden="1">
      <c r="A1783" s="357">
        <v>45892</v>
      </c>
      <c r="B1783" s="177" t="s">
        <v>4921</v>
      </c>
      <c r="C1783" s="177" t="s">
        <v>172</v>
      </c>
      <c r="D1783" s="177" t="s">
        <v>440</v>
      </c>
      <c r="E1783" s="351">
        <v>4000</v>
      </c>
      <c r="F1783" s="311">
        <f t="shared" si="18"/>
        <v>7.1308620142545927</v>
      </c>
      <c r="G1783" s="312">
        <v>560.94200000000001</v>
      </c>
      <c r="H1783" s="177" t="s">
        <v>321</v>
      </c>
      <c r="I1783" s="177" t="s">
        <v>2541</v>
      </c>
      <c r="J1783" s="177" t="s">
        <v>96</v>
      </c>
      <c r="K1783" s="125" t="s">
        <v>1906</v>
      </c>
      <c r="L1783" s="177" t="s">
        <v>153</v>
      </c>
      <c r="M1783"/>
      <c r="N1783"/>
    </row>
    <row r="1784" spans="1:14" ht="15.6" hidden="1">
      <c r="A1784" s="357">
        <v>45892</v>
      </c>
      <c r="B1784" s="177" t="s">
        <v>4922</v>
      </c>
      <c r="C1784" s="177" t="s">
        <v>172</v>
      </c>
      <c r="D1784" s="177" t="s">
        <v>440</v>
      </c>
      <c r="E1784" s="351">
        <v>1000</v>
      </c>
      <c r="F1784" s="311">
        <f t="shared" si="18"/>
        <v>1.7827155035636482</v>
      </c>
      <c r="G1784" s="312">
        <v>560.94200000000001</v>
      </c>
      <c r="H1784" s="177" t="s">
        <v>321</v>
      </c>
      <c r="I1784" s="177" t="s">
        <v>2532</v>
      </c>
      <c r="J1784" s="177" t="s">
        <v>96</v>
      </c>
      <c r="K1784" s="125" t="s">
        <v>1906</v>
      </c>
      <c r="L1784" s="177" t="s">
        <v>153</v>
      </c>
      <c r="M1784"/>
      <c r="N1784"/>
    </row>
    <row r="1785" spans="1:14" ht="15.6" hidden="1">
      <c r="A1785" s="357">
        <v>45892</v>
      </c>
      <c r="B1785" s="177" t="s">
        <v>4918</v>
      </c>
      <c r="C1785" s="177" t="s">
        <v>172</v>
      </c>
      <c r="D1785" s="177" t="s">
        <v>440</v>
      </c>
      <c r="E1785" s="351">
        <v>12000</v>
      </c>
      <c r="F1785" s="311">
        <f t="shared" si="18"/>
        <v>21.392586042763778</v>
      </c>
      <c r="G1785" s="312">
        <v>560.94200000000001</v>
      </c>
      <c r="H1785" s="177" t="s">
        <v>321</v>
      </c>
      <c r="I1785" s="177" t="s">
        <v>2542</v>
      </c>
      <c r="J1785" s="177" t="s">
        <v>96</v>
      </c>
      <c r="K1785" s="125" t="s">
        <v>1906</v>
      </c>
      <c r="L1785" s="177" t="s">
        <v>153</v>
      </c>
      <c r="M1785"/>
      <c r="N1785"/>
    </row>
    <row r="1786" spans="1:14" ht="15.6" hidden="1">
      <c r="A1786" s="357">
        <v>45892</v>
      </c>
      <c r="B1786" s="177" t="s">
        <v>4917</v>
      </c>
      <c r="C1786" s="177" t="s">
        <v>172</v>
      </c>
      <c r="D1786" s="177" t="s">
        <v>440</v>
      </c>
      <c r="E1786" s="351">
        <v>1000</v>
      </c>
      <c r="F1786" s="311">
        <f t="shared" si="18"/>
        <v>1.7827155035636482</v>
      </c>
      <c r="G1786" s="312">
        <v>560.94200000000001</v>
      </c>
      <c r="H1786" s="177" t="s">
        <v>321</v>
      </c>
      <c r="I1786" s="177" t="s">
        <v>2532</v>
      </c>
      <c r="J1786" s="177" t="s">
        <v>96</v>
      </c>
      <c r="K1786" s="125" t="s">
        <v>1906</v>
      </c>
      <c r="L1786" s="177" t="s">
        <v>153</v>
      </c>
      <c r="M1786"/>
      <c r="N1786"/>
    </row>
    <row r="1787" spans="1:14" ht="15.6" hidden="1">
      <c r="A1787" s="356">
        <v>45892</v>
      </c>
      <c r="B1787" s="177" t="s">
        <v>2637</v>
      </c>
      <c r="C1787" s="377" t="s">
        <v>194</v>
      </c>
      <c r="D1787" s="377" t="s">
        <v>115</v>
      </c>
      <c r="E1787" s="351">
        <v>500</v>
      </c>
      <c r="F1787" s="311">
        <f t="shared" si="18"/>
        <v>0.89135775178182408</v>
      </c>
      <c r="G1787" s="312">
        <v>560.94200000000001</v>
      </c>
      <c r="H1787" s="252" t="s">
        <v>195</v>
      </c>
      <c r="I1787" s="177" t="s">
        <v>2667</v>
      </c>
      <c r="J1787" s="177" t="s">
        <v>96</v>
      </c>
      <c r="K1787" s="125" t="s">
        <v>1906</v>
      </c>
      <c r="L1787" s="177" t="s">
        <v>153</v>
      </c>
      <c r="M1787"/>
      <c r="N1787"/>
    </row>
    <row r="1788" spans="1:14" ht="15.6" hidden="1">
      <c r="A1788" s="356">
        <v>45892</v>
      </c>
      <c r="B1788" s="177" t="s">
        <v>2638</v>
      </c>
      <c r="C1788" s="377" t="s">
        <v>194</v>
      </c>
      <c r="D1788" s="377" t="s">
        <v>115</v>
      </c>
      <c r="E1788" s="351">
        <v>500</v>
      </c>
      <c r="F1788" s="311">
        <f t="shared" si="18"/>
        <v>0.89135775178182408</v>
      </c>
      <c r="G1788" s="312">
        <v>560.94200000000001</v>
      </c>
      <c r="H1788" s="252" t="s">
        <v>195</v>
      </c>
      <c r="I1788" s="177" t="s">
        <v>2667</v>
      </c>
      <c r="J1788" s="177" t="s">
        <v>96</v>
      </c>
      <c r="K1788" s="125" t="s">
        <v>1906</v>
      </c>
      <c r="L1788" s="177" t="s">
        <v>153</v>
      </c>
      <c r="M1788"/>
      <c r="N1788"/>
    </row>
    <row r="1789" spans="1:14" ht="15.6" hidden="1">
      <c r="A1789" s="356">
        <v>45892</v>
      </c>
      <c r="B1789" s="177" t="s">
        <v>2639</v>
      </c>
      <c r="C1789" s="377" t="s">
        <v>194</v>
      </c>
      <c r="D1789" s="377" t="s">
        <v>115</v>
      </c>
      <c r="E1789" s="351">
        <v>500</v>
      </c>
      <c r="F1789" s="311">
        <f t="shared" si="18"/>
        <v>0.89135775178182408</v>
      </c>
      <c r="G1789" s="312">
        <v>560.94200000000001</v>
      </c>
      <c r="H1789" s="252" t="s">
        <v>195</v>
      </c>
      <c r="I1789" s="177" t="s">
        <v>2667</v>
      </c>
      <c r="J1789" s="177" t="s">
        <v>96</v>
      </c>
      <c r="K1789" s="125" t="s">
        <v>1906</v>
      </c>
      <c r="L1789" s="177" t="s">
        <v>153</v>
      </c>
      <c r="M1789"/>
      <c r="N1789"/>
    </row>
    <row r="1790" spans="1:14" ht="15.6" hidden="1">
      <c r="A1790" s="356">
        <v>45892</v>
      </c>
      <c r="B1790" s="177" t="s">
        <v>2632</v>
      </c>
      <c r="C1790" s="377" t="s">
        <v>194</v>
      </c>
      <c r="D1790" s="377" t="s">
        <v>115</v>
      </c>
      <c r="E1790" s="351">
        <v>500</v>
      </c>
      <c r="F1790" s="311">
        <f t="shared" si="18"/>
        <v>0.89135775178182408</v>
      </c>
      <c r="G1790" s="312">
        <v>560.94200000000001</v>
      </c>
      <c r="H1790" s="252" t="s">
        <v>195</v>
      </c>
      <c r="I1790" s="177" t="s">
        <v>2667</v>
      </c>
      <c r="J1790" s="177" t="s">
        <v>96</v>
      </c>
      <c r="K1790" s="125" t="s">
        <v>1906</v>
      </c>
      <c r="L1790" s="177" t="s">
        <v>153</v>
      </c>
      <c r="M1790"/>
      <c r="N1790"/>
    </row>
    <row r="1791" spans="1:14" ht="15.6" hidden="1">
      <c r="A1791" s="357">
        <v>45892</v>
      </c>
      <c r="B1791" s="177" t="s">
        <v>2687</v>
      </c>
      <c r="C1791" s="177" t="s">
        <v>172</v>
      </c>
      <c r="D1791" s="177" t="s">
        <v>118</v>
      </c>
      <c r="E1791" s="351">
        <v>500</v>
      </c>
      <c r="F1791" s="311">
        <f t="shared" si="18"/>
        <v>0.89135775178182408</v>
      </c>
      <c r="G1791" s="312">
        <v>560.94200000000001</v>
      </c>
      <c r="H1791" s="177" t="s">
        <v>211</v>
      </c>
      <c r="I1791" s="177" t="s">
        <v>2699</v>
      </c>
      <c r="J1791" s="177" t="s">
        <v>96</v>
      </c>
      <c r="K1791" s="125" t="s">
        <v>1906</v>
      </c>
      <c r="L1791" s="177" t="s">
        <v>153</v>
      </c>
      <c r="M1791"/>
      <c r="N1791"/>
    </row>
    <row r="1792" spans="1:14" ht="15.6" hidden="1">
      <c r="A1792" s="357">
        <v>45892</v>
      </c>
      <c r="B1792" s="177" t="s">
        <v>2688</v>
      </c>
      <c r="C1792" s="177" t="s">
        <v>172</v>
      </c>
      <c r="D1792" s="177" t="s">
        <v>118</v>
      </c>
      <c r="E1792" s="351">
        <v>500</v>
      </c>
      <c r="F1792" s="311">
        <f t="shared" si="18"/>
        <v>0.89135775178182408</v>
      </c>
      <c r="G1792" s="312">
        <v>560.94200000000001</v>
      </c>
      <c r="H1792" s="177" t="s">
        <v>211</v>
      </c>
      <c r="I1792" s="177" t="s">
        <v>2699</v>
      </c>
      <c r="J1792" s="177" t="s">
        <v>96</v>
      </c>
      <c r="K1792" s="125" t="s">
        <v>1906</v>
      </c>
      <c r="L1792" s="177" t="s">
        <v>153</v>
      </c>
      <c r="M1792"/>
      <c r="N1792"/>
    </row>
    <row r="1793" spans="1:14" ht="15.6" hidden="1">
      <c r="A1793" s="353">
        <v>45893</v>
      </c>
      <c r="B1793" s="377" t="s">
        <v>2103</v>
      </c>
      <c r="C1793" s="299" t="s">
        <v>172</v>
      </c>
      <c r="D1793" s="299" t="s">
        <v>117</v>
      </c>
      <c r="E1793" s="377">
        <v>1000</v>
      </c>
      <c r="F1793" s="311">
        <f t="shared" si="18"/>
        <v>1.7827155035636482</v>
      </c>
      <c r="G1793" s="312">
        <v>560.94200000000001</v>
      </c>
      <c r="H1793" s="384" t="s">
        <v>151</v>
      </c>
      <c r="I1793" s="385" t="s">
        <v>2428</v>
      </c>
      <c r="J1793" s="177" t="s">
        <v>96</v>
      </c>
      <c r="K1793" s="125" t="s">
        <v>1906</v>
      </c>
      <c r="L1793" s="177" t="s">
        <v>153</v>
      </c>
      <c r="M1793" s="371"/>
      <c r="N1793" s="371"/>
    </row>
    <row r="1794" spans="1:14" ht="15.6" hidden="1">
      <c r="A1794" s="353">
        <v>45893</v>
      </c>
      <c r="B1794" s="377" t="s">
        <v>2104</v>
      </c>
      <c r="C1794" s="299" t="s">
        <v>172</v>
      </c>
      <c r="D1794" s="299" t="s">
        <v>117</v>
      </c>
      <c r="E1794" s="377">
        <v>1000</v>
      </c>
      <c r="F1794" s="311">
        <f t="shared" si="18"/>
        <v>1.7827155035636482</v>
      </c>
      <c r="G1794" s="312">
        <v>560.94200000000001</v>
      </c>
      <c r="H1794" s="384" t="s">
        <v>151</v>
      </c>
      <c r="I1794" s="385" t="s">
        <v>2428</v>
      </c>
      <c r="J1794" s="177" t="s">
        <v>96</v>
      </c>
      <c r="K1794" s="125" t="s">
        <v>1906</v>
      </c>
      <c r="L1794" s="177" t="s">
        <v>153</v>
      </c>
      <c r="M1794" s="371"/>
      <c r="N1794" s="371"/>
    </row>
    <row r="1795" spans="1:14" ht="15.6" hidden="1">
      <c r="A1795" s="355">
        <v>45893</v>
      </c>
      <c r="B1795" s="376" t="s">
        <v>2412</v>
      </c>
      <c r="C1795" s="376" t="s">
        <v>172</v>
      </c>
      <c r="D1795" s="376" t="s">
        <v>115</v>
      </c>
      <c r="E1795" s="386">
        <v>500</v>
      </c>
      <c r="F1795" s="311">
        <f t="shared" si="18"/>
        <v>0.89135775178182408</v>
      </c>
      <c r="G1795" s="312">
        <v>560.94200000000001</v>
      </c>
      <c r="H1795" s="172" t="s">
        <v>198</v>
      </c>
      <c r="I1795" s="376" t="s">
        <v>2426</v>
      </c>
      <c r="J1795" s="177" t="s">
        <v>96</v>
      </c>
      <c r="K1795" s="125" t="s">
        <v>1906</v>
      </c>
      <c r="L1795" s="177" t="s">
        <v>153</v>
      </c>
      <c r="M1795" s="371"/>
      <c r="N1795" s="371"/>
    </row>
    <row r="1796" spans="1:14" ht="15.6" hidden="1">
      <c r="A1796" s="355">
        <v>45893</v>
      </c>
      <c r="B1796" s="376" t="s">
        <v>2413</v>
      </c>
      <c r="C1796" s="376" t="s">
        <v>172</v>
      </c>
      <c r="D1796" s="376" t="s">
        <v>115</v>
      </c>
      <c r="E1796" s="386">
        <v>500</v>
      </c>
      <c r="F1796" s="311">
        <f t="shared" si="18"/>
        <v>0.89135775178182408</v>
      </c>
      <c r="G1796" s="312">
        <v>560.94200000000001</v>
      </c>
      <c r="H1796" s="172" t="s">
        <v>198</v>
      </c>
      <c r="I1796" s="376" t="s">
        <v>2426</v>
      </c>
      <c r="J1796" s="177" t="s">
        <v>96</v>
      </c>
      <c r="K1796" s="125" t="s">
        <v>1906</v>
      </c>
      <c r="L1796" s="177" t="s">
        <v>153</v>
      </c>
      <c r="M1796" s="371"/>
      <c r="N1796" s="371"/>
    </row>
    <row r="1797" spans="1:14" ht="15.6" hidden="1">
      <c r="A1797" s="237">
        <v>45893</v>
      </c>
      <c r="B1797" s="172" t="s">
        <v>4894</v>
      </c>
      <c r="C1797" s="172" t="s">
        <v>172</v>
      </c>
      <c r="D1797" s="177" t="s">
        <v>440</v>
      </c>
      <c r="E1797" s="172">
        <v>1000</v>
      </c>
      <c r="F1797" s="311">
        <f t="shared" si="18"/>
        <v>1.7827155035636482</v>
      </c>
      <c r="G1797" s="312">
        <v>560.94200000000001</v>
      </c>
      <c r="H1797" s="172" t="s">
        <v>182</v>
      </c>
      <c r="I1797" s="172" t="s">
        <v>2477</v>
      </c>
      <c r="J1797" s="177" t="s">
        <v>96</v>
      </c>
      <c r="K1797" s="125" t="s">
        <v>1906</v>
      </c>
      <c r="L1797" s="177" t="s">
        <v>153</v>
      </c>
      <c r="M1797"/>
      <c r="N1797"/>
    </row>
    <row r="1798" spans="1:14" ht="15.6" hidden="1">
      <c r="A1798" s="237">
        <v>45893</v>
      </c>
      <c r="B1798" s="172" t="s">
        <v>4886</v>
      </c>
      <c r="C1798" s="172" t="s">
        <v>172</v>
      </c>
      <c r="D1798" s="177" t="s">
        <v>440</v>
      </c>
      <c r="E1798" s="172">
        <v>1000</v>
      </c>
      <c r="F1798" s="311">
        <f t="shared" si="18"/>
        <v>1.7827155035636482</v>
      </c>
      <c r="G1798" s="312">
        <v>560.94200000000001</v>
      </c>
      <c r="H1798" s="172" t="s">
        <v>182</v>
      </c>
      <c r="I1798" s="172" t="s">
        <v>2477</v>
      </c>
      <c r="J1798" s="177" t="s">
        <v>96</v>
      </c>
      <c r="K1798" s="125" t="s">
        <v>1906</v>
      </c>
      <c r="L1798" s="177" t="s">
        <v>153</v>
      </c>
      <c r="M1798"/>
      <c r="N1798"/>
    </row>
    <row r="1799" spans="1:14" ht="15.6" hidden="1">
      <c r="A1799" s="360">
        <v>45893</v>
      </c>
      <c r="B1799" s="177" t="s">
        <v>4896</v>
      </c>
      <c r="C1799" s="177" t="s">
        <v>172</v>
      </c>
      <c r="D1799" s="177" t="s">
        <v>440</v>
      </c>
      <c r="E1799" s="177">
        <v>500</v>
      </c>
      <c r="F1799" s="311">
        <f t="shared" si="18"/>
        <v>0.89135775178182408</v>
      </c>
      <c r="G1799" s="312">
        <v>560.94200000000001</v>
      </c>
      <c r="H1799" s="177" t="s">
        <v>173</v>
      </c>
      <c r="I1799" s="177" t="s">
        <v>2496</v>
      </c>
      <c r="J1799" s="177" t="s">
        <v>96</v>
      </c>
      <c r="K1799" s="125" t="s">
        <v>1906</v>
      </c>
      <c r="L1799" s="177" t="s">
        <v>153</v>
      </c>
      <c r="M1799"/>
      <c r="N1799"/>
    </row>
    <row r="1800" spans="1:14" ht="15.6" hidden="1">
      <c r="A1800" s="360">
        <v>45893</v>
      </c>
      <c r="B1800" s="379" t="s">
        <v>4888</v>
      </c>
      <c r="C1800" s="379" t="s">
        <v>172</v>
      </c>
      <c r="D1800" s="177" t="s">
        <v>440</v>
      </c>
      <c r="E1800" s="379">
        <v>500</v>
      </c>
      <c r="F1800" s="311">
        <f t="shared" si="18"/>
        <v>0.89135775178182408</v>
      </c>
      <c r="G1800" s="312">
        <v>560.94200000000001</v>
      </c>
      <c r="H1800" s="379" t="s">
        <v>173</v>
      </c>
      <c r="I1800" s="379" t="s">
        <v>2496</v>
      </c>
      <c r="J1800" s="177" t="s">
        <v>96</v>
      </c>
      <c r="K1800" s="125" t="s">
        <v>1906</v>
      </c>
      <c r="L1800" s="177" t="s">
        <v>153</v>
      </c>
      <c r="M1800"/>
      <c r="N1800"/>
    </row>
    <row r="1801" spans="1:14" ht="15.6" hidden="1">
      <c r="A1801" s="360">
        <v>45893</v>
      </c>
      <c r="B1801" s="177" t="s">
        <v>4888</v>
      </c>
      <c r="C1801" s="177" t="s">
        <v>172</v>
      </c>
      <c r="D1801" s="177" t="s">
        <v>440</v>
      </c>
      <c r="E1801" s="177">
        <v>500</v>
      </c>
      <c r="F1801" s="311">
        <f t="shared" si="18"/>
        <v>0.89135775178182408</v>
      </c>
      <c r="G1801" s="312">
        <v>560.94200000000001</v>
      </c>
      <c r="H1801" s="177" t="s">
        <v>173</v>
      </c>
      <c r="I1801" s="177" t="s">
        <v>2496</v>
      </c>
      <c r="J1801" s="177" t="s">
        <v>96</v>
      </c>
      <c r="K1801" s="125" t="s">
        <v>1906</v>
      </c>
      <c r="L1801" s="177" t="s">
        <v>153</v>
      </c>
      <c r="M1801"/>
      <c r="N1801"/>
    </row>
    <row r="1802" spans="1:14" ht="15.6" hidden="1">
      <c r="A1802" s="360">
        <v>45893</v>
      </c>
      <c r="B1802" s="177" t="s">
        <v>4896</v>
      </c>
      <c r="C1802" s="177" t="s">
        <v>172</v>
      </c>
      <c r="D1802" s="177" t="s">
        <v>440</v>
      </c>
      <c r="E1802" s="177">
        <v>500</v>
      </c>
      <c r="F1802" s="311">
        <f t="shared" si="18"/>
        <v>0.89135775178182408</v>
      </c>
      <c r="G1802" s="312">
        <v>560.94200000000001</v>
      </c>
      <c r="H1802" s="177" t="s">
        <v>173</v>
      </c>
      <c r="I1802" s="379" t="s">
        <v>2496</v>
      </c>
      <c r="J1802" s="177" t="s">
        <v>96</v>
      </c>
      <c r="K1802" s="125" t="s">
        <v>1906</v>
      </c>
      <c r="L1802" s="177" t="s">
        <v>153</v>
      </c>
      <c r="M1802"/>
      <c r="N1802"/>
    </row>
    <row r="1803" spans="1:14" ht="15.6" hidden="1">
      <c r="A1803" s="360">
        <v>45893</v>
      </c>
      <c r="B1803" s="177" t="s">
        <v>4888</v>
      </c>
      <c r="C1803" s="177" t="s">
        <v>172</v>
      </c>
      <c r="D1803" s="177" t="s">
        <v>440</v>
      </c>
      <c r="E1803" s="177">
        <v>500</v>
      </c>
      <c r="F1803" s="311">
        <f t="shared" si="18"/>
        <v>0.89135775178182408</v>
      </c>
      <c r="G1803" s="312">
        <v>560.94200000000001</v>
      </c>
      <c r="H1803" s="177" t="s">
        <v>173</v>
      </c>
      <c r="I1803" s="177" t="s">
        <v>2496</v>
      </c>
      <c r="J1803" s="177" t="s">
        <v>96</v>
      </c>
      <c r="K1803" s="125" t="s">
        <v>1906</v>
      </c>
      <c r="L1803" s="177" t="s">
        <v>153</v>
      </c>
      <c r="M1803"/>
      <c r="N1803"/>
    </row>
    <row r="1804" spans="1:14" ht="15.6" hidden="1">
      <c r="A1804" s="360">
        <v>45893</v>
      </c>
      <c r="B1804" s="177" t="s">
        <v>4888</v>
      </c>
      <c r="C1804" s="177" t="s">
        <v>172</v>
      </c>
      <c r="D1804" s="177" t="s">
        <v>440</v>
      </c>
      <c r="E1804" s="177">
        <v>500</v>
      </c>
      <c r="F1804" s="311">
        <f t="shared" si="18"/>
        <v>0.89135775178182408</v>
      </c>
      <c r="G1804" s="312">
        <v>560.94200000000001</v>
      </c>
      <c r="H1804" s="177" t="s">
        <v>173</v>
      </c>
      <c r="I1804" s="379" t="s">
        <v>2496</v>
      </c>
      <c r="J1804" s="177" t="s">
        <v>96</v>
      </c>
      <c r="K1804" s="125" t="s">
        <v>1906</v>
      </c>
      <c r="L1804" s="177" t="s">
        <v>153</v>
      </c>
      <c r="M1804"/>
      <c r="N1804"/>
    </row>
    <row r="1805" spans="1:14" ht="15.6" hidden="1">
      <c r="A1805" s="357">
        <v>45893</v>
      </c>
      <c r="B1805" s="177" t="s">
        <v>4843</v>
      </c>
      <c r="C1805" s="177" t="s">
        <v>175</v>
      </c>
      <c r="D1805" s="177" t="s">
        <v>440</v>
      </c>
      <c r="E1805" s="177">
        <v>15000</v>
      </c>
      <c r="F1805" s="311">
        <f t="shared" si="18"/>
        <v>26.740732553454723</v>
      </c>
      <c r="G1805" s="312">
        <v>560.94200000000001</v>
      </c>
      <c r="H1805" s="177" t="s">
        <v>315</v>
      </c>
      <c r="I1805" s="379" t="s">
        <v>2525</v>
      </c>
      <c r="J1805" s="177" t="s">
        <v>96</v>
      </c>
      <c r="K1805" s="125" t="s">
        <v>1906</v>
      </c>
      <c r="L1805" s="177" t="s">
        <v>153</v>
      </c>
      <c r="M1805"/>
      <c r="N1805"/>
    </row>
    <row r="1806" spans="1:14" ht="15.6" hidden="1">
      <c r="A1806" s="357">
        <v>45893</v>
      </c>
      <c r="B1806" s="177" t="s">
        <v>4896</v>
      </c>
      <c r="C1806" s="177" t="s">
        <v>172</v>
      </c>
      <c r="D1806" s="177" t="s">
        <v>440</v>
      </c>
      <c r="E1806" s="177">
        <v>500</v>
      </c>
      <c r="F1806" s="311">
        <f t="shared" si="18"/>
        <v>0.89135775178182408</v>
      </c>
      <c r="G1806" s="312">
        <v>560.94200000000001</v>
      </c>
      <c r="H1806" s="177" t="s">
        <v>315</v>
      </c>
      <c r="I1806" s="379" t="s">
        <v>2515</v>
      </c>
      <c r="J1806" s="177" t="s">
        <v>96</v>
      </c>
      <c r="K1806" s="125" t="s">
        <v>1906</v>
      </c>
      <c r="L1806" s="177" t="s">
        <v>153</v>
      </c>
      <c r="M1806"/>
      <c r="N1806"/>
    </row>
    <row r="1807" spans="1:14" ht="15.6" hidden="1">
      <c r="A1807" s="357">
        <v>45893</v>
      </c>
      <c r="B1807" s="177" t="s">
        <v>4797</v>
      </c>
      <c r="C1807" s="177" t="s">
        <v>172</v>
      </c>
      <c r="D1807" s="177" t="s">
        <v>440</v>
      </c>
      <c r="E1807" s="177">
        <v>5000</v>
      </c>
      <c r="F1807" s="311">
        <f t="shared" si="18"/>
        <v>8.9135775178182417</v>
      </c>
      <c r="G1807" s="312">
        <v>560.94200000000001</v>
      </c>
      <c r="H1807" s="177" t="s">
        <v>315</v>
      </c>
      <c r="I1807" s="177" t="s">
        <v>2526</v>
      </c>
      <c r="J1807" s="177" t="s">
        <v>96</v>
      </c>
      <c r="K1807" s="125" t="s">
        <v>1906</v>
      </c>
      <c r="L1807" s="177" t="s">
        <v>153</v>
      </c>
      <c r="M1807"/>
      <c r="N1807"/>
    </row>
    <row r="1808" spans="1:14" ht="15.6" hidden="1">
      <c r="A1808" s="357">
        <v>45893</v>
      </c>
      <c r="B1808" s="177" t="s">
        <v>4876</v>
      </c>
      <c r="C1808" s="177" t="s">
        <v>172</v>
      </c>
      <c r="D1808" s="177" t="s">
        <v>440</v>
      </c>
      <c r="E1808" s="177">
        <v>4000</v>
      </c>
      <c r="F1808" s="311">
        <f t="shared" si="18"/>
        <v>7.1308620142545927</v>
      </c>
      <c r="G1808" s="312">
        <v>560.94200000000001</v>
      </c>
      <c r="H1808" s="177" t="s">
        <v>315</v>
      </c>
      <c r="I1808" s="379" t="s">
        <v>2515</v>
      </c>
      <c r="J1808" s="177" t="s">
        <v>96</v>
      </c>
      <c r="K1808" s="125" t="s">
        <v>1906</v>
      </c>
      <c r="L1808" s="177" t="s">
        <v>153</v>
      </c>
      <c r="M1808"/>
      <c r="N1808"/>
    </row>
    <row r="1809" spans="1:14" ht="15.6" hidden="1">
      <c r="A1809" s="357">
        <v>45893</v>
      </c>
      <c r="B1809" s="177" t="s">
        <v>4923</v>
      </c>
      <c r="C1809" s="177" t="s">
        <v>2394</v>
      </c>
      <c r="D1809" s="177" t="s">
        <v>440</v>
      </c>
      <c r="E1809" s="351">
        <v>75000</v>
      </c>
      <c r="F1809" s="311">
        <f t="shared" si="18"/>
        <v>133.70366276727361</v>
      </c>
      <c r="G1809" s="312">
        <v>560.94200000000001</v>
      </c>
      <c r="H1809" s="177" t="s">
        <v>321</v>
      </c>
      <c r="I1809" s="379" t="s">
        <v>2543</v>
      </c>
      <c r="J1809" s="177" t="s">
        <v>96</v>
      </c>
      <c r="K1809" s="125" t="s">
        <v>1906</v>
      </c>
      <c r="L1809" s="177" t="s">
        <v>153</v>
      </c>
      <c r="M1809"/>
      <c r="N1809"/>
    </row>
    <row r="1810" spans="1:14" ht="15.6" hidden="1">
      <c r="A1810" s="357">
        <v>45893</v>
      </c>
      <c r="B1810" s="177" t="s">
        <v>4924</v>
      </c>
      <c r="C1810" s="177" t="s">
        <v>172</v>
      </c>
      <c r="D1810" s="177" t="s">
        <v>440</v>
      </c>
      <c r="E1810" s="351">
        <v>1000</v>
      </c>
      <c r="F1810" s="311">
        <f t="shared" si="18"/>
        <v>1.7827155035636482</v>
      </c>
      <c r="G1810" s="312">
        <v>560.94200000000001</v>
      </c>
      <c r="H1810" s="177" t="s">
        <v>321</v>
      </c>
      <c r="I1810" s="379" t="s">
        <v>2532</v>
      </c>
      <c r="J1810" s="177" t="s">
        <v>96</v>
      </c>
      <c r="K1810" s="125" t="s">
        <v>1906</v>
      </c>
      <c r="L1810" s="177" t="s">
        <v>153</v>
      </c>
      <c r="M1810"/>
      <c r="N1810"/>
    </row>
    <row r="1811" spans="1:14" ht="15.6" hidden="1">
      <c r="A1811" s="357">
        <v>45893</v>
      </c>
      <c r="B1811" s="177" t="s">
        <v>4925</v>
      </c>
      <c r="C1811" s="177" t="s">
        <v>172</v>
      </c>
      <c r="D1811" s="177" t="s">
        <v>440</v>
      </c>
      <c r="E1811" s="351">
        <v>1000</v>
      </c>
      <c r="F1811" s="311">
        <f t="shared" si="18"/>
        <v>1.7827155035636482</v>
      </c>
      <c r="G1811" s="312">
        <v>560.94200000000001</v>
      </c>
      <c r="H1811" s="177" t="s">
        <v>321</v>
      </c>
      <c r="I1811" s="379" t="s">
        <v>2532</v>
      </c>
      <c r="J1811" s="177" t="s">
        <v>96</v>
      </c>
      <c r="K1811" s="125" t="s">
        <v>1906</v>
      </c>
      <c r="L1811" s="177" t="s">
        <v>153</v>
      </c>
      <c r="M1811"/>
      <c r="N1811"/>
    </row>
    <row r="1812" spans="1:14" ht="15.6" hidden="1">
      <c r="A1812" s="356">
        <v>45893</v>
      </c>
      <c r="B1812" s="177" t="s">
        <v>2640</v>
      </c>
      <c r="C1812" s="377" t="s">
        <v>194</v>
      </c>
      <c r="D1812" s="377" t="s">
        <v>115</v>
      </c>
      <c r="E1812" s="351">
        <v>500</v>
      </c>
      <c r="F1812" s="311">
        <f t="shared" si="18"/>
        <v>0.89135775178182408</v>
      </c>
      <c r="G1812" s="312">
        <v>560.94200000000001</v>
      </c>
      <c r="H1812" s="252" t="s">
        <v>195</v>
      </c>
      <c r="I1812" s="177" t="s">
        <v>2667</v>
      </c>
      <c r="J1812" s="177" t="s">
        <v>96</v>
      </c>
      <c r="K1812" s="125" t="s">
        <v>1906</v>
      </c>
      <c r="L1812" s="177" t="s">
        <v>153</v>
      </c>
      <c r="M1812"/>
      <c r="N1812"/>
    </row>
    <row r="1813" spans="1:14" ht="15.6" hidden="1">
      <c r="A1813" s="356">
        <v>45893</v>
      </c>
      <c r="B1813" s="177" t="s">
        <v>1814</v>
      </c>
      <c r="C1813" s="177" t="s">
        <v>1815</v>
      </c>
      <c r="D1813" s="377" t="s">
        <v>115</v>
      </c>
      <c r="E1813" s="351">
        <v>1400</v>
      </c>
      <c r="F1813" s="311">
        <f t="shared" si="18"/>
        <v>2.4958017049891077</v>
      </c>
      <c r="G1813" s="312">
        <v>560.94200000000001</v>
      </c>
      <c r="H1813" s="252" t="s">
        <v>195</v>
      </c>
      <c r="I1813" s="379" t="s">
        <v>2673</v>
      </c>
      <c r="J1813" s="177" t="s">
        <v>96</v>
      </c>
      <c r="K1813" s="125" t="s">
        <v>1906</v>
      </c>
      <c r="L1813" s="177" t="s">
        <v>153</v>
      </c>
      <c r="M1813"/>
      <c r="N1813"/>
    </row>
    <row r="1814" spans="1:14" ht="15.6" hidden="1">
      <c r="A1814" s="356">
        <v>45893</v>
      </c>
      <c r="B1814" s="177" t="s">
        <v>2641</v>
      </c>
      <c r="C1814" s="377" t="s">
        <v>194</v>
      </c>
      <c r="D1814" s="377" t="s">
        <v>115</v>
      </c>
      <c r="E1814" s="351">
        <v>500</v>
      </c>
      <c r="F1814" s="311">
        <f t="shared" si="18"/>
        <v>0.89135775178182408</v>
      </c>
      <c r="G1814" s="312">
        <v>560.94200000000001</v>
      </c>
      <c r="H1814" s="252" t="s">
        <v>195</v>
      </c>
      <c r="I1814" s="379" t="s">
        <v>2667</v>
      </c>
      <c r="J1814" s="177" t="s">
        <v>96</v>
      </c>
      <c r="K1814" s="125" t="s">
        <v>1906</v>
      </c>
      <c r="L1814" s="177" t="s">
        <v>153</v>
      </c>
      <c r="M1814"/>
      <c r="N1814"/>
    </row>
    <row r="1815" spans="1:14" ht="15.6" hidden="1">
      <c r="A1815" s="353">
        <v>45894</v>
      </c>
      <c r="B1815" s="377" t="s">
        <v>2103</v>
      </c>
      <c r="C1815" s="299" t="s">
        <v>172</v>
      </c>
      <c r="D1815" s="299" t="s">
        <v>117</v>
      </c>
      <c r="E1815" s="377">
        <v>1000</v>
      </c>
      <c r="F1815" s="311">
        <f t="shared" si="18"/>
        <v>1.7827155035636482</v>
      </c>
      <c r="G1815" s="312">
        <v>560.94200000000001</v>
      </c>
      <c r="H1815" s="384" t="s">
        <v>151</v>
      </c>
      <c r="I1815" s="390" t="s">
        <v>2428</v>
      </c>
      <c r="J1815" s="177" t="s">
        <v>96</v>
      </c>
      <c r="K1815" s="125" t="s">
        <v>1906</v>
      </c>
      <c r="L1815" s="177" t="s">
        <v>153</v>
      </c>
      <c r="M1815" s="371"/>
      <c r="N1815" s="371"/>
    </row>
    <row r="1816" spans="1:14" ht="15.6" hidden="1">
      <c r="A1816" s="353">
        <v>45894</v>
      </c>
      <c r="B1816" s="377" t="s">
        <v>2104</v>
      </c>
      <c r="C1816" s="299" t="s">
        <v>172</v>
      </c>
      <c r="D1816" s="299" t="s">
        <v>117</v>
      </c>
      <c r="E1816" s="377">
        <v>1000</v>
      </c>
      <c r="F1816" s="311">
        <f t="shared" si="18"/>
        <v>1.7827155035636482</v>
      </c>
      <c r="G1816" s="312">
        <v>560.94200000000001</v>
      </c>
      <c r="H1816" s="384" t="s">
        <v>151</v>
      </c>
      <c r="I1816" s="390" t="s">
        <v>2428</v>
      </c>
      <c r="J1816" s="177" t="s">
        <v>96</v>
      </c>
      <c r="K1816" s="125" t="s">
        <v>1906</v>
      </c>
      <c r="L1816" s="177" t="s">
        <v>153</v>
      </c>
      <c r="M1816" s="371"/>
      <c r="N1816" s="371"/>
    </row>
    <row r="1817" spans="1:14" ht="15.6" hidden="1">
      <c r="A1817" s="355">
        <v>45894</v>
      </c>
      <c r="B1817" s="376" t="s">
        <v>2414</v>
      </c>
      <c r="C1817" s="376" t="s">
        <v>172</v>
      </c>
      <c r="D1817" s="376" t="s">
        <v>115</v>
      </c>
      <c r="E1817" s="386">
        <v>500</v>
      </c>
      <c r="F1817" s="311">
        <f t="shared" si="18"/>
        <v>0.89135775178182408</v>
      </c>
      <c r="G1817" s="312">
        <v>560.94200000000001</v>
      </c>
      <c r="H1817" s="172" t="s">
        <v>198</v>
      </c>
      <c r="I1817" s="376" t="s">
        <v>2426</v>
      </c>
      <c r="J1817" s="177" t="s">
        <v>96</v>
      </c>
      <c r="K1817" s="125" t="s">
        <v>1906</v>
      </c>
      <c r="L1817" s="177" t="s">
        <v>153</v>
      </c>
      <c r="M1817" s="371"/>
      <c r="N1817" s="371"/>
    </row>
    <row r="1818" spans="1:14" ht="15.6" hidden="1">
      <c r="A1818" s="355">
        <v>45894</v>
      </c>
      <c r="B1818" s="376" t="s">
        <v>2415</v>
      </c>
      <c r="C1818" s="376" t="s">
        <v>172</v>
      </c>
      <c r="D1818" s="376" t="s">
        <v>115</v>
      </c>
      <c r="E1818" s="386">
        <v>2000</v>
      </c>
      <c r="F1818" s="311">
        <f t="shared" si="18"/>
        <v>3.5654310071272963</v>
      </c>
      <c r="G1818" s="312">
        <v>560.94200000000001</v>
      </c>
      <c r="H1818" s="172" t="s">
        <v>198</v>
      </c>
      <c r="I1818" s="391" t="s">
        <v>2426</v>
      </c>
      <c r="J1818" s="177" t="s">
        <v>96</v>
      </c>
      <c r="K1818" s="125" t="s">
        <v>1906</v>
      </c>
      <c r="L1818" s="177" t="s">
        <v>153</v>
      </c>
      <c r="M1818" s="371"/>
      <c r="N1818" s="371"/>
    </row>
    <row r="1819" spans="1:14" ht="15.6" hidden="1">
      <c r="A1819" s="237">
        <v>45894</v>
      </c>
      <c r="B1819" s="172" t="s">
        <v>2416</v>
      </c>
      <c r="C1819" s="172" t="s">
        <v>2394</v>
      </c>
      <c r="D1819" s="172" t="s">
        <v>2091</v>
      </c>
      <c r="E1819" s="387">
        <v>10000</v>
      </c>
      <c r="F1819" s="311">
        <f t="shared" si="18"/>
        <v>17.827155035636483</v>
      </c>
      <c r="G1819" s="312">
        <v>560.94200000000001</v>
      </c>
      <c r="H1819" s="172" t="s">
        <v>198</v>
      </c>
      <c r="I1819" s="391" t="s">
        <v>2803</v>
      </c>
      <c r="J1819" s="177" t="s">
        <v>96</v>
      </c>
      <c r="K1819" s="125" t="s">
        <v>1906</v>
      </c>
      <c r="L1819" s="177" t="s">
        <v>153</v>
      </c>
      <c r="M1819" s="371"/>
      <c r="N1819" s="371"/>
    </row>
    <row r="1820" spans="1:14" ht="15.6" hidden="1">
      <c r="A1820" s="355">
        <v>45894</v>
      </c>
      <c r="B1820" s="376" t="s">
        <v>2406</v>
      </c>
      <c r="C1820" s="376" t="s">
        <v>172</v>
      </c>
      <c r="D1820" s="376" t="s">
        <v>115</v>
      </c>
      <c r="E1820" s="386">
        <v>500</v>
      </c>
      <c r="F1820" s="311">
        <f t="shared" si="18"/>
        <v>0.89135775178182408</v>
      </c>
      <c r="G1820" s="312">
        <v>560.94200000000001</v>
      </c>
      <c r="H1820" s="172" t="s">
        <v>198</v>
      </c>
      <c r="I1820" s="376" t="s">
        <v>2426</v>
      </c>
      <c r="J1820" s="177" t="s">
        <v>96</v>
      </c>
      <c r="K1820" s="125" t="s">
        <v>1906</v>
      </c>
      <c r="L1820" s="177" t="s">
        <v>153</v>
      </c>
      <c r="M1820" s="371"/>
      <c r="N1820" s="371"/>
    </row>
    <row r="1821" spans="1:14" ht="15.6" hidden="1">
      <c r="A1821" s="359">
        <v>45894</v>
      </c>
      <c r="B1821" s="177" t="s">
        <v>2461</v>
      </c>
      <c r="C1821" s="177" t="s">
        <v>172</v>
      </c>
      <c r="D1821" s="177" t="s">
        <v>116</v>
      </c>
      <c r="E1821" s="324">
        <v>1000</v>
      </c>
      <c r="F1821" s="311">
        <f t="shared" si="18"/>
        <v>1.7827155035636482</v>
      </c>
      <c r="G1821" s="312">
        <v>560.94200000000001</v>
      </c>
      <c r="H1821" s="177" t="s">
        <v>581</v>
      </c>
      <c r="I1821" s="379" t="s">
        <v>2467</v>
      </c>
      <c r="J1821" s="177" t="s">
        <v>96</v>
      </c>
      <c r="K1821" s="125" t="s">
        <v>1906</v>
      </c>
      <c r="L1821" s="177" t="s">
        <v>153</v>
      </c>
      <c r="M1821" s="371"/>
      <c r="N1821" s="371"/>
    </row>
    <row r="1822" spans="1:14" ht="15.6" hidden="1">
      <c r="A1822" s="359">
        <v>45894</v>
      </c>
      <c r="B1822" s="177" t="s">
        <v>2462</v>
      </c>
      <c r="C1822" s="177" t="s">
        <v>172</v>
      </c>
      <c r="D1822" s="177" t="s">
        <v>116</v>
      </c>
      <c r="E1822" s="324">
        <v>1000</v>
      </c>
      <c r="F1822" s="311">
        <f t="shared" si="18"/>
        <v>1.7827155035636482</v>
      </c>
      <c r="G1822" s="312">
        <v>560.94200000000001</v>
      </c>
      <c r="H1822" s="177" t="s">
        <v>581</v>
      </c>
      <c r="I1822" s="177" t="s">
        <v>2467</v>
      </c>
      <c r="J1822" s="177" t="s">
        <v>96</v>
      </c>
      <c r="K1822" s="125" t="s">
        <v>1906</v>
      </c>
      <c r="L1822" s="177" t="s">
        <v>153</v>
      </c>
      <c r="M1822" s="371"/>
      <c r="N1822" s="371"/>
    </row>
    <row r="1823" spans="1:14" ht="15.6" hidden="1">
      <c r="A1823" s="359">
        <v>45894</v>
      </c>
      <c r="B1823" s="177" t="s">
        <v>2463</v>
      </c>
      <c r="C1823" s="177" t="s">
        <v>172</v>
      </c>
      <c r="D1823" s="177" t="s">
        <v>116</v>
      </c>
      <c r="E1823" s="324">
        <v>1000</v>
      </c>
      <c r="F1823" s="311">
        <f t="shared" si="18"/>
        <v>1.7827155035636482</v>
      </c>
      <c r="G1823" s="312">
        <v>560.94200000000001</v>
      </c>
      <c r="H1823" s="177" t="s">
        <v>581</v>
      </c>
      <c r="I1823" s="177" t="s">
        <v>2467</v>
      </c>
      <c r="J1823" s="177" t="s">
        <v>96</v>
      </c>
      <c r="K1823" s="125" t="s">
        <v>1906</v>
      </c>
      <c r="L1823" s="177" t="s">
        <v>153</v>
      </c>
      <c r="M1823" s="371"/>
      <c r="N1823" s="371"/>
    </row>
    <row r="1824" spans="1:14" ht="15.6" hidden="1">
      <c r="A1824" s="362">
        <v>45894</v>
      </c>
      <c r="B1824" s="382" t="s">
        <v>2361</v>
      </c>
      <c r="C1824" s="382" t="s">
        <v>180</v>
      </c>
      <c r="D1824" s="382" t="s">
        <v>116</v>
      </c>
      <c r="E1824" s="383">
        <v>12985</v>
      </c>
      <c r="F1824" s="311">
        <f t="shared" si="18"/>
        <v>23.148560813773972</v>
      </c>
      <c r="G1824" s="312">
        <v>560.94200000000001</v>
      </c>
      <c r="H1824" s="382" t="s">
        <v>581</v>
      </c>
      <c r="I1824" s="379" t="s">
        <v>2362</v>
      </c>
      <c r="J1824" s="177" t="s">
        <v>96</v>
      </c>
      <c r="K1824" s="125" t="s">
        <v>1906</v>
      </c>
      <c r="L1824" s="177" t="s">
        <v>153</v>
      </c>
      <c r="M1824" s="371"/>
      <c r="N1824" s="371"/>
    </row>
    <row r="1825" spans="1:14" ht="15.6" hidden="1">
      <c r="A1825" s="237">
        <v>45894</v>
      </c>
      <c r="B1825" s="172" t="s">
        <v>4759</v>
      </c>
      <c r="C1825" s="172" t="s">
        <v>175</v>
      </c>
      <c r="D1825" s="177" t="s">
        <v>440</v>
      </c>
      <c r="E1825" s="172">
        <v>135000</v>
      </c>
      <c r="F1825" s="311">
        <f t="shared" si="18"/>
        <v>240.66659298109252</v>
      </c>
      <c r="G1825" s="312">
        <v>560.94200000000001</v>
      </c>
      <c r="H1825" s="172" t="s">
        <v>182</v>
      </c>
      <c r="I1825" s="172" t="s">
        <v>2486</v>
      </c>
      <c r="J1825" s="177" t="s">
        <v>96</v>
      </c>
      <c r="K1825" s="125" t="s">
        <v>1906</v>
      </c>
      <c r="L1825" s="177" t="s">
        <v>153</v>
      </c>
      <c r="M1825"/>
      <c r="N1825"/>
    </row>
    <row r="1826" spans="1:14" ht="15.6" hidden="1">
      <c r="A1826" s="237">
        <v>45894</v>
      </c>
      <c r="B1826" s="370" t="s">
        <v>4926</v>
      </c>
      <c r="C1826" s="370" t="s">
        <v>172</v>
      </c>
      <c r="D1826" s="177" t="s">
        <v>440</v>
      </c>
      <c r="E1826" s="370">
        <v>350000</v>
      </c>
      <c r="F1826" s="311">
        <f t="shared" si="18"/>
        <v>623.95042624727694</v>
      </c>
      <c r="G1826" s="312">
        <v>560.94200000000001</v>
      </c>
      <c r="H1826" s="370" t="s">
        <v>182</v>
      </c>
      <c r="I1826" s="370" t="s">
        <v>2487</v>
      </c>
      <c r="J1826" s="177" t="s">
        <v>96</v>
      </c>
      <c r="K1826" s="125" t="s">
        <v>1906</v>
      </c>
      <c r="L1826" s="177" t="s">
        <v>153</v>
      </c>
      <c r="M1826"/>
      <c r="N1826"/>
    </row>
    <row r="1827" spans="1:14" ht="15.6" hidden="1">
      <c r="A1827" s="237">
        <v>45894</v>
      </c>
      <c r="B1827" s="172" t="s">
        <v>4927</v>
      </c>
      <c r="C1827" s="172" t="s">
        <v>172</v>
      </c>
      <c r="D1827" s="177" t="s">
        <v>440</v>
      </c>
      <c r="E1827" s="172">
        <v>1000</v>
      </c>
      <c r="F1827" s="311">
        <f t="shared" si="18"/>
        <v>1.7827155035636482</v>
      </c>
      <c r="G1827" s="312">
        <v>560.94200000000001</v>
      </c>
      <c r="H1827" s="172" t="s">
        <v>182</v>
      </c>
      <c r="I1827" s="172" t="s">
        <v>2477</v>
      </c>
      <c r="J1827" s="177" t="s">
        <v>96</v>
      </c>
      <c r="K1827" s="125" t="s">
        <v>1906</v>
      </c>
      <c r="L1827" s="177" t="s">
        <v>153</v>
      </c>
      <c r="M1827"/>
      <c r="N1827"/>
    </row>
    <row r="1828" spans="1:14" ht="15.6" hidden="1">
      <c r="A1828" s="356">
        <v>45894</v>
      </c>
      <c r="B1828" s="177" t="s">
        <v>2642</v>
      </c>
      <c r="C1828" s="377" t="s">
        <v>194</v>
      </c>
      <c r="D1828" s="377" t="s">
        <v>115</v>
      </c>
      <c r="E1828" s="351">
        <v>500</v>
      </c>
      <c r="F1828" s="311">
        <f t="shared" si="18"/>
        <v>0.89135775178182408</v>
      </c>
      <c r="G1828" s="312">
        <v>560.94200000000001</v>
      </c>
      <c r="H1828" s="252" t="s">
        <v>195</v>
      </c>
      <c r="I1828" s="379" t="s">
        <v>2667</v>
      </c>
      <c r="J1828" s="177" t="s">
        <v>96</v>
      </c>
      <c r="K1828" s="125" t="s">
        <v>1906</v>
      </c>
      <c r="L1828" s="177" t="s">
        <v>153</v>
      </c>
      <c r="M1828"/>
      <c r="N1828"/>
    </row>
    <row r="1829" spans="1:14" ht="15.6" hidden="1">
      <c r="A1829" s="356">
        <v>45894</v>
      </c>
      <c r="B1829" s="177" t="s">
        <v>1094</v>
      </c>
      <c r="C1829" s="377" t="s">
        <v>194</v>
      </c>
      <c r="D1829" s="172" t="s">
        <v>2091</v>
      </c>
      <c r="E1829" s="351">
        <v>25000</v>
      </c>
      <c r="F1829" s="311">
        <f t="shared" si="18"/>
        <v>44.567887589091207</v>
      </c>
      <c r="G1829" s="312">
        <v>560.94200000000001</v>
      </c>
      <c r="H1829" s="252" t="s">
        <v>195</v>
      </c>
      <c r="I1829" s="177" t="s">
        <v>2674</v>
      </c>
      <c r="J1829" s="177" t="s">
        <v>96</v>
      </c>
      <c r="K1829" s="125" t="s">
        <v>1906</v>
      </c>
      <c r="L1829" s="177" t="s">
        <v>153</v>
      </c>
      <c r="M1829"/>
      <c r="N1829"/>
    </row>
    <row r="1830" spans="1:14" ht="15.6" hidden="1">
      <c r="A1830" s="356">
        <v>45894</v>
      </c>
      <c r="B1830" s="177" t="s">
        <v>1818</v>
      </c>
      <c r="C1830" s="377" t="s">
        <v>175</v>
      </c>
      <c r="D1830" s="377" t="s">
        <v>115</v>
      </c>
      <c r="E1830" s="351">
        <v>23250</v>
      </c>
      <c r="F1830" s="311">
        <f t="shared" si="18"/>
        <v>41.448135457854825</v>
      </c>
      <c r="G1830" s="312">
        <v>560.94200000000001</v>
      </c>
      <c r="H1830" s="252" t="s">
        <v>195</v>
      </c>
      <c r="I1830" s="177" t="s">
        <v>2675</v>
      </c>
      <c r="J1830" s="177" t="s">
        <v>96</v>
      </c>
      <c r="K1830" s="125" t="s">
        <v>1906</v>
      </c>
      <c r="L1830" s="177" t="s">
        <v>153</v>
      </c>
      <c r="M1830"/>
      <c r="N1830"/>
    </row>
    <row r="1831" spans="1:14" ht="15.6" hidden="1">
      <c r="A1831" s="356">
        <v>45894</v>
      </c>
      <c r="B1831" s="177" t="s">
        <v>2643</v>
      </c>
      <c r="C1831" s="377" t="s">
        <v>194</v>
      </c>
      <c r="D1831" s="377" t="s">
        <v>115</v>
      </c>
      <c r="E1831" s="351">
        <v>500</v>
      </c>
      <c r="F1831" s="311">
        <f t="shared" si="18"/>
        <v>0.89135775178182408</v>
      </c>
      <c r="G1831" s="312">
        <v>560.94200000000001</v>
      </c>
      <c r="H1831" s="252" t="s">
        <v>195</v>
      </c>
      <c r="I1831" s="379" t="s">
        <v>2667</v>
      </c>
      <c r="J1831" s="177" t="s">
        <v>96</v>
      </c>
      <c r="K1831" s="125" t="s">
        <v>1906</v>
      </c>
      <c r="L1831" s="177" t="s">
        <v>153</v>
      </c>
      <c r="M1831"/>
      <c r="N1831"/>
    </row>
    <row r="1832" spans="1:14" ht="15.6" hidden="1">
      <c r="A1832" s="356">
        <v>45894</v>
      </c>
      <c r="B1832" s="177" t="s">
        <v>2644</v>
      </c>
      <c r="C1832" s="377" t="s">
        <v>194</v>
      </c>
      <c r="D1832" s="377" t="s">
        <v>115</v>
      </c>
      <c r="E1832" s="351">
        <v>500</v>
      </c>
      <c r="F1832" s="311">
        <f t="shared" si="18"/>
        <v>0.89135775178182408</v>
      </c>
      <c r="G1832" s="312">
        <v>560.94200000000001</v>
      </c>
      <c r="H1832" s="252" t="s">
        <v>195</v>
      </c>
      <c r="I1832" s="379" t="s">
        <v>2667</v>
      </c>
      <c r="J1832" s="177" t="s">
        <v>96</v>
      </c>
      <c r="K1832" s="125" t="s">
        <v>1906</v>
      </c>
      <c r="L1832" s="177" t="s">
        <v>153</v>
      </c>
      <c r="M1832"/>
      <c r="N1832"/>
    </row>
    <row r="1833" spans="1:14" ht="15.6" hidden="1">
      <c r="A1833" s="356">
        <v>45894</v>
      </c>
      <c r="B1833" s="177" t="s">
        <v>2645</v>
      </c>
      <c r="C1833" s="177" t="s">
        <v>311</v>
      </c>
      <c r="D1833" s="377" t="s">
        <v>115</v>
      </c>
      <c r="E1833" s="351">
        <v>1500</v>
      </c>
      <c r="F1833" s="311">
        <f t="shared" si="18"/>
        <v>2.6740732553454722</v>
      </c>
      <c r="G1833" s="312">
        <v>560.94200000000001</v>
      </c>
      <c r="H1833" s="252" t="s">
        <v>195</v>
      </c>
      <c r="I1833" s="379" t="s">
        <v>2676</v>
      </c>
      <c r="J1833" s="177" t="s">
        <v>96</v>
      </c>
      <c r="K1833" s="125" t="s">
        <v>1906</v>
      </c>
      <c r="L1833" s="177" t="s">
        <v>153</v>
      </c>
      <c r="M1833"/>
      <c r="N1833"/>
    </row>
    <row r="1834" spans="1:14" ht="15.6" hidden="1">
      <c r="A1834" s="356">
        <v>45894</v>
      </c>
      <c r="B1834" s="177" t="s">
        <v>2646</v>
      </c>
      <c r="C1834" s="377" t="s">
        <v>194</v>
      </c>
      <c r="D1834" s="377" t="s">
        <v>115</v>
      </c>
      <c r="E1834" s="351">
        <v>500</v>
      </c>
      <c r="F1834" s="311">
        <f t="shared" si="18"/>
        <v>0.89135775178182408</v>
      </c>
      <c r="G1834" s="312">
        <v>560.94200000000001</v>
      </c>
      <c r="H1834" s="252" t="s">
        <v>195</v>
      </c>
      <c r="I1834" s="379" t="s">
        <v>2667</v>
      </c>
      <c r="J1834" s="177" t="s">
        <v>96</v>
      </c>
      <c r="K1834" s="125" t="s">
        <v>1906</v>
      </c>
      <c r="L1834" s="177" t="s">
        <v>153</v>
      </c>
      <c r="M1834"/>
      <c r="N1834"/>
    </row>
    <row r="1835" spans="1:14" ht="15.6" hidden="1">
      <c r="A1835" s="357">
        <v>45894</v>
      </c>
      <c r="B1835" s="177" t="s">
        <v>2689</v>
      </c>
      <c r="C1835" s="177" t="s">
        <v>172</v>
      </c>
      <c r="D1835" s="177" t="s">
        <v>118</v>
      </c>
      <c r="E1835" s="351">
        <v>500</v>
      </c>
      <c r="F1835" s="311">
        <f t="shared" ref="F1835:F1850" si="19">E1835/G1835</f>
        <v>0.89135775178182408</v>
      </c>
      <c r="G1835" s="312">
        <v>560.94200000000001</v>
      </c>
      <c r="H1835" s="177" t="s">
        <v>211</v>
      </c>
      <c r="I1835" s="177" t="s">
        <v>2699</v>
      </c>
      <c r="J1835" s="177" t="s">
        <v>96</v>
      </c>
      <c r="K1835" s="125" t="s">
        <v>1906</v>
      </c>
      <c r="L1835" s="177" t="s">
        <v>153</v>
      </c>
      <c r="M1835"/>
      <c r="N1835"/>
    </row>
    <row r="1836" spans="1:14" ht="15.6" hidden="1">
      <c r="A1836" s="357">
        <v>45894</v>
      </c>
      <c r="B1836" s="177" t="s">
        <v>2690</v>
      </c>
      <c r="C1836" s="177" t="s">
        <v>172</v>
      </c>
      <c r="D1836" s="177" t="s">
        <v>118</v>
      </c>
      <c r="E1836" s="351">
        <v>500</v>
      </c>
      <c r="F1836" s="311">
        <f t="shared" si="19"/>
        <v>0.89135775178182408</v>
      </c>
      <c r="G1836" s="312">
        <v>560.94200000000001</v>
      </c>
      <c r="H1836" s="177" t="s">
        <v>211</v>
      </c>
      <c r="I1836" s="177" t="s">
        <v>2699</v>
      </c>
      <c r="J1836" s="177" t="s">
        <v>96</v>
      </c>
      <c r="K1836" s="125" t="s">
        <v>1906</v>
      </c>
      <c r="L1836" s="177" t="s">
        <v>153</v>
      </c>
      <c r="M1836"/>
      <c r="N1836"/>
    </row>
    <row r="1837" spans="1:14" ht="15.6" hidden="1">
      <c r="A1837" s="357">
        <v>45894</v>
      </c>
      <c r="B1837" s="177" t="s">
        <v>2691</v>
      </c>
      <c r="C1837" s="177" t="s">
        <v>175</v>
      </c>
      <c r="D1837" s="177" t="s">
        <v>118</v>
      </c>
      <c r="E1837" s="351">
        <v>10000</v>
      </c>
      <c r="F1837" s="311">
        <f t="shared" si="19"/>
        <v>17.827155035636483</v>
      </c>
      <c r="G1837" s="312">
        <v>560.94200000000001</v>
      </c>
      <c r="H1837" s="177" t="s">
        <v>211</v>
      </c>
      <c r="I1837" s="379" t="s">
        <v>2706</v>
      </c>
      <c r="J1837" s="177" t="s">
        <v>96</v>
      </c>
      <c r="K1837" s="125" t="s">
        <v>1906</v>
      </c>
      <c r="L1837" s="177" t="s">
        <v>153</v>
      </c>
      <c r="M1837"/>
      <c r="N1837"/>
    </row>
    <row r="1838" spans="1:14" ht="15.6" hidden="1">
      <c r="A1838" s="357">
        <v>45894</v>
      </c>
      <c r="B1838" s="177" t="s">
        <v>2692</v>
      </c>
      <c r="C1838" s="177" t="s">
        <v>172</v>
      </c>
      <c r="D1838" s="177" t="s">
        <v>118</v>
      </c>
      <c r="E1838" s="351">
        <v>500</v>
      </c>
      <c r="F1838" s="311">
        <f t="shared" si="19"/>
        <v>0.89135775178182408</v>
      </c>
      <c r="G1838" s="312">
        <v>560.94200000000001</v>
      </c>
      <c r="H1838" s="177" t="s">
        <v>211</v>
      </c>
      <c r="I1838" s="379" t="s">
        <v>2699</v>
      </c>
      <c r="J1838" s="177" t="s">
        <v>96</v>
      </c>
      <c r="K1838" s="125" t="s">
        <v>1906</v>
      </c>
      <c r="L1838" s="177" t="s">
        <v>153</v>
      </c>
      <c r="M1838"/>
      <c r="N1838"/>
    </row>
    <row r="1839" spans="1:14" ht="15.6" hidden="1">
      <c r="A1839" s="362">
        <v>45894</v>
      </c>
      <c r="B1839" s="177" t="s">
        <v>2357</v>
      </c>
      <c r="C1839" s="177" t="s">
        <v>1547</v>
      </c>
      <c r="D1839" s="177" t="s">
        <v>116</v>
      </c>
      <c r="E1839" s="324">
        <v>35000</v>
      </c>
      <c r="F1839" s="311">
        <f t="shared" si="19"/>
        <v>62.395042624727687</v>
      </c>
      <c r="G1839" s="312">
        <v>560.94200000000001</v>
      </c>
      <c r="H1839" s="177" t="s">
        <v>185</v>
      </c>
      <c r="I1839" s="177" t="s">
        <v>2358</v>
      </c>
      <c r="J1839" s="177" t="s">
        <v>96</v>
      </c>
      <c r="K1839" s="125" t="s">
        <v>1906</v>
      </c>
      <c r="L1839" s="177" t="s">
        <v>153</v>
      </c>
      <c r="M1839"/>
      <c r="N1839"/>
    </row>
    <row r="1840" spans="1:14" ht="15.6" hidden="1">
      <c r="A1840" s="362">
        <v>45894</v>
      </c>
      <c r="B1840" s="177" t="s">
        <v>2359</v>
      </c>
      <c r="C1840" s="177" t="s">
        <v>302</v>
      </c>
      <c r="D1840" s="177" t="s">
        <v>116</v>
      </c>
      <c r="E1840" s="324">
        <v>5000</v>
      </c>
      <c r="F1840" s="311">
        <f t="shared" si="19"/>
        <v>8.9135775178182417</v>
      </c>
      <c r="G1840" s="312">
        <v>560.94200000000001</v>
      </c>
      <c r="H1840" s="177" t="s">
        <v>185</v>
      </c>
      <c r="I1840" s="379" t="s">
        <v>2360</v>
      </c>
      <c r="J1840" s="177" t="s">
        <v>96</v>
      </c>
      <c r="K1840" s="125" t="s">
        <v>1906</v>
      </c>
      <c r="L1840" s="177" t="s">
        <v>153</v>
      </c>
      <c r="M1840"/>
      <c r="N1840"/>
    </row>
    <row r="1841" spans="1:14" ht="15.6" hidden="1">
      <c r="A1841" s="366">
        <v>45894</v>
      </c>
      <c r="B1841" s="320" t="s">
        <v>2729</v>
      </c>
      <c r="C1841" s="177" t="s">
        <v>125</v>
      </c>
      <c r="D1841" s="177" t="s">
        <v>116</v>
      </c>
      <c r="E1841" s="324">
        <v>258800</v>
      </c>
      <c r="F1841" s="311">
        <f t="shared" si="19"/>
        <v>461.3667723222722</v>
      </c>
      <c r="G1841" s="312">
        <v>560.94200000000001</v>
      </c>
      <c r="H1841" s="177" t="s">
        <v>146</v>
      </c>
      <c r="I1841" s="379" t="s">
        <v>2747</v>
      </c>
      <c r="J1841" s="177" t="s">
        <v>96</v>
      </c>
      <c r="K1841" s="125" t="s">
        <v>1906</v>
      </c>
      <c r="L1841" s="177" t="s">
        <v>153</v>
      </c>
      <c r="M1841"/>
      <c r="N1841"/>
    </row>
    <row r="1842" spans="1:14" ht="15.6" hidden="1">
      <c r="A1842" s="366">
        <v>45894</v>
      </c>
      <c r="B1842" s="320" t="s">
        <v>2730</v>
      </c>
      <c r="C1842" s="177" t="s">
        <v>125</v>
      </c>
      <c r="D1842" s="334" t="s">
        <v>115</v>
      </c>
      <c r="E1842" s="324">
        <v>228800</v>
      </c>
      <c r="F1842" s="311">
        <f t="shared" si="19"/>
        <v>407.88530721536273</v>
      </c>
      <c r="G1842" s="312">
        <v>560.94200000000001</v>
      </c>
      <c r="H1842" s="177" t="s">
        <v>146</v>
      </c>
      <c r="I1842" s="177" t="s">
        <v>2748</v>
      </c>
      <c r="J1842" s="177" t="s">
        <v>96</v>
      </c>
      <c r="K1842" s="125" t="s">
        <v>1906</v>
      </c>
      <c r="L1842" s="177" t="s">
        <v>153</v>
      </c>
      <c r="M1842"/>
      <c r="N1842"/>
    </row>
    <row r="1843" spans="1:14" ht="15.6" hidden="1">
      <c r="A1843" s="366">
        <v>45894</v>
      </c>
      <c r="B1843" s="320" t="s">
        <v>2731</v>
      </c>
      <c r="C1843" s="328" t="s">
        <v>125</v>
      </c>
      <c r="D1843" s="333" t="s">
        <v>115</v>
      </c>
      <c r="E1843" s="324">
        <v>228800</v>
      </c>
      <c r="F1843" s="311">
        <f t="shared" si="19"/>
        <v>407.88530721536273</v>
      </c>
      <c r="G1843" s="312">
        <v>560.94200000000001</v>
      </c>
      <c r="H1843" s="177" t="s">
        <v>146</v>
      </c>
      <c r="I1843" s="177" t="s">
        <v>2749</v>
      </c>
      <c r="J1843" s="177" t="s">
        <v>96</v>
      </c>
      <c r="K1843" s="125" t="s">
        <v>1906</v>
      </c>
      <c r="L1843" s="177" t="s">
        <v>153</v>
      </c>
      <c r="M1843"/>
      <c r="N1843"/>
    </row>
    <row r="1844" spans="1:14" ht="15.6" hidden="1">
      <c r="A1844" s="366">
        <v>45894</v>
      </c>
      <c r="B1844" s="320" t="s">
        <v>2732</v>
      </c>
      <c r="C1844" s="328" t="s">
        <v>125</v>
      </c>
      <c r="D1844" s="333" t="s">
        <v>115</v>
      </c>
      <c r="E1844" s="324">
        <v>390827</v>
      </c>
      <c r="F1844" s="311">
        <f t="shared" si="19"/>
        <v>696.73335211126994</v>
      </c>
      <c r="G1844" s="312">
        <v>560.94200000000001</v>
      </c>
      <c r="H1844" s="177" t="s">
        <v>146</v>
      </c>
      <c r="I1844" s="177" t="s">
        <v>2750</v>
      </c>
      <c r="J1844" s="177" t="s">
        <v>96</v>
      </c>
      <c r="K1844" s="125" t="s">
        <v>1906</v>
      </c>
      <c r="L1844" s="177" t="s">
        <v>153</v>
      </c>
      <c r="M1844"/>
      <c r="N1844"/>
    </row>
    <row r="1845" spans="1:14" ht="15.6" hidden="1">
      <c r="A1845" s="366">
        <v>45894</v>
      </c>
      <c r="B1845" s="320" t="s">
        <v>2733</v>
      </c>
      <c r="C1845" s="177" t="s">
        <v>125</v>
      </c>
      <c r="D1845" s="328" t="s">
        <v>115</v>
      </c>
      <c r="E1845" s="324">
        <v>328000</v>
      </c>
      <c r="F1845" s="311">
        <f t="shared" si="19"/>
        <v>584.73068516887668</v>
      </c>
      <c r="G1845" s="312">
        <v>560.94200000000001</v>
      </c>
      <c r="H1845" s="177" t="s">
        <v>146</v>
      </c>
      <c r="I1845" s="177" t="s">
        <v>2751</v>
      </c>
      <c r="J1845" s="177" t="s">
        <v>96</v>
      </c>
      <c r="K1845" s="125" t="s">
        <v>1906</v>
      </c>
      <c r="L1845" s="177" t="s">
        <v>153</v>
      </c>
      <c r="M1845"/>
      <c r="N1845"/>
    </row>
    <row r="1846" spans="1:14" ht="15.6" hidden="1">
      <c r="A1846" s="366">
        <v>45894</v>
      </c>
      <c r="B1846" s="320" t="s">
        <v>2734</v>
      </c>
      <c r="C1846" s="177" t="s">
        <v>125</v>
      </c>
      <c r="D1846" s="328" t="s">
        <v>118</v>
      </c>
      <c r="E1846" s="324">
        <v>266940</v>
      </c>
      <c r="F1846" s="311">
        <f t="shared" si="19"/>
        <v>475.87807652128026</v>
      </c>
      <c r="G1846" s="312">
        <v>560.94200000000001</v>
      </c>
      <c r="H1846" s="177" t="s">
        <v>146</v>
      </c>
      <c r="I1846" s="177" t="s">
        <v>2752</v>
      </c>
      <c r="J1846" s="177" t="s">
        <v>96</v>
      </c>
      <c r="K1846" s="125" t="s">
        <v>1906</v>
      </c>
      <c r="L1846" s="177" t="s">
        <v>153</v>
      </c>
      <c r="M1846"/>
      <c r="N1846"/>
    </row>
    <row r="1847" spans="1:14" ht="15.6" hidden="1">
      <c r="A1847" s="366">
        <v>45894</v>
      </c>
      <c r="B1847" s="320" t="s">
        <v>2735</v>
      </c>
      <c r="C1847" s="177" t="s">
        <v>125</v>
      </c>
      <c r="D1847" s="177" t="s">
        <v>115</v>
      </c>
      <c r="E1847" s="324">
        <v>228800</v>
      </c>
      <c r="F1847" s="311">
        <f t="shared" si="19"/>
        <v>407.88530721536273</v>
      </c>
      <c r="G1847" s="312">
        <v>560.94200000000001</v>
      </c>
      <c r="H1847" s="177" t="s">
        <v>146</v>
      </c>
      <c r="I1847" s="177" t="s">
        <v>2753</v>
      </c>
      <c r="J1847" s="177" t="s">
        <v>96</v>
      </c>
      <c r="K1847" s="125" t="s">
        <v>1906</v>
      </c>
      <c r="L1847" s="177" t="s">
        <v>153</v>
      </c>
      <c r="M1847"/>
      <c r="N1847"/>
    </row>
    <row r="1848" spans="1:14" ht="15.6" hidden="1">
      <c r="A1848" s="366">
        <v>45894</v>
      </c>
      <c r="B1848" s="320" t="s">
        <v>2736</v>
      </c>
      <c r="C1848" s="328" t="s">
        <v>125</v>
      </c>
      <c r="D1848" s="333" t="s">
        <v>117</v>
      </c>
      <c r="E1848" s="324">
        <v>1311000</v>
      </c>
      <c r="F1848" s="311">
        <f t="shared" si="19"/>
        <v>2337.1400251719429</v>
      </c>
      <c r="G1848" s="312">
        <v>560.94200000000001</v>
      </c>
      <c r="H1848" s="177" t="s">
        <v>146</v>
      </c>
      <c r="I1848" s="177" t="s">
        <v>2754</v>
      </c>
      <c r="J1848" s="177" t="s">
        <v>96</v>
      </c>
      <c r="K1848" s="125" t="s">
        <v>1906</v>
      </c>
      <c r="L1848" s="177" t="s">
        <v>153</v>
      </c>
      <c r="M1848"/>
      <c r="N1848"/>
    </row>
    <row r="1849" spans="1:14" ht="15.6" hidden="1">
      <c r="A1849" s="366">
        <v>45894</v>
      </c>
      <c r="B1849" s="320" t="s">
        <v>2738</v>
      </c>
      <c r="C1849" s="177" t="s">
        <v>126</v>
      </c>
      <c r="D1849" s="328" t="s">
        <v>116</v>
      </c>
      <c r="E1849" s="324">
        <v>10665</v>
      </c>
      <c r="F1849" s="311">
        <f t="shared" si="19"/>
        <v>19.012660845506307</v>
      </c>
      <c r="G1849" s="312">
        <v>560.94200000000001</v>
      </c>
      <c r="H1849" s="177" t="s">
        <v>146</v>
      </c>
      <c r="I1849" s="177" t="s">
        <v>2755</v>
      </c>
      <c r="J1849" s="177" t="s">
        <v>96</v>
      </c>
      <c r="K1849" s="125" t="s">
        <v>1906</v>
      </c>
      <c r="L1849" s="177" t="s">
        <v>153</v>
      </c>
      <c r="M1849"/>
      <c r="N1849"/>
    </row>
    <row r="1850" spans="1:14" ht="15.6" hidden="1">
      <c r="A1850" s="353">
        <v>45895</v>
      </c>
      <c r="B1850" s="377" t="s">
        <v>2103</v>
      </c>
      <c r="C1850" s="299" t="s">
        <v>172</v>
      </c>
      <c r="D1850" s="299" t="s">
        <v>117</v>
      </c>
      <c r="E1850" s="377">
        <v>1000</v>
      </c>
      <c r="F1850" s="311">
        <f t="shared" si="19"/>
        <v>1.7827155035636482</v>
      </c>
      <c r="G1850" s="312">
        <v>560.94200000000001</v>
      </c>
      <c r="H1850" s="384" t="s">
        <v>151</v>
      </c>
      <c r="I1850" s="385" t="s">
        <v>2428</v>
      </c>
      <c r="J1850" s="177" t="s">
        <v>96</v>
      </c>
      <c r="K1850" s="125" t="s">
        <v>1906</v>
      </c>
      <c r="L1850" s="177" t="s">
        <v>153</v>
      </c>
      <c r="M1850" s="371"/>
      <c r="N1850" s="371"/>
    </row>
    <row r="1851" spans="1:14" ht="15.6" hidden="1">
      <c r="A1851" s="353">
        <v>45895</v>
      </c>
      <c r="B1851" s="377" t="s">
        <v>2104</v>
      </c>
      <c r="C1851" s="299" t="s">
        <v>172</v>
      </c>
      <c r="D1851" s="299" t="s">
        <v>117</v>
      </c>
      <c r="E1851" s="377">
        <v>1000</v>
      </c>
      <c r="F1851" s="311"/>
      <c r="G1851" s="312">
        <v>560.94200000000001</v>
      </c>
      <c r="H1851" s="384" t="s">
        <v>151</v>
      </c>
      <c r="I1851" s="385" t="s">
        <v>2428</v>
      </c>
      <c r="J1851" s="177" t="s">
        <v>96</v>
      </c>
      <c r="K1851" s="125" t="s">
        <v>1906</v>
      </c>
      <c r="L1851" s="177" t="s">
        <v>153</v>
      </c>
      <c r="M1851" s="373"/>
      <c r="N1851" s="371"/>
    </row>
    <row r="1852" spans="1:14" ht="15.6" hidden="1">
      <c r="A1852" s="355">
        <v>45895</v>
      </c>
      <c r="B1852" s="376" t="s">
        <v>2418</v>
      </c>
      <c r="C1852" s="376" t="s">
        <v>172</v>
      </c>
      <c r="D1852" s="376" t="s">
        <v>115</v>
      </c>
      <c r="E1852" s="386">
        <v>500</v>
      </c>
      <c r="F1852" s="311">
        <f t="shared" ref="F1852:F1899" si="20">E1852/G1852</f>
        <v>0.89135775178182408</v>
      </c>
      <c r="G1852" s="312">
        <v>560.94200000000001</v>
      </c>
      <c r="H1852" s="172" t="s">
        <v>198</v>
      </c>
      <c r="I1852" s="376" t="s">
        <v>2426</v>
      </c>
      <c r="J1852" s="177" t="s">
        <v>96</v>
      </c>
      <c r="K1852" s="125" t="s">
        <v>1906</v>
      </c>
      <c r="L1852" s="177" t="s">
        <v>153</v>
      </c>
      <c r="M1852" s="371"/>
      <c r="N1852" s="371"/>
    </row>
    <row r="1853" spans="1:14" ht="15.6" hidden="1">
      <c r="A1853" s="237">
        <v>45895</v>
      </c>
      <c r="B1853" s="172" t="s">
        <v>2419</v>
      </c>
      <c r="C1853" s="172" t="s">
        <v>2394</v>
      </c>
      <c r="D1853" s="172" t="s">
        <v>2091</v>
      </c>
      <c r="E1853" s="387">
        <v>160000</v>
      </c>
      <c r="F1853" s="311">
        <f t="shared" si="20"/>
        <v>285.23448057018373</v>
      </c>
      <c r="G1853" s="312">
        <v>560.94200000000001</v>
      </c>
      <c r="H1853" s="172" t="s">
        <v>198</v>
      </c>
      <c r="I1853" s="376" t="s">
        <v>2804</v>
      </c>
      <c r="J1853" s="177" t="s">
        <v>96</v>
      </c>
      <c r="K1853" s="125" t="s">
        <v>1906</v>
      </c>
      <c r="L1853" s="177" t="s">
        <v>153</v>
      </c>
      <c r="M1853" s="371"/>
      <c r="N1853" s="371"/>
    </row>
    <row r="1854" spans="1:14" ht="15.6" hidden="1">
      <c r="A1854" s="237">
        <v>45895</v>
      </c>
      <c r="B1854" s="172" t="s">
        <v>2420</v>
      </c>
      <c r="C1854" s="172" t="s">
        <v>2394</v>
      </c>
      <c r="D1854" s="172" t="s">
        <v>2091</v>
      </c>
      <c r="E1854" s="387">
        <v>20000</v>
      </c>
      <c r="F1854" s="311">
        <f t="shared" si="20"/>
        <v>35.654310071272967</v>
      </c>
      <c r="G1854" s="312">
        <v>560.94200000000001</v>
      </c>
      <c r="H1854" s="172" t="s">
        <v>198</v>
      </c>
      <c r="I1854" s="376" t="s">
        <v>2805</v>
      </c>
      <c r="J1854" s="177" t="s">
        <v>96</v>
      </c>
      <c r="K1854" s="125" t="s">
        <v>1906</v>
      </c>
      <c r="L1854" s="177" t="s">
        <v>153</v>
      </c>
      <c r="M1854" s="371"/>
      <c r="N1854" s="371"/>
    </row>
    <row r="1855" spans="1:14" ht="15.6" hidden="1">
      <c r="A1855" s="355">
        <v>45895</v>
      </c>
      <c r="B1855" s="376" t="s">
        <v>2421</v>
      </c>
      <c r="C1855" s="376" t="s">
        <v>172</v>
      </c>
      <c r="D1855" s="376" t="s">
        <v>115</v>
      </c>
      <c r="E1855" s="386">
        <v>500</v>
      </c>
      <c r="F1855" s="311">
        <f t="shared" si="20"/>
        <v>0.89135775178182408</v>
      </c>
      <c r="G1855" s="312">
        <v>560.94200000000001</v>
      </c>
      <c r="H1855" s="172" t="s">
        <v>198</v>
      </c>
      <c r="I1855" s="376" t="s">
        <v>2426</v>
      </c>
      <c r="J1855" s="177" t="s">
        <v>96</v>
      </c>
      <c r="K1855" s="125" t="s">
        <v>1906</v>
      </c>
      <c r="L1855" s="177" t="s">
        <v>153</v>
      </c>
      <c r="M1855" s="371"/>
      <c r="N1855" s="371"/>
    </row>
    <row r="1856" spans="1:14" ht="15.6" hidden="1">
      <c r="A1856" s="359">
        <v>45895</v>
      </c>
      <c r="B1856" s="177" t="s">
        <v>2464</v>
      </c>
      <c r="C1856" s="177" t="s">
        <v>172</v>
      </c>
      <c r="D1856" s="177" t="s">
        <v>116</v>
      </c>
      <c r="E1856" s="324">
        <v>500</v>
      </c>
      <c r="F1856" s="311">
        <f t="shared" si="20"/>
        <v>0.89135775178182408</v>
      </c>
      <c r="G1856" s="312">
        <v>560.94200000000001</v>
      </c>
      <c r="H1856" s="177" t="s">
        <v>581</v>
      </c>
      <c r="I1856" s="177" t="s">
        <v>2467</v>
      </c>
      <c r="J1856" s="177" t="s">
        <v>96</v>
      </c>
      <c r="K1856" s="125" t="s">
        <v>1906</v>
      </c>
      <c r="L1856" s="177" t="s">
        <v>153</v>
      </c>
      <c r="M1856" s="371"/>
      <c r="N1856" s="371"/>
    </row>
    <row r="1857" spans="1:14" ht="15.6" hidden="1">
      <c r="A1857" s="359">
        <v>45895</v>
      </c>
      <c r="B1857" s="177" t="s">
        <v>2455</v>
      </c>
      <c r="C1857" s="177" t="s">
        <v>172</v>
      </c>
      <c r="D1857" s="177" t="s">
        <v>116</v>
      </c>
      <c r="E1857" s="324">
        <v>500</v>
      </c>
      <c r="F1857" s="311">
        <f t="shared" si="20"/>
        <v>0.89135775178182408</v>
      </c>
      <c r="G1857" s="312">
        <v>560.94200000000001</v>
      </c>
      <c r="H1857" s="177" t="s">
        <v>581</v>
      </c>
      <c r="I1857" s="177" t="s">
        <v>2467</v>
      </c>
      <c r="J1857" s="177" t="s">
        <v>96</v>
      </c>
      <c r="K1857" s="125" t="s">
        <v>1906</v>
      </c>
      <c r="L1857" s="177" t="s">
        <v>153</v>
      </c>
      <c r="M1857" s="372"/>
      <c r="N1857" s="372"/>
    </row>
    <row r="1858" spans="1:14" ht="15.6" hidden="1">
      <c r="A1858" s="237">
        <v>45895</v>
      </c>
      <c r="B1858" s="172" t="s">
        <v>4928</v>
      </c>
      <c r="C1858" s="172" t="s">
        <v>175</v>
      </c>
      <c r="D1858" s="177" t="s">
        <v>440</v>
      </c>
      <c r="E1858" s="172">
        <v>75000</v>
      </c>
      <c r="F1858" s="311">
        <f t="shared" si="20"/>
        <v>133.70366276727361</v>
      </c>
      <c r="G1858" s="312">
        <v>560.94200000000001</v>
      </c>
      <c r="H1858" s="172" t="s">
        <v>182</v>
      </c>
      <c r="I1858" s="172" t="s">
        <v>2488</v>
      </c>
      <c r="J1858" s="177" t="s">
        <v>96</v>
      </c>
      <c r="K1858" s="125" t="s">
        <v>1906</v>
      </c>
      <c r="L1858" s="177" t="s">
        <v>153</v>
      </c>
      <c r="M1858"/>
      <c r="N1858"/>
    </row>
    <row r="1859" spans="1:14" ht="15.6" hidden="1">
      <c r="A1859" s="237">
        <v>45895</v>
      </c>
      <c r="B1859" s="172" t="s">
        <v>4764</v>
      </c>
      <c r="C1859" s="172" t="s">
        <v>175</v>
      </c>
      <c r="D1859" s="177" t="s">
        <v>440</v>
      </c>
      <c r="E1859" s="172">
        <v>75000</v>
      </c>
      <c r="F1859" s="311">
        <f t="shared" si="20"/>
        <v>133.70366276727361</v>
      </c>
      <c r="G1859" s="312">
        <v>560.94200000000001</v>
      </c>
      <c r="H1859" s="172" t="s">
        <v>182</v>
      </c>
      <c r="I1859" s="172" t="s">
        <v>2489</v>
      </c>
      <c r="J1859" s="177" t="s">
        <v>96</v>
      </c>
      <c r="K1859" s="125" t="s">
        <v>1906</v>
      </c>
      <c r="L1859" s="177" t="s">
        <v>153</v>
      </c>
      <c r="M1859"/>
      <c r="N1859"/>
    </row>
    <row r="1860" spans="1:14" ht="15.6" hidden="1">
      <c r="A1860" s="360">
        <v>45895</v>
      </c>
      <c r="B1860" s="177" t="s">
        <v>4929</v>
      </c>
      <c r="C1860" s="177" t="s">
        <v>172</v>
      </c>
      <c r="D1860" s="177" t="s">
        <v>440</v>
      </c>
      <c r="E1860" s="177">
        <v>500</v>
      </c>
      <c r="F1860" s="311">
        <f t="shared" si="20"/>
        <v>0.89135775178182408</v>
      </c>
      <c r="G1860" s="312">
        <v>560.94200000000001</v>
      </c>
      <c r="H1860" s="177" t="s">
        <v>173</v>
      </c>
      <c r="I1860" s="177" t="s">
        <v>2496</v>
      </c>
      <c r="J1860" s="177" t="s">
        <v>96</v>
      </c>
      <c r="K1860" s="125" t="s">
        <v>1906</v>
      </c>
      <c r="L1860" s="177" t="s">
        <v>153</v>
      </c>
      <c r="M1860"/>
      <c r="N1860"/>
    </row>
    <row r="1861" spans="1:14" ht="15.6" hidden="1">
      <c r="A1861" s="360">
        <v>45895</v>
      </c>
      <c r="B1861" s="177" t="s">
        <v>4888</v>
      </c>
      <c r="C1861" s="177" t="s">
        <v>172</v>
      </c>
      <c r="D1861" s="177" t="s">
        <v>440</v>
      </c>
      <c r="E1861" s="177">
        <v>500</v>
      </c>
      <c r="F1861" s="311">
        <f t="shared" si="20"/>
        <v>0.89135775178182408</v>
      </c>
      <c r="G1861" s="312">
        <v>560.94200000000001</v>
      </c>
      <c r="H1861" s="177" t="s">
        <v>173</v>
      </c>
      <c r="I1861" s="177" t="s">
        <v>2496</v>
      </c>
      <c r="J1861" s="177" t="s">
        <v>96</v>
      </c>
      <c r="K1861" s="125" t="s">
        <v>1906</v>
      </c>
      <c r="L1861" s="177" t="s">
        <v>153</v>
      </c>
      <c r="M1861"/>
      <c r="N1861"/>
    </row>
    <row r="1862" spans="1:14" ht="15.6" hidden="1">
      <c r="A1862" s="362">
        <v>45895</v>
      </c>
      <c r="B1862" s="177" t="s">
        <v>2368</v>
      </c>
      <c r="C1862" s="177" t="s">
        <v>170</v>
      </c>
      <c r="D1862" s="177" t="s">
        <v>2245</v>
      </c>
      <c r="E1862" s="324">
        <v>25000</v>
      </c>
      <c r="F1862" s="311">
        <f t="shared" si="20"/>
        <v>44.567887589091207</v>
      </c>
      <c r="G1862" s="312">
        <v>560.94200000000001</v>
      </c>
      <c r="H1862" s="177" t="s">
        <v>188</v>
      </c>
      <c r="I1862" s="177" t="s">
        <v>2369</v>
      </c>
      <c r="J1862" s="177" t="s">
        <v>96</v>
      </c>
      <c r="K1862" s="125" t="s">
        <v>1906</v>
      </c>
      <c r="L1862" s="177" t="s">
        <v>153</v>
      </c>
      <c r="M1862"/>
      <c r="N1862"/>
    </row>
    <row r="1863" spans="1:14" ht="15.6" hidden="1">
      <c r="A1863" s="356">
        <v>45895</v>
      </c>
      <c r="B1863" s="177" t="s">
        <v>2647</v>
      </c>
      <c r="C1863" s="377" t="s">
        <v>194</v>
      </c>
      <c r="D1863" s="377" t="s">
        <v>115</v>
      </c>
      <c r="E1863" s="351">
        <v>500</v>
      </c>
      <c r="F1863" s="311">
        <f t="shared" si="20"/>
        <v>0.89135775178182408</v>
      </c>
      <c r="G1863" s="312">
        <v>560.94200000000001</v>
      </c>
      <c r="H1863" s="252" t="s">
        <v>195</v>
      </c>
      <c r="I1863" s="177" t="s">
        <v>2667</v>
      </c>
      <c r="J1863" s="177" t="s">
        <v>96</v>
      </c>
      <c r="K1863" s="125" t="s">
        <v>1906</v>
      </c>
      <c r="L1863" s="177" t="s">
        <v>153</v>
      </c>
      <c r="M1863"/>
      <c r="N1863"/>
    </row>
    <row r="1864" spans="1:14" ht="15.6" hidden="1">
      <c r="A1864" s="356">
        <v>45895</v>
      </c>
      <c r="B1864" s="177" t="s">
        <v>2648</v>
      </c>
      <c r="C1864" s="177" t="s">
        <v>311</v>
      </c>
      <c r="D1864" s="377" t="s">
        <v>115</v>
      </c>
      <c r="E1864" s="351">
        <v>1500</v>
      </c>
      <c r="F1864" s="311">
        <f t="shared" si="20"/>
        <v>2.6740732553454722</v>
      </c>
      <c r="G1864" s="312">
        <v>560.94200000000001</v>
      </c>
      <c r="H1864" s="252" t="s">
        <v>195</v>
      </c>
      <c r="I1864" s="177" t="s">
        <v>2676</v>
      </c>
      <c r="J1864" s="177" t="s">
        <v>96</v>
      </c>
      <c r="K1864" s="125" t="s">
        <v>1906</v>
      </c>
      <c r="L1864" s="177" t="s">
        <v>153</v>
      </c>
      <c r="M1864"/>
      <c r="N1864"/>
    </row>
    <row r="1865" spans="1:14" ht="15.6" hidden="1">
      <c r="A1865" s="356">
        <v>45895</v>
      </c>
      <c r="B1865" s="177" t="s">
        <v>2646</v>
      </c>
      <c r="C1865" s="377" t="s">
        <v>194</v>
      </c>
      <c r="D1865" s="377" t="s">
        <v>115</v>
      </c>
      <c r="E1865" s="351">
        <v>500</v>
      </c>
      <c r="F1865" s="311">
        <f t="shared" si="20"/>
        <v>0.89135775178182408</v>
      </c>
      <c r="G1865" s="312">
        <v>560.94200000000001</v>
      </c>
      <c r="H1865" s="252" t="s">
        <v>195</v>
      </c>
      <c r="I1865" s="177" t="s">
        <v>2667</v>
      </c>
      <c r="J1865" s="177" t="s">
        <v>96</v>
      </c>
      <c r="K1865" s="125" t="s">
        <v>1906</v>
      </c>
      <c r="L1865" s="177" t="s">
        <v>153</v>
      </c>
      <c r="M1865"/>
      <c r="N1865"/>
    </row>
    <row r="1866" spans="1:14" ht="15.6" hidden="1">
      <c r="A1866" s="356">
        <v>45895</v>
      </c>
      <c r="B1866" s="177" t="s">
        <v>2649</v>
      </c>
      <c r="C1866" s="377" t="s">
        <v>194</v>
      </c>
      <c r="D1866" s="377" t="s">
        <v>115</v>
      </c>
      <c r="E1866" s="351">
        <v>500</v>
      </c>
      <c r="F1866" s="311">
        <f t="shared" si="20"/>
        <v>0.89135775178182408</v>
      </c>
      <c r="G1866" s="312">
        <v>560.94200000000001</v>
      </c>
      <c r="H1866" s="252" t="s">
        <v>195</v>
      </c>
      <c r="I1866" s="177" t="s">
        <v>2667</v>
      </c>
      <c r="J1866" s="177" t="s">
        <v>96</v>
      </c>
      <c r="K1866" s="125" t="s">
        <v>1906</v>
      </c>
      <c r="L1866" s="177" t="s">
        <v>153</v>
      </c>
      <c r="M1866"/>
      <c r="N1866"/>
    </row>
    <row r="1867" spans="1:14" ht="15.6" hidden="1">
      <c r="A1867" s="356">
        <v>45895</v>
      </c>
      <c r="B1867" s="177" t="s">
        <v>2650</v>
      </c>
      <c r="C1867" s="377" t="s">
        <v>194</v>
      </c>
      <c r="D1867" s="377" t="s">
        <v>115</v>
      </c>
      <c r="E1867" s="351">
        <v>500</v>
      </c>
      <c r="F1867" s="311">
        <f t="shared" si="20"/>
        <v>0.89135775178182408</v>
      </c>
      <c r="G1867" s="312">
        <v>560.94200000000001</v>
      </c>
      <c r="H1867" s="252" t="s">
        <v>195</v>
      </c>
      <c r="I1867" s="177" t="s">
        <v>2667</v>
      </c>
      <c r="J1867" s="177" t="s">
        <v>96</v>
      </c>
      <c r="K1867" s="125" t="s">
        <v>1906</v>
      </c>
      <c r="L1867" s="177" t="s">
        <v>153</v>
      </c>
      <c r="M1867"/>
      <c r="N1867"/>
    </row>
    <row r="1868" spans="1:14" ht="15.6" hidden="1">
      <c r="A1868" s="356">
        <v>45895</v>
      </c>
      <c r="B1868" s="177" t="s">
        <v>2651</v>
      </c>
      <c r="C1868" s="377" t="s">
        <v>194</v>
      </c>
      <c r="D1868" s="377" t="s">
        <v>115</v>
      </c>
      <c r="E1868" s="351">
        <v>500</v>
      </c>
      <c r="F1868" s="311">
        <f t="shared" si="20"/>
        <v>0.89135775178182408</v>
      </c>
      <c r="G1868" s="312">
        <v>560.94200000000001</v>
      </c>
      <c r="H1868" s="252" t="s">
        <v>195</v>
      </c>
      <c r="I1868" s="177" t="s">
        <v>2667</v>
      </c>
      <c r="J1868" s="177" t="s">
        <v>96</v>
      </c>
      <c r="K1868" s="125" t="s">
        <v>1906</v>
      </c>
      <c r="L1868" s="177" t="s">
        <v>153</v>
      </c>
      <c r="M1868"/>
      <c r="N1868"/>
    </row>
    <row r="1869" spans="1:14" ht="15.6" hidden="1">
      <c r="A1869" s="356">
        <v>45895</v>
      </c>
      <c r="B1869" s="177" t="s">
        <v>2645</v>
      </c>
      <c r="C1869" s="177" t="s">
        <v>311</v>
      </c>
      <c r="D1869" s="377" t="s">
        <v>115</v>
      </c>
      <c r="E1869" s="351">
        <v>1500</v>
      </c>
      <c r="F1869" s="311">
        <f t="shared" si="20"/>
        <v>2.6740732553454722</v>
      </c>
      <c r="G1869" s="312">
        <v>560.94200000000001</v>
      </c>
      <c r="H1869" s="252" t="s">
        <v>195</v>
      </c>
      <c r="I1869" s="177" t="s">
        <v>2676</v>
      </c>
      <c r="J1869" s="177" t="s">
        <v>96</v>
      </c>
      <c r="K1869" s="125" t="s">
        <v>1906</v>
      </c>
      <c r="L1869" s="177" t="s">
        <v>153</v>
      </c>
      <c r="M1869"/>
      <c r="N1869"/>
    </row>
    <row r="1870" spans="1:14" ht="15.6" hidden="1">
      <c r="A1870" s="356">
        <v>45895</v>
      </c>
      <c r="B1870" s="177" t="s">
        <v>2646</v>
      </c>
      <c r="C1870" s="377" t="s">
        <v>194</v>
      </c>
      <c r="D1870" s="377" t="s">
        <v>115</v>
      </c>
      <c r="E1870" s="351">
        <v>500</v>
      </c>
      <c r="F1870" s="311">
        <f t="shared" si="20"/>
        <v>0.89135775178182408</v>
      </c>
      <c r="G1870" s="312">
        <v>560.94200000000001</v>
      </c>
      <c r="H1870" s="252" t="s">
        <v>195</v>
      </c>
      <c r="I1870" s="177" t="s">
        <v>2667</v>
      </c>
      <c r="J1870" s="177" t="s">
        <v>96</v>
      </c>
      <c r="K1870" s="125" t="s">
        <v>1906</v>
      </c>
      <c r="L1870" s="177" t="s">
        <v>153</v>
      </c>
      <c r="M1870"/>
      <c r="N1870"/>
    </row>
    <row r="1871" spans="1:14" ht="15.6" hidden="1">
      <c r="A1871" s="357">
        <v>45895</v>
      </c>
      <c r="B1871" s="177" t="s">
        <v>2693</v>
      </c>
      <c r="C1871" s="177" t="s">
        <v>172</v>
      </c>
      <c r="D1871" s="177" t="s">
        <v>118</v>
      </c>
      <c r="E1871" s="351">
        <v>500</v>
      </c>
      <c r="F1871" s="311">
        <f t="shared" si="20"/>
        <v>0.89135775178182408</v>
      </c>
      <c r="G1871" s="312">
        <v>560.94200000000001</v>
      </c>
      <c r="H1871" s="177" t="s">
        <v>211</v>
      </c>
      <c r="I1871" s="177" t="s">
        <v>2699</v>
      </c>
      <c r="J1871" s="177" t="s">
        <v>96</v>
      </c>
      <c r="K1871" s="125" t="s">
        <v>1906</v>
      </c>
      <c r="L1871" s="177" t="s">
        <v>153</v>
      </c>
      <c r="M1871" s="325"/>
      <c r="N1871" s="325"/>
    </row>
    <row r="1872" spans="1:14" ht="15.6" hidden="1">
      <c r="A1872" s="357">
        <v>45895</v>
      </c>
      <c r="B1872" s="177" t="s">
        <v>2694</v>
      </c>
      <c r="C1872" s="177" t="s">
        <v>172</v>
      </c>
      <c r="D1872" s="177" t="s">
        <v>118</v>
      </c>
      <c r="E1872" s="351">
        <v>500</v>
      </c>
      <c r="F1872" s="311">
        <f t="shared" si="20"/>
        <v>0.89135775178182408</v>
      </c>
      <c r="G1872" s="312">
        <v>560.94200000000001</v>
      </c>
      <c r="H1872" s="177" t="s">
        <v>211</v>
      </c>
      <c r="I1872" s="177" t="s">
        <v>2699</v>
      </c>
      <c r="J1872" s="177" t="s">
        <v>96</v>
      </c>
      <c r="K1872" s="125" t="s">
        <v>1906</v>
      </c>
      <c r="L1872" s="177" t="s">
        <v>153</v>
      </c>
      <c r="M1872" s="325"/>
      <c r="N1872" s="325"/>
    </row>
    <row r="1873" spans="1:14" ht="15.6" hidden="1">
      <c r="A1873" s="357">
        <v>45895</v>
      </c>
      <c r="B1873" s="177" t="s">
        <v>2695</v>
      </c>
      <c r="C1873" s="177" t="s">
        <v>172</v>
      </c>
      <c r="D1873" s="177" t="s">
        <v>118</v>
      </c>
      <c r="E1873" s="351">
        <v>500</v>
      </c>
      <c r="F1873" s="311">
        <f t="shared" si="20"/>
        <v>0.89135775178182408</v>
      </c>
      <c r="G1873" s="312">
        <v>560.94200000000001</v>
      </c>
      <c r="H1873" s="177" t="s">
        <v>211</v>
      </c>
      <c r="I1873" s="177" t="s">
        <v>2699</v>
      </c>
      <c r="J1873" s="177" t="s">
        <v>96</v>
      </c>
      <c r="K1873" s="125" t="s">
        <v>1906</v>
      </c>
      <c r="L1873" s="177" t="s">
        <v>153</v>
      </c>
      <c r="M1873" s="325"/>
      <c r="N1873" s="325"/>
    </row>
    <row r="1874" spans="1:14" ht="15.6" hidden="1">
      <c r="A1874" s="357">
        <v>45895</v>
      </c>
      <c r="B1874" s="177" t="s">
        <v>2692</v>
      </c>
      <c r="C1874" s="177" t="s">
        <v>172</v>
      </c>
      <c r="D1874" s="177" t="s">
        <v>118</v>
      </c>
      <c r="E1874" s="351">
        <v>500</v>
      </c>
      <c r="F1874" s="311">
        <f t="shared" si="20"/>
        <v>0.89135775178182408</v>
      </c>
      <c r="G1874" s="312">
        <v>560.94200000000001</v>
      </c>
      <c r="H1874" s="177" t="s">
        <v>211</v>
      </c>
      <c r="I1874" s="177" t="s">
        <v>2699</v>
      </c>
      <c r="J1874" s="177" t="s">
        <v>96</v>
      </c>
      <c r="K1874" s="125" t="s">
        <v>1906</v>
      </c>
      <c r="L1874" s="177" t="s">
        <v>153</v>
      </c>
      <c r="M1874" s="325"/>
      <c r="N1874" s="325"/>
    </row>
    <row r="1875" spans="1:14" ht="15.6" hidden="1">
      <c r="A1875" s="362">
        <v>45895</v>
      </c>
      <c r="B1875" s="177" t="s">
        <v>2774</v>
      </c>
      <c r="C1875" s="177" t="s">
        <v>2092</v>
      </c>
      <c r="D1875" s="177" t="s">
        <v>118</v>
      </c>
      <c r="E1875" s="324">
        <v>6000</v>
      </c>
      <c r="F1875" s="311">
        <f t="shared" si="20"/>
        <v>10.696293021381889</v>
      </c>
      <c r="G1875" s="312">
        <v>560.94200000000001</v>
      </c>
      <c r="H1875" s="177" t="s">
        <v>211</v>
      </c>
      <c r="I1875" s="177" t="s">
        <v>2363</v>
      </c>
      <c r="J1875" s="177" t="s">
        <v>96</v>
      </c>
      <c r="K1875" s="125" t="s">
        <v>1906</v>
      </c>
      <c r="L1875" s="177" t="s">
        <v>153</v>
      </c>
      <c r="M1875" s="325"/>
      <c r="N1875" s="325"/>
    </row>
    <row r="1876" spans="1:14" ht="15.6" hidden="1">
      <c r="A1876" s="360">
        <v>45895</v>
      </c>
      <c r="B1876" s="177" t="s">
        <v>2775</v>
      </c>
      <c r="C1876" s="177" t="s">
        <v>2092</v>
      </c>
      <c r="D1876" s="177" t="s">
        <v>118</v>
      </c>
      <c r="E1876" s="324">
        <v>6000</v>
      </c>
      <c r="F1876" s="311">
        <f t="shared" si="20"/>
        <v>10.696293021381889</v>
      </c>
      <c r="G1876" s="312">
        <v>560.94200000000001</v>
      </c>
      <c r="H1876" s="177" t="s">
        <v>211</v>
      </c>
      <c r="I1876" s="177" t="s">
        <v>2363</v>
      </c>
      <c r="J1876" s="177" t="s">
        <v>96</v>
      </c>
      <c r="K1876" s="125" t="s">
        <v>1906</v>
      </c>
      <c r="L1876" s="177" t="s">
        <v>153</v>
      </c>
      <c r="M1876" s="325"/>
      <c r="N1876" s="325"/>
    </row>
    <row r="1877" spans="1:14" ht="15.6" hidden="1">
      <c r="A1877" s="362">
        <v>45895</v>
      </c>
      <c r="B1877" s="177" t="s">
        <v>2776</v>
      </c>
      <c r="C1877" s="177" t="s">
        <v>2092</v>
      </c>
      <c r="D1877" s="177" t="s">
        <v>118</v>
      </c>
      <c r="E1877" s="324">
        <v>6000</v>
      </c>
      <c r="F1877" s="311">
        <f t="shared" si="20"/>
        <v>10.696293021381889</v>
      </c>
      <c r="G1877" s="312">
        <v>560.94200000000001</v>
      </c>
      <c r="H1877" s="177" t="s">
        <v>211</v>
      </c>
      <c r="I1877" s="177" t="s">
        <v>2363</v>
      </c>
      <c r="J1877" s="177" t="s">
        <v>96</v>
      </c>
      <c r="K1877" s="125" t="s">
        <v>1906</v>
      </c>
      <c r="L1877" s="177" t="s">
        <v>153</v>
      </c>
      <c r="M1877" s="325"/>
      <c r="N1877" s="325"/>
    </row>
    <row r="1878" spans="1:14" ht="15.6" hidden="1">
      <c r="A1878" s="360">
        <v>45895</v>
      </c>
      <c r="B1878" s="177" t="s">
        <v>2777</v>
      </c>
      <c r="C1878" s="177" t="s">
        <v>2092</v>
      </c>
      <c r="D1878" s="177" t="s">
        <v>118</v>
      </c>
      <c r="E1878" s="324">
        <v>6000</v>
      </c>
      <c r="F1878" s="311">
        <f t="shared" si="20"/>
        <v>10.696293021381889</v>
      </c>
      <c r="G1878" s="312">
        <v>560.94200000000001</v>
      </c>
      <c r="H1878" s="177" t="s">
        <v>211</v>
      </c>
      <c r="I1878" s="177" t="s">
        <v>2363</v>
      </c>
      <c r="J1878" s="177" t="s">
        <v>96</v>
      </c>
      <c r="K1878" s="125" t="s">
        <v>1906</v>
      </c>
      <c r="L1878" s="177" t="s">
        <v>153</v>
      </c>
      <c r="M1878" s="325"/>
      <c r="N1878" s="325"/>
    </row>
    <row r="1879" spans="1:14" ht="15.6" hidden="1">
      <c r="A1879" s="362">
        <v>45895</v>
      </c>
      <c r="B1879" s="177" t="s">
        <v>2778</v>
      </c>
      <c r="C1879" s="177" t="s">
        <v>2092</v>
      </c>
      <c r="D1879" s="177" t="s">
        <v>118</v>
      </c>
      <c r="E1879" s="324">
        <v>6000</v>
      </c>
      <c r="F1879" s="311">
        <f t="shared" si="20"/>
        <v>10.696293021381889</v>
      </c>
      <c r="G1879" s="312">
        <v>560.94200000000001</v>
      </c>
      <c r="H1879" s="177" t="s">
        <v>211</v>
      </c>
      <c r="I1879" s="177" t="s">
        <v>2363</v>
      </c>
      <c r="J1879" s="177" t="s">
        <v>96</v>
      </c>
      <c r="K1879" s="125" t="s">
        <v>1906</v>
      </c>
      <c r="L1879" s="177" t="s">
        <v>153</v>
      </c>
      <c r="M1879" s="325"/>
      <c r="N1879" s="325"/>
    </row>
    <row r="1880" spans="1:14" ht="15.6" hidden="1">
      <c r="A1880" s="360">
        <v>45895</v>
      </c>
      <c r="B1880" s="177" t="s">
        <v>2779</v>
      </c>
      <c r="C1880" s="177" t="s">
        <v>2092</v>
      </c>
      <c r="D1880" s="177" t="s">
        <v>118</v>
      </c>
      <c r="E1880" s="324">
        <v>6000</v>
      </c>
      <c r="F1880" s="311">
        <f t="shared" si="20"/>
        <v>10.696293021381889</v>
      </c>
      <c r="G1880" s="312">
        <v>560.94200000000001</v>
      </c>
      <c r="H1880" s="177" t="s">
        <v>211</v>
      </c>
      <c r="I1880" s="177" t="s">
        <v>2363</v>
      </c>
      <c r="J1880" s="177" t="s">
        <v>96</v>
      </c>
      <c r="K1880" s="125" t="s">
        <v>1906</v>
      </c>
      <c r="L1880" s="177" t="s">
        <v>153</v>
      </c>
      <c r="M1880" s="325"/>
      <c r="N1880" s="325"/>
    </row>
    <row r="1881" spans="1:14" ht="15.6" hidden="1">
      <c r="A1881" s="362">
        <v>45895</v>
      </c>
      <c r="B1881" s="177" t="s">
        <v>2780</v>
      </c>
      <c r="C1881" s="177" t="s">
        <v>2092</v>
      </c>
      <c r="D1881" s="177" t="s">
        <v>118</v>
      </c>
      <c r="E1881" s="324">
        <v>6000</v>
      </c>
      <c r="F1881" s="311">
        <f t="shared" si="20"/>
        <v>10.696293021381889</v>
      </c>
      <c r="G1881" s="312">
        <v>560.94200000000001</v>
      </c>
      <c r="H1881" s="177" t="s">
        <v>211</v>
      </c>
      <c r="I1881" s="177" t="s">
        <v>2363</v>
      </c>
      <c r="J1881" s="177" t="s">
        <v>96</v>
      </c>
      <c r="K1881" s="125" t="s">
        <v>1906</v>
      </c>
      <c r="L1881" s="177" t="s">
        <v>153</v>
      </c>
      <c r="M1881" s="325"/>
      <c r="N1881" s="325"/>
    </row>
    <row r="1882" spans="1:14" ht="15.6" hidden="1">
      <c r="A1882" s="360">
        <v>45895</v>
      </c>
      <c r="B1882" s="177" t="s">
        <v>2781</v>
      </c>
      <c r="C1882" s="177" t="s">
        <v>2092</v>
      </c>
      <c r="D1882" s="177" t="s">
        <v>118</v>
      </c>
      <c r="E1882" s="324">
        <v>6000</v>
      </c>
      <c r="F1882" s="311">
        <f t="shared" si="20"/>
        <v>10.696293021381889</v>
      </c>
      <c r="G1882" s="312">
        <v>560.94200000000001</v>
      </c>
      <c r="H1882" s="177" t="s">
        <v>211</v>
      </c>
      <c r="I1882" s="177" t="s">
        <v>2363</v>
      </c>
      <c r="J1882" s="177" t="s">
        <v>96</v>
      </c>
      <c r="K1882" s="125" t="s">
        <v>1906</v>
      </c>
      <c r="L1882" s="177" t="s">
        <v>153</v>
      </c>
      <c r="M1882" s="325"/>
      <c r="N1882" s="325"/>
    </row>
    <row r="1883" spans="1:14" ht="15.6" hidden="1">
      <c r="A1883" s="362">
        <v>45895</v>
      </c>
      <c r="B1883" s="177" t="s">
        <v>2782</v>
      </c>
      <c r="C1883" s="177" t="s">
        <v>2092</v>
      </c>
      <c r="D1883" s="177" t="s">
        <v>118</v>
      </c>
      <c r="E1883" s="324">
        <v>6000</v>
      </c>
      <c r="F1883" s="311">
        <f t="shared" si="20"/>
        <v>10.696293021381889</v>
      </c>
      <c r="G1883" s="312">
        <v>560.94200000000001</v>
      </c>
      <c r="H1883" s="177" t="s">
        <v>211</v>
      </c>
      <c r="I1883" s="177" t="s">
        <v>2363</v>
      </c>
      <c r="J1883" s="177" t="s">
        <v>96</v>
      </c>
      <c r="K1883" s="125" t="s">
        <v>1906</v>
      </c>
      <c r="L1883" s="177" t="s">
        <v>153</v>
      </c>
      <c r="M1883" s="325"/>
      <c r="N1883" s="325"/>
    </row>
    <row r="1884" spans="1:14" ht="15.6" hidden="1">
      <c r="A1884" s="360">
        <v>45895</v>
      </c>
      <c r="B1884" s="177" t="s">
        <v>2783</v>
      </c>
      <c r="C1884" s="177" t="s">
        <v>2092</v>
      </c>
      <c r="D1884" s="177" t="s">
        <v>118</v>
      </c>
      <c r="E1884" s="324">
        <v>6000</v>
      </c>
      <c r="F1884" s="311">
        <f t="shared" si="20"/>
        <v>10.696293021381889</v>
      </c>
      <c r="G1884" s="312">
        <v>560.94200000000001</v>
      </c>
      <c r="H1884" s="177" t="s">
        <v>211</v>
      </c>
      <c r="I1884" s="177" t="s">
        <v>2363</v>
      </c>
      <c r="J1884" s="177" t="s">
        <v>96</v>
      </c>
      <c r="K1884" s="125" t="s">
        <v>1906</v>
      </c>
      <c r="L1884" s="177" t="s">
        <v>153</v>
      </c>
      <c r="M1884" s="325"/>
      <c r="N1884" s="325"/>
    </row>
    <row r="1885" spans="1:14" ht="15.6" hidden="1">
      <c r="A1885" s="362">
        <v>45895</v>
      </c>
      <c r="B1885" s="177" t="s">
        <v>2784</v>
      </c>
      <c r="C1885" s="177" t="s">
        <v>2092</v>
      </c>
      <c r="D1885" s="177" t="s">
        <v>118</v>
      </c>
      <c r="E1885" s="324">
        <v>6000</v>
      </c>
      <c r="F1885" s="311">
        <f t="shared" si="20"/>
        <v>10.696293021381889</v>
      </c>
      <c r="G1885" s="312">
        <v>560.94200000000001</v>
      </c>
      <c r="H1885" s="177" t="s">
        <v>211</v>
      </c>
      <c r="I1885" s="177" t="s">
        <v>2363</v>
      </c>
      <c r="J1885" s="177" t="s">
        <v>96</v>
      </c>
      <c r="K1885" s="125" t="s">
        <v>1906</v>
      </c>
      <c r="L1885" s="177" t="s">
        <v>153</v>
      </c>
      <c r="M1885" s="325"/>
      <c r="N1885" s="325"/>
    </row>
    <row r="1886" spans="1:14" ht="15.6" hidden="1">
      <c r="A1886" s="360">
        <v>45895</v>
      </c>
      <c r="B1886" s="177" t="s">
        <v>2785</v>
      </c>
      <c r="C1886" s="177" t="s">
        <v>2092</v>
      </c>
      <c r="D1886" s="177" t="s">
        <v>118</v>
      </c>
      <c r="E1886" s="324">
        <v>6000</v>
      </c>
      <c r="F1886" s="311">
        <f t="shared" si="20"/>
        <v>10.696293021381889</v>
      </c>
      <c r="G1886" s="312">
        <v>560.94200000000001</v>
      </c>
      <c r="H1886" s="177" t="s">
        <v>211</v>
      </c>
      <c r="I1886" s="177" t="s">
        <v>2363</v>
      </c>
      <c r="J1886" s="177" t="s">
        <v>96</v>
      </c>
      <c r="K1886" s="125" t="s">
        <v>1906</v>
      </c>
      <c r="L1886" s="177" t="s">
        <v>153</v>
      </c>
      <c r="M1886" s="325"/>
      <c r="N1886" s="325"/>
    </row>
    <row r="1887" spans="1:14" ht="15.6" hidden="1">
      <c r="A1887" s="362">
        <v>45895</v>
      </c>
      <c r="B1887" s="177" t="s">
        <v>2786</v>
      </c>
      <c r="C1887" s="177" t="s">
        <v>2092</v>
      </c>
      <c r="D1887" s="177" t="s">
        <v>118</v>
      </c>
      <c r="E1887" s="324">
        <v>6000</v>
      </c>
      <c r="F1887" s="311">
        <f t="shared" si="20"/>
        <v>10.696293021381889</v>
      </c>
      <c r="G1887" s="312">
        <v>560.94200000000001</v>
      </c>
      <c r="H1887" s="177" t="s">
        <v>211</v>
      </c>
      <c r="I1887" s="177" t="s">
        <v>2363</v>
      </c>
      <c r="J1887" s="177" t="s">
        <v>96</v>
      </c>
      <c r="K1887" s="125" t="s">
        <v>1906</v>
      </c>
      <c r="L1887" s="177" t="s">
        <v>153</v>
      </c>
      <c r="M1887" s="325"/>
      <c r="N1887" s="325"/>
    </row>
    <row r="1888" spans="1:14" ht="15.6" hidden="1">
      <c r="A1888" s="360">
        <v>45895</v>
      </c>
      <c r="B1888" s="177" t="s">
        <v>2787</v>
      </c>
      <c r="C1888" s="177" t="s">
        <v>2092</v>
      </c>
      <c r="D1888" s="177" t="s">
        <v>118</v>
      </c>
      <c r="E1888" s="324">
        <v>6000</v>
      </c>
      <c r="F1888" s="311">
        <f t="shared" si="20"/>
        <v>10.696293021381889</v>
      </c>
      <c r="G1888" s="312">
        <v>560.94200000000001</v>
      </c>
      <c r="H1888" s="177" t="s">
        <v>211</v>
      </c>
      <c r="I1888" s="177" t="s">
        <v>2363</v>
      </c>
      <c r="J1888" s="177" t="s">
        <v>96</v>
      </c>
      <c r="K1888" s="125" t="s">
        <v>1906</v>
      </c>
      <c r="L1888" s="177" t="s">
        <v>153</v>
      </c>
      <c r="M1888" s="325"/>
      <c r="N1888" s="325"/>
    </row>
    <row r="1889" spans="1:14" ht="15.6" hidden="1">
      <c r="A1889" s="362">
        <v>45895</v>
      </c>
      <c r="B1889" s="177" t="s">
        <v>2788</v>
      </c>
      <c r="C1889" s="177" t="s">
        <v>2092</v>
      </c>
      <c r="D1889" s="177" t="s">
        <v>118</v>
      </c>
      <c r="E1889" s="324">
        <v>10000</v>
      </c>
      <c r="F1889" s="311">
        <f t="shared" si="20"/>
        <v>17.827155035636483</v>
      </c>
      <c r="G1889" s="312">
        <v>560.94200000000001</v>
      </c>
      <c r="H1889" s="177" t="s">
        <v>211</v>
      </c>
      <c r="I1889" s="177" t="s">
        <v>2364</v>
      </c>
      <c r="J1889" s="177" t="s">
        <v>96</v>
      </c>
      <c r="K1889" s="125" t="s">
        <v>1906</v>
      </c>
      <c r="L1889" s="177" t="s">
        <v>153</v>
      </c>
      <c r="M1889" s="325"/>
      <c r="N1889" s="325"/>
    </row>
    <row r="1890" spans="1:14" ht="15.6" hidden="1">
      <c r="A1890" s="360">
        <v>45895</v>
      </c>
      <c r="B1890" s="177" t="s">
        <v>2789</v>
      </c>
      <c r="C1890" s="177" t="s">
        <v>2092</v>
      </c>
      <c r="D1890" s="177" t="s">
        <v>118</v>
      </c>
      <c r="E1890" s="324">
        <v>10000</v>
      </c>
      <c r="F1890" s="311">
        <f t="shared" si="20"/>
        <v>17.827155035636483</v>
      </c>
      <c r="G1890" s="312">
        <v>560.94200000000001</v>
      </c>
      <c r="H1890" s="177" t="s">
        <v>211</v>
      </c>
      <c r="I1890" s="177" t="s">
        <v>2364</v>
      </c>
      <c r="J1890" s="177" t="s">
        <v>96</v>
      </c>
      <c r="K1890" s="125" t="s">
        <v>1906</v>
      </c>
      <c r="L1890" s="177" t="s">
        <v>153</v>
      </c>
      <c r="M1890" s="325"/>
      <c r="N1890" s="325"/>
    </row>
    <row r="1891" spans="1:14" ht="15.6" hidden="1">
      <c r="A1891" s="362">
        <v>45895</v>
      </c>
      <c r="B1891" s="177" t="s">
        <v>2790</v>
      </c>
      <c r="C1891" s="177" t="s">
        <v>2092</v>
      </c>
      <c r="D1891" s="177" t="s">
        <v>118</v>
      </c>
      <c r="E1891" s="324">
        <v>10000</v>
      </c>
      <c r="F1891" s="311">
        <f t="shared" si="20"/>
        <v>17.827155035636483</v>
      </c>
      <c r="G1891" s="312">
        <v>560.94200000000001</v>
      </c>
      <c r="H1891" s="177" t="s">
        <v>211</v>
      </c>
      <c r="I1891" s="177" t="s">
        <v>2364</v>
      </c>
      <c r="J1891" s="177" t="s">
        <v>96</v>
      </c>
      <c r="K1891" s="125" t="s">
        <v>1906</v>
      </c>
      <c r="L1891" s="177" t="s">
        <v>153</v>
      </c>
      <c r="M1891" s="325"/>
      <c r="N1891" s="325"/>
    </row>
    <row r="1892" spans="1:14" ht="15.6" hidden="1">
      <c r="A1892" s="360">
        <v>45895</v>
      </c>
      <c r="B1892" s="177" t="s">
        <v>2791</v>
      </c>
      <c r="C1892" s="177" t="s">
        <v>2092</v>
      </c>
      <c r="D1892" s="177" t="s">
        <v>118</v>
      </c>
      <c r="E1892" s="324">
        <v>10000</v>
      </c>
      <c r="F1892" s="311">
        <f t="shared" si="20"/>
        <v>17.827155035636483</v>
      </c>
      <c r="G1892" s="312">
        <v>560.94200000000001</v>
      </c>
      <c r="H1892" s="177" t="s">
        <v>211</v>
      </c>
      <c r="I1892" s="177" t="s">
        <v>2364</v>
      </c>
      <c r="J1892" s="177" t="s">
        <v>96</v>
      </c>
      <c r="K1892" s="125" t="s">
        <v>1906</v>
      </c>
      <c r="L1892" s="177" t="s">
        <v>153</v>
      </c>
      <c r="M1892" s="325"/>
      <c r="N1892" s="325"/>
    </row>
    <row r="1893" spans="1:14" ht="15.6" hidden="1">
      <c r="A1893" s="362">
        <v>45895</v>
      </c>
      <c r="B1893" s="177" t="s">
        <v>2792</v>
      </c>
      <c r="C1893" s="177" t="s">
        <v>2092</v>
      </c>
      <c r="D1893" s="177" t="s">
        <v>118</v>
      </c>
      <c r="E1893" s="324">
        <v>6000</v>
      </c>
      <c r="F1893" s="311">
        <f t="shared" si="20"/>
        <v>10.696293021381889</v>
      </c>
      <c r="G1893" s="312">
        <v>560.94200000000001</v>
      </c>
      <c r="H1893" s="177" t="s">
        <v>211</v>
      </c>
      <c r="I1893" s="177" t="s">
        <v>2365</v>
      </c>
      <c r="J1893" s="177" t="s">
        <v>96</v>
      </c>
      <c r="K1893" s="125" t="s">
        <v>1906</v>
      </c>
      <c r="L1893" s="177" t="s">
        <v>153</v>
      </c>
      <c r="M1893" s="325"/>
      <c r="N1893" s="325"/>
    </row>
    <row r="1894" spans="1:14" ht="15.6" hidden="1">
      <c r="A1894" s="357">
        <v>45895</v>
      </c>
      <c r="B1894" s="177" t="s">
        <v>2718</v>
      </c>
      <c r="C1894" s="177" t="s">
        <v>172</v>
      </c>
      <c r="D1894" s="177" t="s">
        <v>115</v>
      </c>
      <c r="E1894" s="177">
        <v>500</v>
      </c>
      <c r="F1894" s="311">
        <f t="shared" si="20"/>
        <v>0.89135775178182408</v>
      </c>
      <c r="G1894" s="312">
        <v>560.94200000000001</v>
      </c>
      <c r="H1894" s="177" t="s">
        <v>185</v>
      </c>
      <c r="I1894" s="177" t="s">
        <v>2719</v>
      </c>
      <c r="J1894" s="177" t="s">
        <v>96</v>
      </c>
      <c r="K1894" s="125" t="s">
        <v>1906</v>
      </c>
      <c r="L1894" s="177" t="s">
        <v>153</v>
      </c>
      <c r="M1894" s="325"/>
      <c r="N1894" s="325"/>
    </row>
    <row r="1895" spans="1:14" ht="15.6" hidden="1">
      <c r="A1895" s="362">
        <v>45895</v>
      </c>
      <c r="B1895" s="177" t="s">
        <v>2366</v>
      </c>
      <c r="C1895" s="177" t="s">
        <v>180</v>
      </c>
      <c r="D1895" s="177" t="s">
        <v>116</v>
      </c>
      <c r="E1895" s="177">
        <v>3900</v>
      </c>
      <c r="F1895" s="311">
        <f t="shared" si="20"/>
        <v>6.9525904638982281</v>
      </c>
      <c r="G1895" s="312">
        <v>560.94200000000001</v>
      </c>
      <c r="H1895" s="177" t="s">
        <v>185</v>
      </c>
      <c r="I1895" s="177" t="s">
        <v>2367</v>
      </c>
      <c r="J1895" s="177" t="s">
        <v>96</v>
      </c>
      <c r="K1895" s="125" t="s">
        <v>1906</v>
      </c>
      <c r="L1895" s="177" t="s">
        <v>153</v>
      </c>
      <c r="M1895" s="325"/>
      <c r="N1895" s="325"/>
    </row>
    <row r="1896" spans="1:14" ht="15.6" hidden="1">
      <c r="A1896" s="357">
        <v>45895</v>
      </c>
      <c r="B1896" s="177" t="s">
        <v>2717</v>
      </c>
      <c r="C1896" s="177" t="s">
        <v>172</v>
      </c>
      <c r="D1896" s="177" t="s">
        <v>115</v>
      </c>
      <c r="E1896" s="177">
        <v>500</v>
      </c>
      <c r="F1896" s="311">
        <f t="shared" si="20"/>
        <v>0.89135775178182408</v>
      </c>
      <c r="G1896" s="312">
        <v>560.94200000000001</v>
      </c>
      <c r="H1896" s="177" t="s">
        <v>185</v>
      </c>
      <c r="I1896" s="177" t="s">
        <v>2719</v>
      </c>
      <c r="J1896" s="177" t="s">
        <v>96</v>
      </c>
      <c r="K1896" s="125" t="s">
        <v>1906</v>
      </c>
      <c r="L1896" s="177" t="s">
        <v>153</v>
      </c>
      <c r="M1896" s="325"/>
      <c r="N1896" s="325"/>
    </row>
    <row r="1897" spans="1:14" ht="15.6" hidden="1">
      <c r="A1897" s="353">
        <v>45896</v>
      </c>
      <c r="B1897" s="377" t="s">
        <v>2103</v>
      </c>
      <c r="C1897" s="299" t="s">
        <v>172</v>
      </c>
      <c r="D1897" s="299" t="s">
        <v>117</v>
      </c>
      <c r="E1897" s="377">
        <v>1000</v>
      </c>
      <c r="F1897" s="311">
        <f t="shared" si="20"/>
        <v>1.7827155035636482</v>
      </c>
      <c r="G1897" s="312">
        <v>560.94200000000001</v>
      </c>
      <c r="H1897" s="384" t="s">
        <v>151</v>
      </c>
      <c r="I1897" s="385" t="s">
        <v>2428</v>
      </c>
      <c r="J1897" s="177" t="s">
        <v>96</v>
      </c>
      <c r="K1897" s="125" t="s">
        <v>1906</v>
      </c>
      <c r="L1897" s="177" t="s">
        <v>153</v>
      </c>
      <c r="M1897" s="371"/>
      <c r="N1897" s="371"/>
    </row>
    <row r="1898" spans="1:14" ht="15.6" hidden="1">
      <c r="A1898" s="353">
        <v>45896</v>
      </c>
      <c r="B1898" s="377" t="s">
        <v>2104</v>
      </c>
      <c r="C1898" s="299" t="s">
        <v>172</v>
      </c>
      <c r="D1898" s="299" t="s">
        <v>117</v>
      </c>
      <c r="E1898" s="377">
        <v>1000</v>
      </c>
      <c r="F1898" s="311">
        <f t="shared" si="20"/>
        <v>1.7827155035636482</v>
      </c>
      <c r="G1898" s="312">
        <v>560.94200000000001</v>
      </c>
      <c r="H1898" s="384" t="s">
        <v>151</v>
      </c>
      <c r="I1898" s="385" t="s">
        <v>2428</v>
      </c>
      <c r="J1898" s="177" t="s">
        <v>96</v>
      </c>
      <c r="K1898" s="125" t="s">
        <v>1906</v>
      </c>
      <c r="L1898" s="177" t="s">
        <v>153</v>
      </c>
      <c r="M1898" s="371"/>
      <c r="N1898" s="371"/>
    </row>
    <row r="1899" spans="1:14" ht="15.6" hidden="1">
      <c r="A1899" s="355">
        <v>45896</v>
      </c>
      <c r="B1899" s="376" t="s">
        <v>2422</v>
      </c>
      <c r="C1899" s="376" t="s">
        <v>172</v>
      </c>
      <c r="D1899" s="376" t="s">
        <v>115</v>
      </c>
      <c r="E1899" s="386">
        <v>500</v>
      </c>
      <c r="F1899" s="311">
        <f t="shared" si="20"/>
        <v>0.89135775178182408</v>
      </c>
      <c r="G1899" s="312">
        <v>560.94200000000001</v>
      </c>
      <c r="H1899" s="172" t="s">
        <v>198</v>
      </c>
      <c r="I1899" s="376" t="s">
        <v>2426</v>
      </c>
      <c r="J1899" s="177" t="s">
        <v>96</v>
      </c>
      <c r="K1899" s="125" t="s">
        <v>1906</v>
      </c>
      <c r="L1899" s="177" t="s">
        <v>153</v>
      </c>
      <c r="M1899" s="371"/>
      <c r="N1899" s="371"/>
    </row>
    <row r="1900" spans="1:14" ht="15.6" hidden="1">
      <c r="A1900" s="355">
        <v>45896</v>
      </c>
      <c r="B1900" s="376" t="s">
        <v>2406</v>
      </c>
      <c r="C1900" s="376" t="s">
        <v>172</v>
      </c>
      <c r="D1900" s="376" t="s">
        <v>115</v>
      </c>
      <c r="E1900" s="386">
        <v>500</v>
      </c>
      <c r="F1900" s="311">
        <f t="shared" ref="F1900:F1931" si="21">E1900/G1900</f>
        <v>0.89135775178182408</v>
      </c>
      <c r="G1900" s="312">
        <v>560.94200000000001</v>
      </c>
      <c r="H1900" s="172" t="s">
        <v>198</v>
      </c>
      <c r="I1900" s="376" t="s">
        <v>2426</v>
      </c>
      <c r="J1900" s="177" t="s">
        <v>96</v>
      </c>
      <c r="K1900" s="125" t="s">
        <v>1906</v>
      </c>
      <c r="L1900" s="177" t="s">
        <v>153</v>
      </c>
      <c r="M1900" s="371"/>
      <c r="N1900" s="371"/>
    </row>
    <row r="1901" spans="1:14" ht="15.6" hidden="1">
      <c r="A1901" s="362">
        <v>45896</v>
      </c>
      <c r="B1901" s="177" t="s">
        <v>2374</v>
      </c>
      <c r="C1901" s="177" t="s">
        <v>302</v>
      </c>
      <c r="D1901" s="177" t="s">
        <v>116</v>
      </c>
      <c r="E1901" s="324">
        <v>20000</v>
      </c>
      <c r="F1901" s="311">
        <f t="shared" si="21"/>
        <v>35.654310071272967</v>
      </c>
      <c r="G1901" s="312">
        <v>560.94200000000001</v>
      </c>
      <c r="H1901" s="177" t="s">
        <v>581</v>
      </c>
      <c r="I1901" s="177" t="s">
        <v>2375</v>
      </c>
      <c r="J1901" s="177" t="s">
        <v>96</v>
      </c>
      <c r="K1901" s="125" t="s">
        <v>1906</v>
      </c>
      <c r="L1901" s="177" t="s">
        <v>153</v>
      </c>
      <c r="M1901" s="371"/>
      <c r="N1901" s="371"/>
    </row>
    <row r="1902" spans="1:14" ht="15.6" hidden="1">
      <c r="A1902" s="362">
        <v>45896</v>
      </c>
      <c r="B1902" s="177" t="s">
        <v>2376</v>
      </c>
      <c r="C1902" s="177" t="s">
        <v>302</v>
      </c>
      <c r="D1902" s="177" t="s">
        <v>116</v>
      </c>
      <c r="E1902" s="324">
        <v>75625</v>
      </c>
      <c r="F1902" s="311">
        <f t="shared" si="21"/>
        <v>134.81785995700091</v>
      </c>
      <c r="G1902" s="312">
        <v>560.94200000000001</v>
      </c>
      <c r="H1902" s="177" t="s">
        <v>581</v>
      </c>
      <c r="I1902" s="177" t="s">
        <v>2377</v>
      </c>
      <c r="J1902" s="177" t="s">
        <v>96</v>
      </c>
      <c r="K1902" s="125" t="s">
        <v>1906</v>
      </c>
      <c r="L1902" s="177" t="s">
        <v>153</v>
      </c>
      <c r="M1902" s="371"/>
      <c r="N1902" s="371"/>
    </row>
    <row r="1903" spans="1:14" ht="15.6" hidden="1">
      <c r="A1903" s="362">
        <v>45896</v>
      </c>
      <c r="B1903" s="177" t="s">
        <v>2378</v>
      </c>
      <c r="C1903" s="177" t="s">
        <v>180</v>
      </c>
      <c r="D1903" s="177" t="s">
        <v>116</v>
      </c>
      <c r="E1903" s="324">
        <v>10020</v>
      </c>
      <c r="F1903" s="311">
        <f t="shared" si="21"/>
        <v>17.862809345707756</v>
      </c>
      <c r="G1903" s="312">
        <v>560.94200000000001</v>
      </c>
      <c r="H1903" s="177" t="s">
        <v>581</v>
      </c>
      <c r="I1903" s="177" t="s">
        <v>2379</v>
      </c>
      <c r="J1903" s="177" t="s">
        <v>96</v>
      </c>
      <c r="K1903" s="125" t="s">
        <v>1906</v>
      </c>
      <c r="L1903" s="177" t="s">
        <v>153</v>
      </c>
      <c r="M1903" s="371"/>
      <c r="N1903" s="371"/>
    </row>
    <row r="1904" spans="1:14" ht="15.6" hidden="1">
      <c r="A1904" s="357">
        <v>45896</v>
      </c>
      <c r="B1904" s="177" t="s">
        <v>4876</v>
      </c>
      <c r="C1904" s="177" t="s">
        <v>172</v>
      </c>
      <c r="D1904" s="177" t="s">
        <v>440</v>
      </c>
      <c r="E1904" s="177">
        <v>2000</v>
      </c>
      <c r="F1904" s="311">
        <f t="shared" si="21"/>
        <v>3.5654310071272963</v>
      </c>
      <c r="G1904" s="312">
        <v>560.94200000000001</v>
      </c>
      <c r="H1904" s="177" t="s">
        <v>315</v>
      </c>
      <c r="I1904" s="177" t="s">
        <v>2515</v>
      </c>
      <c r="J1904" s="177" t="s">
        <v>96</v>
      </c>
      <c r="K1904" s="125" t="s">
        <v>1906</v>
      </c>
      <c r="L1904" s="177" t="s">
        <v>153</v>
      </c>
      <c r="M1904" s="325"/>
      <c r="N1904" s="325"/>
    </row>
    <row r="1905" spans="1:14" ht="15.6" hidden="1">
      <c r="A1905" s="357">
        <v>45896</v>
      </c>
      <c r="B1905" s="177" t="s">
        <v>4876</v>
      </c>
      <c r="C1905" s="177" t="s">
        <v>172</v>
      </c>
      <c r="D1905" s="177" t="s">
        <v>440</v>
      </c>
      <c r="E1905" s="177">
        <v>2000</v>
      </c>
      <c r="F1905" s="311">
        <f t="shared" si="21"/>
        <v>3.5654310071272963</v>
      </c>
      <c r="G1905" s="312">
        <v>560.94200000000001</v>
      </c>
      <c r="H1905" s="177" t="s">
        <v>315</v>
      </c>
      <c r="I1905" s="177" t="s">
        <v>2515</v>
      </c>
      <c r="J1905" s="177" t="s">
        <v>96</v>
      </c>
      <c r="K1905" s="125" t="s">
        <v>1906</v>
      </c>
      <c r="L1905" s="177" t="s">
        <v>153</v>
      </c>
      <c r="M1905" s="325"/>
      <c r="N1905" s="325"/>
    </row>
    <row r="1906" spans="1:14" ht="15.6" hidden="1">
      <c r="A1906" s="357">
        <v>45896</v>
      </c>
      <c r="B1906" s="177" t="s">
        <v>4876</v>
      </c>
      <c r="C1906" s="177" t="s">
        <v>172</v>
      </c>
      <c r="D1906" s="177" t="s">
        <v>440</v>
      </c>
      <c r="E1906" s="177">
        <v>1000</v>
      </c>
      <c r="F1906" s="311">
        <f t="shared" si="21"/>
        <v>1.7827155035636482</v>
      </c>
      <c r="G1906" s="312">
        <v>560.94200000000001</v>
      </c>
      <c r="H1906" s="177" t="s">
        <v>315</v>
      </c>
      <c r="I1906" s="177" t="s">
        <v>2515</v>
      </c>
      <c r="J1906" s="177" t="s">
        <v>96</v>
      </c>
      <c r="K1906" s="125" t="s">
        <v>1906</v>
      </c>
      <c r="L1906" s="177" t="s">
        <v>153</v>
      </c>
      <c r="M1906" s="325"/>
      <c r="N1906" s="325"/>
    </row>
    <row r="1907" spans="1:14" ht="15.6" hidden="1">
      <c r="A1907" s="360">
        <v>45896</v>
      </c>
      <c r="B1907" s="177" t="s">
        <v>4876</v>
      </c>
      <c r="C1907" s="177" t="s">
        <v>172</v>
      </c>
      <c r="D1907" s="177" t="s">
        <v>440</v>
      </c>
      <c r="E1907" s="177">
        <v>1500</v>
      </c>
      <c r="F1907" s="311">
        <f t="shared" si="21"/>
        <v>2.6740732553454722</v>
      </c>
      <c r="G1907" s="312">
        <v>560.94200000000001</v>
      </c>
      <c r="H1907" s="177" t="s">
        <v>315</v>
      </c>
      <c r="I1907" s="177" t="s">
        <v>2515</v>
      </c>
      <c r="J1907" s="177" t="s">
        <v>96</v>
      </c>
      <c r="K1907" s="125" t="s">
        <v>1906</v>
      </c>
      <c r="L1907" s="177" t="s">
        <v>153</v>
      </c>
      <c r="M1907" s="325"/>
      <c r="N1907" s="325"/>
    </row>
    <row r="1908" spans="1:14" ht="15.6" hidden="1">
      <c r="A1908" s="360">
        <v>45896</v>
      </c>
      <c r="B1908" s="177" t="s">
        <v>2593</v>
      </c>
      <c r="C1908" s="177" t="s">
        <v>172</v>
      </c>
      <c r="D1908" s="177" t="s">
        <v>115</v>
      </c>
      <c r="E1908" s="324">
        <v>1000</v>
      </c>
      <c r="F1908" s="311">
        <f t="shared" si="21"/>
        <v>1.7827155035636482</v>
      </c>
      <c r="G1908" s="312">
        <v>560.94200000000001</v>
      </c>
      <c r="H1908" s="177" t="s">
        <v>191</v>
      </c>
      <c r="I1908" s="177" t="s">
        <v>2607</v>
      </c>
      <c r="J1908" s="177" t="s">
        <v>96</v>
      </c>
      <c r="K1908" s="125" t="s">
        <v>1906</v>
      </c>
      <c r="L1908" s="177" t="s">
        <v>153</v>
      </c>
      <c r="M1908" s="325"/>
      <c r="N1908" s="325"/>
    </row>
    <row r="1909" spans="1:14" ht="15.6" hidden="1">
      <c r="A1909" s="360">
        <v>45896</v>
      </c>
      <c r="B1909" s="177" t="s">
        <v>2595</v>
      </c>
      <c r="C1909" s="177" t="s">
        <v>172</v>
      </c>
      <c r="D1909" s="177" t="s">
        <v>115</v>
      </c>
      <c r="E1909" s="324">
        <v>1000</v>
      </c>
      <c r="F1909" s="311">
        <f t="shared" si="21"/>
        <v>1.7827155035636482</v>
      </c>
      <c r="G1909" s="312">
        <v>560.94200000000001</v>
      </c>
      <c r="H1909" s="177" t="s">
        <v>191</v>
      </c>
      <c r="I1909" s="177" t="s">
        <v>2607</v>
      </c>
      <c r="J1909" s="177" t="s">
        <v>96</v>
      </c>
      <c r="K1909" s="125" t="s">
        <v>1906</v>
      </c>
      <c r="L1909" s="177" t="s">
        <v>153</v>
      </c>
      <c r="M1909" s="325"/>
      <c r="N1909" s="325"/>
    </row>
    <row r="1910" spans="1:14" ht="15.6" hidden="1">
      <c r="A1910" s="362">
        <v>45896</v>
      </c>
      <c r="B1910" s="177" t="s">
        <v>2370</v>
      </c>
      <c r="C1910" s="177" t="s">
        <v>172</v>
      </c>
      <c r="D1910" s="177" t="s">
        <v>115</v>
      </c>
      <c r="E1910" s="324">
        <v>84000</v>
      </c>
      <c r="F1910" s="311">
        <f t="shared" si="21"/>
        <v>149.74810229934644</v>
      </c>
      <c r="G1910" s="312">
        <v>560.94200000000001</v>
      </c>
      <c r="H1910" s="177" t="s">
        <v>191</v>
      </c>
      <c r="I1910" s="177" t="s">
        <v>2371</v>
      </c>
      <c r="J1910" s="177" t="s">
        <v>96</v>
      </c>
      <c r="K1910" s="125" t="s">
        <v>1906</v>
      </c>
      <c r="L1910" s="177" t="s">
        <v>153</v>
      </c>
      <c r="M1910" s="325"/>
      <c r="N1910" s="325"/>
    </row>
    <row r="1911" spans="1:14" ht="15.6" hidden="1">
      <c r="A1911" s="362">
        <v>45896</v>
      </c>
      <c r="B1911" s="177" t="s">
        <v>2372</v>
      </c>
      <c r="C1911" s="177" t="s">
        <v>175</v>
      </c>
      <c r="D1911" s="177" t="s">
        <v>115</v>
      </c>
      <c r="E1911" s="324">
        <v>100000</v>
      </c>
      <c r="F1911" s="311">
        <f t="shared" si="21"/>
        <v>178.27155035636483</v>
      </c>
      <c r="G1911" s="312">
        <v>560.94200000000001</v>
      </c>
      <c r="H1911" s="177" t="s">
        <v>191</v>
      </c>
      <c r="I1911" s="177" t="s">
        <v>2373</v>
      </c>
      <c r="J1911" s="177" t="s">
        <v>96</v>
      </c>
      <c r="K1911" s="125" t="s">
        <v>1906</v>
      </c>
      <c r="L1911" s="177" t="s">
        <v>153</v>
      </c>
      <c r="M1911" s="325"/>
      <c r="N1911" s="325"/>
    </row>
    <row r="1912" spans="1:14" ht="15.6" hidden="1">
      <c r="A1912" s="360">
        <v>45896</v>
      </c>
      <c r="B1912" s="177" t="s">
        <v>2596</v>
      </c>
      <c r="C1912" s="177" t="s">
        <v>172</v>
      </c>
      <c r="D1912" s="177" t="s">
        <v>115</v>
      </c>
      <c r="E1912" s="324">
        <v>1000</v>
      </c>
      <c r="F1912" s="311">
        <f t="shared" si="21"/>
        <v>1.7827155035636482</v>
      </c>
      <c r="G1912" s="312">
        <v>560.94200000000001</v>
      </c>
      <c r="H1912" s="177" t="s">
        <v>191</v>
      </c>
      <c r="I1912" s="177" t="s">
        <v>2607</v>
      </c>
      <c r="J1912" s="177" t="s">
        <v>96</v>
      </c>
      <c r="K1912" s="125" t="s">
        <v>1906</v>
      </c>
      <c r="L1912" s="177" t="s">
        <v>153</v>
      </c>
      <c r="M1912" s="325"/>
      <c r="N1912" s="325"/>
    </row>
    <row r="1913" spans="1:14" ht="15.6" hidden="1">
      <c r="A1913" s="360">
        <v>45896</v>
      </c>
      <c r="B1913" s="177" t="s">
        <v>2597</v>
      </c>
      <c r="C1913" s="177" t="s">
        <v>172</v>
      </c>
      <c r="D1913" s="177" t="s">
        <v>115</v>
      </c>
      <c r="E1913" s="324">
        <v>1000</v>
      </c>
      <c r="F1913" s="311">
        <f t="shared" si="21"/>
        <v>1.7827155035636482</v>
      </c>
      <c r="G1913" s="312">
        <v>560.94200000000001</v>
      </c>
      <c r="H1913" s="177" t="s">
        <v>191</v>
      </c>
      <c r="I1913" s="177" t="s">
        <v>2607</v>
      </c>
      <c r="J1913" s="177" t="s">
        <v>96</v>
      </c>
      <c r="K1913" s="125" t="s">
        <v>1906</v>
      </c>
      <c r="L1913" s="177" t="s">
        <v>153</v>
      </c>
      <c r="M1913" s="325"/>
      <c r="N1913" s="325"/>
    </row>
    <row r="1914" spans="1:14" ht="15.6" hidden="1">
      <c r="A1914" s="356">
        <v>45896</v>
      </c>
      <c r="B1914" s="177" t="s">
        <v>2652</v>
      </c>
      <c r="C1914" s="377" t="s">
        <v>194</v>
      </c>
      <c r="D1914" s="377" t="s">
        <v>115</v>
      </c>
      <c r="E1914" s="351">
        <v>500</v>
      </c>
      <c r="F1914" s="311">
        <f t="shared" si="21"/>
        <v>0.89135775178182408</v>
      </c>
      <c r="G1914" s="312">
        <v>560.94200000000001</v>
      </c>
      <c r="H1914" s="252" t="s">
        <v>195</v>
      </c>
      <c r="I1914" s="177" t="s">
        <v>2667</v>
      </c>
      <c r="J1914" s="177" t="s">
        <v>96</v>
      </c>
      <c r="K1914" s="125" t="s">
        <v>1906</v>
      </c>
      <c r="L1914" s="177" t="s">
        <v>153</v>
      </c>
      <c r="M1914" s="325"/>
      <c r="N1914" s="325"/>
    </row>
    <row r="1915" spans="1:14" ht="15.6" hidden="1">
      <c r="A1915" s="356">
        <v>45896</v>
      </c>
      <c r="B1915" s="177" t="s">
        <v>2648</v>
      </c>
      <c r="C1915" s="177" t="s">
        <v>311</v>
      </c>
      <c r="D1915" s="377" t="s">
        <v>115</v>
      </c>
      <c r="E1915" s="351">
        <v>1500</v>
      </c>
      <c r="F1915" s="311">
        <f t="shared" si="21"/>
        <v>2.6740732553454722</v>
      </c>
      <c r="G1915" s="312">
        <v>560.94200000000001</v>
      </c>
      <c r="H1915" s="252" t="s">
        <v>195</v>
      </c>
      <c r="I1915" s="177" t="s">
        <v>2676</v>
      </c>
      <c r="J1915" s="177" t="s">
        <v>96</v>
      </c>
      <c r="K1915" s="125" t="s">
        <v>1906</v>
      </c>
      <c r="L1915" s="177" t="s">
        <v>153</v>
      </c>
      <c r="M1915" s="325"/>
      <c r="N1915" s="325"/>
    </row>
    <row r="1916" spans="1:14" ht="15.6" hidden="1">
      <c r="A1916" s="356">
        <v>45896</v>
      </c>
      <c r="B1916" s="177" t="s">
        <v>2646</v>
      </c>
      <c r="C1916" s="377" t="s">
        <v>194</v>
      </c>
      <c r="D1916" s="377" t="s">
        <v>115</v>
      </c>
      <c r="E1916" s="351">
        <v>500</v>
      </c>
      <c r="F1916" s="311">
        <f t="shared" si="21"/>
        <v>0.89135775178182408</v>
      </c>
      <c r="G1916" s="312">
        <v>560.94200000000001</v>
      </c>
      <c r="H1916" s="252" t="s">
        <v>195</v>
      </c>
      <c r="I1916" s="177" t="s">
        <v>2667</v>
      </c>
      <c r="J1916" s="177" t="s">
        <v>96</v>
      </c>
      <c r="K1916" s="125" t="s">
        <v>1906</v>
      </c>
      <c r="L1916" s="177" t="s">
        <v>153</v>
      </c>
      <c r="M1916" s="325"/>
      <c r="N1916" s="325"/>
    </row>
    <row r="1917" spans="1:14" ht="15.6" hidden="1">
      <c r="A1917" s="356">
        <v>45896</v>
      </c>
      <c r="B1917" s="177" t="s">
        <v>2653</v>
      </c>
      <c r="C1917" s="377" t="s">
        <v>194</v>
      </c>
      <c r="D1917" s="377" t="s">
        <v>115</v>
      </c>
      <c r="E1917" s="351">
        <v>500</v>
      </c>
      <c r="F1917" s="311">
        <f t="shared" si="21"/>
        <v>0.89135775178182408</v>
      </c>
      <c r="G1917" s="312">
        <v>560.94200000000001</v>
      </c>
      <c r="H1917" s="252" t="s">
        <v>195</v>
      </c>
      <c r="I1917" s="177" t="s">
        <v>2667</v>
      </c>
      <c r="J1917" s="177" t="s">
        <v>96</v>
      </c>
      <c r="K1917" s="125" t="s">
        <v>1906</v>
      </c>
      <c r="L1917" s="177" t="s">
        <v>153</v>
      </c>
      <c r="M1917" s="325"/>
      <c r="N1917" s="325"/>
    </row>
    <row r="1918" spans="1:14" ht="15.6" hidden="1">
      <c r="A1918" s="356">
        <v>45896</v>
      </c>
      <c r="B1918" s="177" t="s">
        <v>2654</v>
      </c>
      <c r="C1918" s="377" t="s">
        <v>194</v>
      </c>
      <c r="D1918" s="377" t="s">
        <v>115</v>
      </c>
      <c r="E1918" s="351">
        <v>500</v>
      </c>
      <c r="F1918" s="311">
        <f t="shared" si="21"/>
        <v>0.89135775178182408</v>
      </c>
      <c r="G1918" s="312">
        <v>560.94200000000001</v>
      </c>
      <c r="H1918" s="252" t="s">
        <v>195</v>
      </c>
      <c r="I1918" s="177" t="s">
        <v>2667</v>
      </c>
      <c r="J1918" s="177" t="s">
        <v>96</v>
      </c>
      <c r="K1918" s="125" t="s">
        <v>1906</v>
      </c>
      <c r="L1918" s="177" t="s">
        <v>153</v>
      </c>
      <c r="M1918" s="325"/>
      <c r="N1918" s="325"/>
    </row>
    <row r="1919" spans="1:14" ht="15.6" hidden="1">
      <c r="A1919" s="356">
        <v>45896</v>
      </c>
      <c r="B1919" s="177" t="s">
        <v>2655</v>
      </c>
      <c r="C1919" s="377" t="s">
        <v>194</v>
      </c>
      <c r="D1919" s="377" t="s">
        <v>115</v>
      </c>
      <c r="E1919" s="351">
        <v>500</v>
      </c>
      <c r="F1919" s="311">
        <f t="shared" si="21"/>
        <v>0.89135775178182408</v>
      </c>
      <c r="G1919" s="312">
        <v>560.94200000000001</v>
      </c>
      <c r="H1919" s="252" t="s">
        <v>195</v>
      </c>
      <c r="I1919" s="177" t="s">
        <v>2667</v>
      </c>
      <c r="J1919" s="177" t="s">
        <v>96</v>
      </c>
      <c r="K1919" s="125" t="s">
        <v>1906</v>
      </c>
      <c r="L1919" s="177" t="s">
        <v>153</v>
      </c>
      <c r="M1919" s="325"/>
      <c r="N1919" s="325"/>
    </row>
    <row r="1920" spans="1:14" ht="15.6" hidden="1">
      <c r="A1920" s="356">
        <v>45896</v>
      </c>
      <c r="B1920" s="177" t="s">
        <v>2656</v>
      </c>
      <c r="C1920" s="377" t="s">
        <v>194</v>
      </c>
      <c r="D1920" s="377" t="s">
        <v>115</v>
      </c>
      <c r="E1920" s="351">
        <v>500</v>
      </c>
      <c r="F1920" s="311">
        <f t="shared" si="21"/>
        <v>0.89135775178182408</v>
      </c>
      <c r="G1920" s="312">
        <v>560.94200000000001</v>
      </c>
      <c r="H1920" s="252" t="s">
        <v>195</v>
      </c>
      <c r="I1920" s="177" t="s">
        <v>2667</v>
      </c>
      <c r="J1920" s="177" t="s">
        <v>96</v>
      </c>
      <c r="K1920" s="125" t="s">
        <v>1906</v>
      </c>
      <c r="L1920" s="177" t="s">
        <v>153</v>
      </c>
      <c r="M1920" s="325"/>
      <c r="N1920" s="325"/>
    </row>
    <row r="1921" spans="1:14" ht="15.6" hidden="1">
      <c r="A1921" s="356">
        <v>45896</v>
      </c>
      <c r="B1921" s="177" t="s">
        <v>2657</v>
      </c>
      <c r="C1921" s="377" t="s">
        <v>194</v>
      </c>
      <c r="D1921" s="377" t="s">
        <v>115</v>
      </c>
      <c r="E1921" s="351">
        <v>500</v>
      </c>
      <c r="F1921" s="311">
        <f t="shared" si="21"/>
        <v>0.89135775178182408</v>
      </c>
      <c r="G1921" s="312">
        <v>560.94200000000001</v>
      </c>
      <c r="H1921" s="252" t="s">
        <v>195</v>
      </c>
      <c r="I1921" s="177" t="s">
        <v>2667</v>
      </c>
      <c r="J1921" s="177" t="s">
        <v>96</v>
      </c>
      <c r="K1921" s="125" t="s">
        <v>1906</v>
      </c>
      <c r="L1921" s="177" t="s">
        <v>153</v>
      </c>
      <c r="M1921" s="325"/>
      <c r="N1921" s="325"/>
    </row>
    <row r="1922" spans="1:14" ht="15.6" hidden="1">
      <c r="A1922" s="356">
        <v>45896</v>
      </c>
      <c r="B1922" s="177" t="s">
        <v>2645</v>
      </c>
      <c r="C1922" s="177" t="s">
        <v>311</v>
      </c>
      <c r="D1922" s="377" t="s">
        <v>115</v>
      </c>
      <c r="E1922" s="351">
        <v>1500</v>
      </c>
      <c r="F1922" s="311">
        <f t="shared" si="21"/>
        <v>2.6740732553454722</v>
      </c>
      <c r="G1922" s="312">
        <v>560.94200000000001</v>
      </c>
      <c r="H1922" s="252" t="s">
        <v>195</v>
      </c>
      <c r="I1922" s="177" t="s">
        <v>2676</v>
      </c>
      <c r="J1922" s="177" t="s">
        <v>96</v>
      </c>
      <c r="K1922" s="125" t="s">
        <v>1906</v>
      </c>
      <c r="L1922" s="177" t="s">
        <v>153</v>
      </c>
      <c r="M1922" s="325"/>
      <c r="N1922" s="325"/>
    </row>
    <row r="1923" spans="1:14" ht="15.6" hidden="1">
      <c r="A1923" s="356">
        <v>45896</v>
      </c>
      <c r="B1923" s="177" t="s">
        <v>2646</v>
      </c>
      <c r="C1923" s="377" t="s">
        <v>194</v>
      </c>
      <c r="D1923" s="377" t="s">
        <v>115</v>
      </c>
      <c r="E1923" s="351">
        <v>500</v>
      </c>
      <c r="F1923" s="311">
        <f t="shared" si="21"/>
        <v>0.89135775178182408</v>
      </c>
      <c r="G1923" s="312">
        <v>560.94200000000001</v>
      </c>
      <c r="H1923" s="252" t="s">
        <v>195</v>
      </c>
      <c r="I1923" s="177" t="s">
        <v>2667</v>
      </c>
      <c r="J1923" s="177" t="s">
        <v>96</v>
      </c>
      <c r="K1923" s="125" t="s">
        <v>1906</v>
      </c>
      <c r="L1923" s="177" t="s">
        <v>153</v>
      </c>
      <c r="M1923" s="325"/>
      <c r="N1923" s="325"/>
    </row>
    <row r="1924" spans="1:14" ht="15.6" hidden="1">
      <c r="A1924" s="357">
        <v>45896</v>
      </c>
      <c r="B1924" s="177" t="s">
        <v>2689</v>
      </c>
      <c r="C1924" s="177" t="s">
        <v>172</v>
      </c>
      <c r="D1924" s="177" t="s">
        <v>118</v>
      </c>
      <c r="E1924" s="351">
        <v>500</v>
      </c>
      <c r="F1924" s="311">
        <f t="shared" si="21"/>
        <v>0.89135775178182408</v>
      </c>
      <c r="G1924" s="312">
        <v>560.94200000000001</v>
      </c>
      <c r="H1924" s="177" t="s">
        <v>211</v>
      </c>
      <c r="I1924" s="177" t="s">
        <v>2699</v>
      </c>
      <c r="J1924" s="177" t="s">
        <v>96</v>
      </c>
      <c r="K1924" s="125" t="s">
        <v>1906</v>
      </c>
      <c r="L1924" s="177" t="s">
        <v>153</v>
      </c>
      <c r="M1924" s="325"/>
      <c r="N1924" s="325"/>
    </row>
    <row r="1925" spans="1:14" ht="15.6" hidden="1">
      <c r="A1925" s="357">
        <v>45896</v>
      </c>
      <c r="B1925" s="177" t="s">
        <v>2692</v>
      </c>
      <c r="C1925" s="177" t="s">
        <v>172</v>
      </c>
      <c r="D1925" s="177" t="s">
        <v>118</v>
      </c>
      <c r="E1925" s="351">
        <v>500</v>
      </c>
      <c r="F1925" s="311">
        <f t="shared" si="21"/>
        <v>0.89135775178182408</v>
      </c>
      <c r="G1925" s="312">
        <v>560.94200000000001</v>
      </c>
      <c r="H1925" s="177" t="s">
        <v>211</v>
      </c>
      <c r="I1925" s="177" t="s">
        <v>2699</v>
      </c>
      <c r="J1925" s="177" t="s">
        <v>96</v>
      </c>
      <c r="K1925" s="125" t="s">
        <v>1906</v>
      </c>
      <c r="L1925" s="177" t="s">
        <v>153</v>
      </c>
      <c r="M1925" s="325"/>
      <c r="N1925" s="325"/>
    </row>
    <row r="1926" spans="1:14" ht="15.6" hidden="1">
      <c r="A1926" s="360">
        <v>45897</v>
      </c>
      <c r="B1926" s="177" t="s">
        <v>2594</v>
      </c>
      <c r="C1926" s="177" t="s">
        <v>172</v>
      </c>
      <c r="D1926" s="177" t="s">
        <v>115</v>
      </c>
      <c r="E1926" s="324">
        <v>37000</v>
      </c>
      <c r="F1926" s="311">
        <f t="shared" si="21"/>
        <v>65.960473631854981</v>
      </c>
      <c r="G1926" s="312">
        <v>560.94200000000001</v>
      </c>
      <c r="H1926" s="177" t="s">
        <v>191</v>
      </c>
      <c r="I1926" s="177" t="s">
        <v>2616</v>
      </c>
      <c r="J1926" s="177" t="s">
        <v>96</v>
      </c>
      <c r="K1926" s="125" t="s">
        <v>1906</v>
      </c>
      <c r="L1926" s="177" t="s">
        <v>153</v>
      </c>
      <c r="M1926" s="325"/>
      <c r="N1926" s="325"/>
    </row>
    <row r="1927" spans="1:14" ht="15.6" hidden="1">
      <c r="A1927" s="353">
        <v>45897</v>
      </c>
      <c r="B1927" s="377" t="s">
        <v>2103</v>
      </c>
      <c r="C1927" s="299" t="s">
        <v>172</v>
      </c>
      <c r="D1927" s="299" t="s">
        <v>117</v>
      </c>
      <c r="E1927" s="377">
        <v>1000</v>
      </c>
      <c r="F1927" s="311">
        <f t="shared" si="21"/>
        <v>1.7827155035636482</v>
      </c>
      <c r="G1927" s="312">
        <v>560.94200000000001</v>
      </c>
      <c r="H1927" s="384" t="s">
        <v>151</v>
      </c>
      <c r="I1927" s="385" t="s">
        <v>2428</v>
      </c>
      <c r="J1927" s="177" t="s">
        <v>96</v>
      </c>
      <c r="K1927" s="125" t="s">
        <v>1906</v>
      </c>
      <c r="L1927" s="177" t="s">
        <v>153</v>
      </c>
      <c r="M1927" s="371"/>
      <c r="N1927" s="371"/>
    </row>
    <row r="1928" spans="1:14" ht="15.6" hidden="1">
      <c r="A1928" s="353">
        <v>45897</v>
      </c>
      <c r="B1928" s="377" t="s">
        <v>2112</v>
      </c>
      <c r="C1928" s="299" t="s">
        <v>172</v>
      </c>
      <c r="D1928" s="299" t="s">
        <v>117</v>
      </c>
      <c r="E1928" s="377">
        <v>1000</v>
      </c>
      <c r="F1928" s="311">
        <f t="shared" si="21"/>
        <v>1.7827155035636482</v>
      </c>
      <c r="G1928" s="312">
        <v>560.94200000000001</v>
      </c>
      <c r="H1928" s="384" t="s">
        <v>151</v>
      </c>
      <c r="I1928" s="385" t="s">
        <v>2428</v>
      </c>
      <c r="J1928" s="177" t="s">
        <v>96</v>
      </c>
      <c r="K1928" s="125" t="s">
        <v>1906</v>
      </c>
      <c r="L1928" s="177" t="s">
        <v>153</v>
      </c>
      <c r="M1928" s="371"/>
      <c r="N1928" s="371"/>
    </row>
    <row r="1929" spans="1:14" ht="15.6" hidden="1">
      <c r="A1929" s="353">
        <v>45897</v>
      </c>
      <c r="B1929" s="377" t="s">
        <v>2113</v>
      </c>
      <c r="C1929" s="299" t="s">
        <v>172</v>
      </c>
      <c r="D1929" s="299" t="s">
        <v>117</v>
      </c>
      <c r="E1929" s="377">
        <v>1000</v>
      </c>
      <c r="F1929" s="311">
        <f t="shared" si="21"/>
        <v>1.7827155035636482</v>
      </c>
      <c r="G1929" s="312">
        <v>560.94200000000001</v>
      </c>
      <c r="H1929" s="384" t="s">
        <v>151</v>
      </c>
      <c r="I1929" s="385" t="s">
        <v>2428</v>
      </c>
      <c r="J1929" s="177" t="s">
        <v>96</v>
      </c>
      <c r="K1929" s="125" t="s">
        <v>1906</v>
      </c>
      <c r="L1929" s="177" t="s">
        <v>153</v>
      </c>
      <c r="M1929" s="371"/>
      <c r="N1929" s="371"/>
    </row>
    <row r="1930" spans="1:14" ht="15.6" hidden="1">
      <c r="A1930" s="353">
        <v>45897</v>
      </c>
      <c r="B1930" s="377" t="s">
        <v>2104</v>
      </c>
      <c r="C1930" s="299" t="s">
        <v>172</v>
      </c>
      <c r="D1930" s="299" t="s">
        <v>117</v>
      </c>
      <c r="E1930" s="377">
        <v>1000</v>
      </c>
      <c r="F1930" s="311">
        <f t="shared" si="21"/>
        <v>1.7827155035636482</v>
      </c>
      <c r="G1930" s="312">
        <v>560.94200000000001</v>
      </c>
      <c r="H1930" s="384" t="s">
        <v>151</v>
      </c>
      <c r="I1930" s="385" t="s">
        <v>2428</v>
      </c>
      <c r="J1930" s="177" t="s">
        <v>96</v>
      </c>
      <c r="K1930" s="125" t="s">
        <v>1906</v>
      </c>
      <c r="L1930" s="177" t="s">
        <v>153</v>
      </c>
      <c r="M1930" s="371"/>
      <c r="N1930" s="371"/>
    </row>
    <row r="1931" spans="1:14" ht="15.6" hidden="1">
      <c r="A1931" s="355">
        <v>45897</v>
      </c>
      <c r="B1931" s="376" t="s">
        <v>2422</v>
      </c>
      <c r="C1931" s="376" t="s">
        <v>172</v>
      </c>
      <c r="D1931" s="376" t="s">
        <v>115</v>
      </c>
      <c r="E1931" s="386">
        <v>500</v>
      </c>
      <c r="F1931" s="311">
        <f t="shared" si="21"/>
        <v>0.89135775178182408</v>
      </c>
      <c r="G1931" s="312">
        <v>560.94200000000001</v>
      </c>
      <c r="H1931" s="172" t="s">
        <v>198</v>
      </c>
      <c r="I1931" s="376" t="s">
        <v>2426</v>
      </c>
      <c r="J1931" s="177" t="s">
        <v>96</v>
      </c>
      <c r="K1931" s="125" t="s">
        <v>1906</v>
      </c>
      <c r="L1931" s="177" t="s">
        <v>153</v>
      </c>
      <c r="M1931" s="371"/>
      <c r="N1931" s="371"/>
    </row>
    <row r="1932" spans="1:14" ht="15.6" hidden="1">
      <c r="A1932" s="355">
        <v>45897</v>
      </c>
      <c r="B1932" s="376" t="s">
        <v>2421</v>
      </c>
      <c r="C1932" s="376" t="s">
        <v>172</v>
      </c>
      <c r="D1932" s="376" t="s">
        <v>115</v>
      </c>
      <c r="E1932" s="386">
        <v>500</v>
      </c>
      <c r="F1932" s="311">
        <f t="shared" ref="F1932:F1963" si="22">E1932/G1932</f>
        <v>0.89135775178182408</v>
      </c>
      <c r="G1932" s="312">
        <v>560.94200000000001</v>
      </c>
      <c r="H1932" s="172" t="s">
        <v>198</v>
      </c>
      <c r="I1932" s="376" t="s">
        <v>2426</v>
      </c>
      <c r="J1932" s="177" t="s">
        <v>96</v>
      </c>
      <c r="K1932" s="125" t="s">
        <v>1906</v>
      </c>
      <c r="L1932" s="177" t="s">
        <v>153</v>
      </c>
      <c r="M1932" s="371"/>
      <c r="N1932" s="371"/>
    </row>
    <row r="1933" spans="1:14" ht="15.6" hidden="1">
      <c r="A1933" s="237">
        <v>45897</v>
      </c>
      <c r="B1933" s="172" t="s">
        <v>4895</v>
      </c>
      <c r="C1933" s="172" t="s">
        <v>172</v>
      </c>
      <c r="D1933" s="177" t="s">
        <v>440</v>
      </c>
      <c r="E1933" s="172">
        <v>500</v>
      </c>
      <c r="F1933" s="311">
        <f t="shared" si="22"/>
        <v>0.89135775178182408</v>
      </c>
      <c r="G1933" s="312">
        <v>560.94200000000001</v>
      </c>
      <c r="H1933" s="172" t="s">
        <v>182</v>
      </c>
      <c r="I1933" s="172" t="s">
        <v>2477</v>
      </c>
      <c r="J1933" s="177" t="s">
        <v>96</v>
      </c>
      <c r="K1933" s="125" t="s">
        <v>1906</v>
      </c>
      <c r="L1933" s="177" t="s">
        <v>153</v>
      </c>
      <c r="M1933" s="325"/>
      <c r="N1933" s="325"/>
    </row>
    <row r="1934" spans="1:14" ht="15.6" hidden="1">
      <c r="A1934" s="237">
        <v>45897</v>
      </c>
      <c r="B1934" s="172" t="s">
        <v>4900</v>
      </c>
      <c r="C1934" s="172" t="s">
        <v>172</v>
      </c>
      <c r="D1934" s="177" t="s">
        <v>440</v>
      </c>
      <c r="E1934" s="172">
        <v>500</v>
      </c>
      <c r="F1934" s="311">
        <f t="shared" si="22"/>
        <v>0.89135775178182408</v>
      </c>
      <c r="G1934" s="312">
        <v>560.94200000000001</v>
      </c>
      <c r="H1934" s="172" t="s">
        <v>182</v>
      </c>
      <c r="I1934" s="172" t="s">
        <v>2477</v>
      </c>
      <c r="J1934" s="177" t="s">
        <v>96</v>
      </c>
      <c r="K1934" s="125" t="s">
        <v>1906</v>
      </c>
      <c r="L1934" s="177" t="s">
        <v>153</v>
      </c>
      <c r="M1934" s="325"/>
      <c r="N1934" s="325"/>
    </row>
    <row r="1935" spans="1:14" ht="15.6" hidden="1">
      <c r="A1935" s="237">
        <v>45897</v>
      </c>
      <c r="B1935" s="172" t="s">
        <v>4880</v>
      </c>
      <c r="C1935" s="172" t="s">
        <v>172</v>
      </c>
      <c r="D1935" s="177" t="s">
        <v>440</v>
      </c>
      <c r="E1935" s="172">
        <v>500</v>
      </c>
      <c r="F1935" s="311">
        <f t="shared" si="22"/>
        <v>0.89135775178182408</v>
      </c>
      <c r="G1935" s="312">
        <v>560.94200000000001</v>
      </c>
      <c r="H1935" s="172" t="s">
        <v>182</v>
      </c>
      <c r="I1935" s="172" t="s">
        <v>2477</v>
      </c>
      <c r="J1935" s="177" t="s">
        <v>96</v>
      </c>
      <c r="K1935" s="125" t="s">
        <v>1906</v>
      </c>
      <c r="L1935" s="177" t="s">
        <v>153</v>
      </c>
      <c r="M1935" s="325"/>
      <c r="N1935" s="325"/>
    </row>
    <row r="1936" spans="1:14" ht="15.6" hidden="1">
      <c r="A1936" s="357">
        <v>45897</v>
      </c>
      <c r="B1936" s="177" t="s">
        <v>4930</v>
      </c>
      <c r="C1936" s="177" t="s">
        <v>172</v>
      </c>
      <c r="D1936" s="177" t="s">
        <v>440</v>
      </c>
      <c r="E1936" s="351">
        <v>1000</v>
      </c>
      <c r="F1936" s="311">
        <f t="shared" si="22"/>
        <v>1.7827155035636482</v>
      </c>
      <c r="G1936" s="312">
        <v>560.94200000000001</v>
      </c>
      <c r="H1936" s="177" t="s">
        <v>321</v>
      </c>
      <c r="I1936" s="177" t="s">
        <v>2532</v>
      </c>
      <c r="J1936" s="177" t="s">
        <v>96</v>
      </c>
      <c r="K1936" s="125" t="s">
        <v>1906</v>
      </c>
      <c r="L1936" s="177" t="s">
        <v>153</v>
      </c>
      <c r="M1936" s="325"/>
      <c r="N1936" s="325"/>
    </row>
    <row r="1937" spans="1:14" ht="15.6" hidden="1">
      <c r="A1937" s="357">
        <v>45897</v>
      </c>
      <c r="B1937" s="177" t="s">
        <v>4912</v>
      </c>
      <c r="C1937" s="177" t="s">
        <v>172</v>
      </c>
      <c r="D1937" s="177" t="s">
        <v>440</v>
      </c>
      <c r="E1937" s="351">
        <v>1000</v>
      </c>
      <c r="F1937" s="311">
        <f t="shared" si="22"/>
        <v>1.7827155035636482</v>
      </c>
      <c r="G1937" s="312">
        <v>560.94200000000001</v>
      </c>
      <c r="H1937" s="177" t="s">
        <v>321</v>
      </c>
      <c r="I1937" s="177" t="s">
        <v>2532</v>
      </c>
      <c r="J1937" s="177" t="s">
        <v>96</v>
      </c>
      <c r="K1937" s="125" t="s">
        <v>1906</v>
      </c>
      <c r="L1937" s="177" t="s">
        <v>153</v>
      </c>
      <c r="M1937" s="325"/>
      <c r="N1937" s="325"/>
    </row>
    <row r="1938" spans="1:14" ht="15.6" hidden="1">
      <c r="A1938" s="360">
        <v>45897</v>
      </c>
      <c r="B1938" s="177" t="s">
        <v>4931</v>
      </c>
      <c r="C1938" s="177" t="s">
        <v>172</v>
      </c>
      <c r="D1938" s="177" t="s">
        <v>440</v>
      </c>
      <c r="E1938" s="351">
        <v>1000</v>
      </c>
      <c r="F1938" s="311">
        <f t="shared" si="22"/>
        <v>1.7827155035636482</v>
      </c>
      <c r="G1938" s="312">
        <v>560.94200000000001</v>
      </c>
      <c r="H1938" s="177" t="s">
        <v>321</v>
      </c>
      <c r="I1938" s="177" t="s">
        <v>2532</v>
      </c>
      <c r="J1938" s="177" t="s">
        <v>96</v>
      </c>
      <c r="K1938" s="125" t="s">
        <v>1906</v>
      </c>
      <c r="L1938" s="177" t="s">
        <v>153</v>
      </c>
      <c r="M1938" s="325"/>
      <c r="N1938" s="325"/>
    </row>
    <row r="1939" spans="1:14" ht="15.6" hidden="1">
      <c r="A1939" s="360">
        <v>45897</v>
      </c>
      <c r="B1939" s="177" t="s">
        <v>4932</v>
      </c>
      <c r="C1939" s="177" t="s">
        <v>172</v>
      </c>
      <c r="D1939" s="177" t="s">
        <v>440</v>
      </c>
      <c r="E1939" s="351">
        <v>1000</v>
      </c>
      <c r="F1939" s="311">
        <f t="shared" si="22"/>
        <v>1.7827155035636482</v>
      </c>
      <c r="G1939" s="312">
        <v>560.94200000000001</v>
      </c>
      <c r="H1939" s="177" t="s">
        <v>321</v>
      </c>
      <c r="I1939" s="177" t="s">
        <v>2532</v>
      </c>
      <c r="J1939" s="177" t="s">
        <v>96</v>
      </c>
      <c r="K1939" s="125" t="s">
        <v>1906</v>
      </c>
      <c r="L1939" s="177" t="s">
        <v>153</v>
      </c>
      <c r="M1939" s="325"/>
      <c r="N1939" s="325"/>
    </row>
    <row r="1940" spans="1:14" ht="15.6" hidden="1">
      <c r="A1940" s="360">
        <v>45897</v>
      </c>
      <c r="B1940" s="177" t="s">
        <v>2598</v>
      </c>
      <c r="C1940" s="177" t="s">
        <v>172</v>
      </c>
      <c r="D1940" s="177" t="s">
        <v>115</v>
      </c>
      <c r="E1940" s="324">
        <v>1000</v>
      </c>
      <c r="F1940" s="311">
        <f t="shared" si="22"/>
        <v>1.7827155035636482</v>
      </c>
      <c r="G1940" s="312">
        <v>560.94200000000001</v>
      </c>
      <c r="H1940" s="177" t="s">
        <v>191</v>
      </c>
      <c r="I1940" s="177" t="s">
        <v>2607</v>
      </c>
      <c r="J1940" s="177" t="s">
        <v>96</v>
      </c>
      <c r="K1940" s="125" t="s">
        <v>1906</v>
      </c>
      <c r="L1940" s="177" t="s">
        <v>153</v>
      </c>
      <c r="M1940" s="325"/>
      <c r="N1940" s="325"/>
    </row>
    <row r="1941" spans="1:14" ht="15.6" hidden="1">
      <c r="A1941" s="360">
        <v>45897</v>
      </c>
      <c r="B1941" s="177" t="s">
        <v>2599</v>
      </c>
      <c r="C1941" s="177" t="s">
        <v>172</v>
      </c>
      <c r="D1941" s="177" t="s">
        <v>115</v>
      </c>
      <c r="E1941" s="324">
        <v>500</v>
      </c>
      <c r="F1941" s="311">
        <f t="shared" si="22"/>
        <v>0.89135775178182408</v>
      </c>
      <c r="G1941" s="312">
        <v>560.94200000000001</v>
      </c>
      <c r="H1941" s="177" t="s">
        <v>191</v>
      </c>
      <c r="I1941" s="177" t="s">
        <v>2607</v>
      </c>
      <c r="J1941" s="177" t="s">
        <v>96</v>
      </c>
      <c r="K1941" s="125" t="s">
        <v>1906</v>
      </c>
      <c r="L1941" s="177" t="s">
        <v>153</v>
      </c>
      <c r="M1941" s="325"/>
      <c r="N1941" s="325"/>
    </row>
    <row r="1942" spans="1:14" ht="15.6" hidden="1">
      <c r="A1942" s="360">
        <v>45897</v>
      </c>
      <c r="B1942" s="177" t="s">
        <v>2600</v>
      </c>
      <c r="C1942" s="177" t="s">
        <v>175</v>
      </c>
      <c r="D1942" s="177" t="s">
        <v>115</v>
      </c>
      <c r="E1942" s="324">
        <v>40000</v>
      </c>
      <c r="F1942" s="311">
        <f t="shared" si="22"/>
        <v>71.308620142545934</v>
      </c>
      <c r="G1942" s="312">
        <v>560.94200000000001</v>
      </c>
      <c r="H1942" s="177" t="s">
        <v>191</v>
      </c>
      <c r="I1942" s="177" t="s">
        <v>2617</v>
      </c>
      <c r="J1942" s="177" t="s">
        <v>96</v>
      </c>
      <c r="K1942" s="125" t="s">
        <v>1906</v>
      </c>
      <c r="L1942" s="177" t="s">
        <v>153</v>
      </c>
      <c r="M1942" s="325"/>
      <c r="N1942" s="325"/>
    </row>
    <row r="1943" spans="1:14" ht="15.6" hidden="1">
      <c r="A1943" s="356">
        <v>45897</v>
      </c>
      <c r="B1943" s="177" t="s">
        <v>2658</v>
      </c>
      <c r="C1943" s="377" t="s">
        <v>194</v>
      </c>
      <c r="D1943" s="377" t="s">
        <v>115</v>
      </c>
      <c r="E1943" s="351">
        <v>500</v>
      </c>
      <c r="F1943" s="311">
        <f t="shared" si="22"/>
        <v>0.89135775178182408</v>
      </c>
      <c r="G1943" s="312">
        <v>560.94200000000001</v>
      </c>
      <c r="H1943" s="252" t="s">
        <v>195</v>
      </c>
      <c r="I1943" s="177" t="s">
        <v>2667</v>
      </c>
      <c r="J1943" s="177" t="s">
        <v>96</v>
      </c>
      <c r="K1943" s="125" t="s">
        <v>1906</v>
      </c>
      <c r="L1943" s="177" t="s">
        <v>153</v>
      </c>
      <c r="M1943" s="325"/>
      <c r="N1943" s="325"/>
    </row>
    <row r="1944" spans="1:14" ht="15.6" hidden="1">
      <c r="A1944" s="356">
        <v>45897</v>
      </c>
      <c r="B1944" s="177" t="s">
        <v>2648</v>
      </c>
      <c r="C1944" s="177" t="s">
        <v>311</v>
      </c>
      <c r="D1944" s="377" t="s">
        <v>115</v>
      </c>
      <c r="E1944" s="351">
        <v>1500</v>
      </c>
      <c r="F1944" s="311">
        <f t="shared" si="22"/>
        <v>2.6740732553454722</v>
      </c>
      <c r="G1944" s="312">
        <v>560.94200000000001</v>
      </c>
      <c r="H1944" s="252" t="s">
        <v>195</v>
      </c>
      <c r="I1944" s="177" t="s">
        <v>2676</v>
      </c>
      <c r="J1944" s="177" t="s">
        <v>96</v>
      </c>
      <c r="K1944" s="125" t="s">
        <v>1906</v>
      </c>
      <c r="L1944" s="177" t="s">
        <v>153</v>
      </c>
      <c r="M1944" s="325"/>
      <c r="N1944" s="325"/>
    </row>
    <row r="1945" spans="1:14" ht="15.6" hidden="1">
      <c r="A1945" s="356">
        <v>45897</v>
      </c>
      <c r="B1945" s="177" t="s">
        <v>2646</v>
      </c>
      <c r="C1945" s="377" t="s">
        <v>194</v>
      </c>
      <c r="D1945" s="377" t="s">
        <v>115</v>
      </c>
      <c r="E1945" s="351">
        <v>500</v>
      </c>
      <c r="F1945" s="311">
        <f t="shared" si="22"/>
        <v>0.89135775178182408</v>
      </c>
      <c r="G1945" s="312">
        <v>560.94200000000001</v>
      </c>
      <c r="H1945" s="252" t="s">
        <v>195</v>
      </c>
      <c r="I1945" s="177" t="s">
        <v>2667</v>
      </c>
      <c r="J1945" s="177" t="s">
        <v>96</v>
      </c>
      <c r="K1945" s="125" t="s">
        <v>1906</v>
      </c>
      <c r="L1945" s="177" t="s">
        <v>153</v>
      </c>
      <c r="M1945" s="325"/>
      <c r="N1945" s="325"/>
    </row>
    <row r="1946" spans="1:14" ht="15.6" hidden="1">
      <c r="A1946" s="356">
        <v>45897</v>
      </c>
      <c r="B1946" s="177" t="s">
        <v>2653</v>
      </c>
      <c r="C1946" s="377" t="s">
        <v>194</v>
      </c>
      <c r="D1946" s="377" t="s">
        <v>115</v>
      </c>
      <c r="E1946" s="351">
        <v>500</v>
      </c>
      <c r="F1946" s="311">
        <f t="shared" si="22"/>
        <v>0.89135775178182408</v>
      </c>
      <c r="G1946" s="312">
        <v>560.94200000000001</v>
      </c>
      <c r="H1946" s="252" t="s">
        <v>195</v>
      </c>
      <c r="I1946" s="177" t="s">
        <v>2667</v>
      </c>
      <c r="J1946" s="177" t="s">
        <v>96</v>
      </c>
      <c r="K1946" s="125" t="s">
        <v>1906</v>
      </c>
      <c r="L1946" s="177" t="s">
        <v>153</v>
      </c>
      <c r="M1946" s="325"/>
      <c r="N1946" s="325"/>
    </row>
    <row r="1947" spans="1:14" ht="15.6" hidden="1">
      <c r="A1947" s="356">
        <v>45897</v>
      </c>
      <c r="B1947" s="177" t="s">
        <v>2654</v>
      </c>
      <c r="C1947" s="377" t="s">
        <v>194</v>
      </c>
      <c r="D1947" s="377" t="s">
        <v>115</v>
      </c>
      <c r="E1947" s="351">
        <v>500</v>
      </c>
      <c r="F1947" s="311">
        <f t="shared" si="22"/>
        <v>0.89135775178182408</v>
      </c>
      <c r="G1947" s="312">
        <v>560.94200000000001</v>
      </c>
      <c r="H1947" s="252" t="s">
        <v>195</v>
      </c>
      <c r="I1947" s="177" t="s">
        <v>2667</v>
      </c>
      <c r="J1947" s="177" t="s">
        <v>96</v>
      </c>
      <c r="K1947" s="125" t="s">
        <v>1906</v>
      </c>
      <c r="L1947" s="177" t="s">
        <v>153</v>
      </c>
      <c r="M1947" s="325"/>
      <c r="N1947" s="325"/>
    </row>
    <row r="1948" spans="1:14" ht="15.6" hidden="1">
      <c r="A1948" s="356">
        <v>45897</v>
      </c>
      <c r="B1948" s="177" t="s">
        <v>2659</v>
      </c>
      <c r="C1948" s="377" t="s">
        <v>194</v>
      </c>
      <c r="D1948" s="377" t="s">
        <v>115</v>
      </c>
      <c r="E1948" s="351">
        <v>500</v>
      </c>
      <c r="F1948" s="311">
        <f t="shared" si="22"/>
        <v>0.89135775178182408</v>
      </c>
      <c r="G1948" s="312">
        <v>560.94200000000001</v>
      </c>
      <c r="H1948" s="252" t="s">
        <v>195</v>
      </c>
      <c r="I1948" s="177" t="s">
        <v>2667</v>
      </c>
      <c r="J1948" s="177" t="s">
        <v>96</v>
      </c>
      <c r="K1948" s="125" t="s">
        <v>1906</v>
      </c>
      <c r="L1948" s="177" t="s">
        <v>153</v>
      </c>
      <c r="M1948" s="325"/>
      <c r="N1948" s="325"/>
    </row>
    <row r="1949" spans="1:14" ht="15.6" hidden="1">
      <c r="A1949" s="356">
        <v>45897</v>
      </c>
      <c r="B1949" s="177" t="s">
        <v>2660</v>
      </c>
      <c r="C1949" s="377" t="s">
        <v>194</v>
      </c>
      <c r="D1949" s="377" t="s">
        <v>115</v>
      </c>
      <c r="E1949" s="351">
        <v>500</v>
      </c>
      <c r="F1949" s="311">
        <f t="shared" si="22"/>
        <v>0.89135775178182408</v>
      </c>
      <c r="G1949" s="312">
        <v>560.94200000000001</v>
      </c>
      <c r="H1949" s="252" t="s">
        <v>195</v>
      </c>
      <c r="I1949" s="177" t="s">
        <v>2667</v>
      </c>
      <c r="J1949" s="177" t="s">
        <v>96</v>
      </c>
      <c r="K1949" s="125" t="s">
        <v>1906</v>
      </c>
      <c r="L1949" s="177" t="s">
        <v>153</v>
      </c>
      <c r="M1949" s="325"/>
      <c r="N1949" s="325"/>
    </row>
    <row r="1950" spans="1:14" ht="15.6" hidden="1">
      <c r="A1950" s="356">
        <v>45897</v>
      </c>
      <c r="B1950" s="177" t="s">
        <v>2645</v>
      </c>
      <c r="C1950" s="177" t="s">
        <v>311</v>
      </c>
      <c r="D1950" s="377" t="s">
        <v>115</v>
      </c>
      <c r="E1950" s="351">
        <v>1500</v>
      </c>
      <c r="F1950" s="311">
        <f t="shared" si="22"/>
        <v>2.6740732553454722</v>
      </c>
      <c r="G1950" s="312">
        <v>560.94200000000001</v>
      </c>
      <c r="H1950" s="252" t="s">
        <v>195</v>
      </c>
      <c r="I1950" s="177" t="s">
        <v>2676</v>
      </c>
      <c r="J1950" s="177" t="s">
        <v>96</v>
      </c>
      <c r="K1950" s="125" t="s">
        <v>1906</v>
      </c>
      <c r="L1950" s="177" t="s">
        <v>153</v>
      </c>
      <c r="M1950" s="325"/>
      <c r="N1950" s="325"/>
    </row>
    <row r="1951" spans="1:14" ht="15.6" hidden="1">
      <c r="A1951" s="356">
        <v>45897</v>
      </c>
      <c r="B1951" s="177" t="s">
        <v>2646</v>
      </c>
      <c r="C1951" s="377" t="s">
        <v>194</v>
      </c>
      <c r="D1951" s="377" t="s">
        <v>115</v>
      </c>
      <c r="E1951" s="351">
        <v>500</v>
      </c>
      <c r="F1951" s="311">
        <f t="shared" si="22"/>
        <v>0.89135775178182408</v>
      </c>
      <c r="G1951" s="312">
        <v>560.94200000000001</v>
      </c>
      <c r="H1951" s="252" t="s">
        <v>195</v>
      </c>
      <c r="I1951" s="177" t="s">
        <v>2667</v>
      </c>
      <c r="J1951" s="177" t="s">
        <v>96</v>
      </c>
      <c r="K1951" s="125" t="s">
        <v>1906</v>
      </c>
      <c r="L1951" s="177" t="s">
        <v>153</v>
      </c>
      <c r="M1951" s="325"/>
      <c r="N1951" s="325"/>
    </row>
    <row r="1952" spans="1:14" ht="15.6" hidden="1">
      <c r="A1952" s="357">
        <v>45897</v>
      </c>
      <c r="B1952" s="177" t="s">
        <v>2696</v>
      </c>
      <c r="C1952" s="177" t="s">
        <v>172</v>
      </c>
      <c r="D1952" s="177" t="s">
        <v>118</v>
      </c>
      <c r="E1952" s="351">
        <v>500</v>
      </c>
      <c r="F1952" s="311">
        <f t="shared" si="22"/>
        <v>0.89135775178182408</v>
      </c>
      <c r="G1952" s="312">
        <v>560.94200000000001</v>
      </c>
      <c r="H1952" s="177" t="s">
        <v>211</v>
      </c>
      <c r="I1952" s="177" t="s">
        <v>2699</v>
      </c>
      <c r="J1952" s="177" t="s">
        <v>96</v>
      </c>
      <c r="K1952" s="125" t="s">
        <v>1906</v>
      </c>
      <c r="L1952" s="177" t="s">
        <v>153</v>
      </c>
      <c r="M1952" s="325"/>
      <c r="N1952" s="325"/>
    </row>
    <row r="1953" spans="1:14" ht="15.6" hidden="1">
      <c r="A1953" s="357">
        <v>45897</v>
      </c>
      <c r="B1953" s="177" t="s">
        <v>2686</v>
      </c>
      <c r="C1953" s="177" t="s">
        <v>172</v>
      </c>
      <c r="D1953" s="177" t="s">
        <v>118</v>
      </c>
      <c r="E1953" s="351">
        <v>500</v>
      </c>
      <c r="F1953" s="311">
        <f t="shared" si="22"/>
        <v>0.89135775178182408</v>
      </c>
      <c r="G1953" s="312">
        <v>560.94200000000001</v>
      </c>
      <c r="H1953" s="177" t="s">
        <v>211</v>
      </c>
      <c r="I1953" s="177" t="s">
        <v>2699</v>
      </c>
      <c r="J1953" s="177" t="s">
        <v>96</v>
      </c>
      <c r="K1953" s="125" t="s">
        <v>1906</v>
      </c>
      <c r="L1953" s="177" t="s">
        <v>153</v>
      </c>
      <c r="M1953" s="325"/>
      <c r="N1953" s="325"/>
    </row>
    <row r="1954" spans="1:14" ht="15.6" hidden="1">
      <c r="A1954" s="353">
        <v>45898</v>
      </c>
      <c r="B1954" s="377" t="s">
        <v>2107</v>
      </c>
      <c r="C1954" s="299" t="s">
        <v>172</v>
      </c>
      <c r="D1954" s="299" t="s">
        <v>117</v>
      </c>
      <c r="E1954" s="377">
        <v>1000</v>
      </c>
      <c r="F1954" s="311">
        <f t="shared" si="22"/>
        <v>1.7827155035636482</v>
      </c>
      <c r="G1954" s="312">
        <v>560.94200000000001</v>
      </c>
      <c r="H1954" s="384" t="s">
        <v>151</v>
      </c>
      <c r="I1954" s="385" t="s">
        <v>2428</v>
      </c>
      <c r="J1954" s="177" t="s">
        <v>96</v>
      </c>
      <c r="K1954" s="125" t="s">
        <v>1906</v>
      </c>
      <c r="L1954" s="177" t="s">
        <v>153</v>
      </c>
      <c r="M1954" s="371"/>
      <c r="N1954" s="371"/>
    </row>
    <row r="1955" spans="1:14" ht="15.6" hidden="1">
      <c r="A1955" s="353">
        <v>45898</v>
      </c>
      <c r="B1955" s="377" t="s">
        <v>2113</v>
      </c>
      <c r="C1955" s="299" t="s">
        <v>172</v>
      </c>
      <c r="D1955" s="299" t="s">
        <v>117</v>
      </c>
      <c r="E1955" s="377">
        <v>1000</v>
      </c>
      <c r="F1955" s="311">
        <f t="shared" si="22"/>
        <v>1.7827155035636482</v>
      </c>
      <c r="G1955" s="312">
        <v>560.94200000000001</v>
      </c>
      <c r="H1955" s="384" t="s">
        <v>151</v>
      </c>
      <c r="I1955" s="385" t="s">
        <v>2428</v>
      </c>
      <c r="J1955" s="177" t="s">
        <v>96</v>
      </c>
      <c r="K1955" s="125" t="s">
        <v>1906</v>
      </c>
      <c r="L1955" s="177" t="s">
        <v>153</v>
      </c>
      <c r="M1955" s="371"/>
      <c r="N1955" s="371"/>
    </row>
    <row r="1956" spans="1:14" ht="15.6" hidden="1">
      <c r="A1956" s="354">
        <v>45898</v>
      </c>
      <c r="B1956" s="377" t="s">
        <v>2104</v>
      </c>
      <c r="C1956" s="299" t="s">
        <v>172</v>
      </c>
      <c r="D1956" s="299" t="s">
        <v>117</v>
      </c>
      <c r="E1956" s="377">
        <v>1000</v>
      </c>
      <c r="F1956" s="311">
        <f t="shared" si="22"/>
        <v>1.7827155035636482</v>
      </c>
      <c r="G1956" s="312">
        <v>560.94200000000001</v>
      </c>
      <c r="H1956" s="384" t="s">
        <v>151</v>
      </c>
      <c r="I1956" s="385" t="s">
        <v>2428</v>
      </c>
      <c r="J1956" s="177" t="s">
        <v>96</v>
      </c>
      <c r="K1956" s="125" t="s">
        <v>1906</v>
      </c>
      <c r="L1956" s="177" t="s">
        <v>153</v>
      </c>
      <c r="M1956" s="371"/>
      <c r="N1956" s="371"/>
    </row>
    <row r="1957" spans="1:14" ht="15.6" hidden="1">
      <c r="A1957" s="355">
        <v>45898</v>
      </c>
      <c r="B1957" s="376" t="s">
        <v>2423</v>
      </c>
      <c r="C1957" s="376" t="s">
        <v>172</v>
      </c>
      <c r="D1957" s="376" t="s">
        <v>115</v>
      </c>
      <c r="E1957" s="386">
        <v>500</v>
      </c>
      <c r="F1957" s="311">
        <f t="shared" si="22"/>
        <v>0.89135775178182408</v>
      </c>
      <c r="G1957" s="312">
        <v>560.94200000000001</v>
      </c>
      <c r="H1957" s="172" t="s">
        <v>198</v>
      </c>
      <c r="I1957" s="376" t="s">
        <v>2426</v>
      </c>
      <c r="J1957" s="177" t="s">
        <v>96</v>
      </c>
      <c r="K1957" s="125" t="s">
        <v>1906</v>
      </c>
      <c r="L1957" s="177" t="s">
        <v>153</v>
      </c>
      <c r="M1957" s="371"/>
      <c r="N1957" s="371"/>
    </row>
    <row r="1958" spans="1:14" ht="15.6" hidden="1">
      <c r="A1958" s="358">
        <v>45898</v>
      </c>
      <c r="B1958" s="376" t="s">
        <v>2424</v>
      </c>
      <c r="C1958" s="376" t="s">
        <v>172</v>
      </c>
      <c r="D1958" s="376" t="s">
        <v>115</v>
      </c>
      <c r="E1958" s="386">
        <v>500</v>
      </c>
      <c r="F1958" s="311">
        <f t="shared" si="22"/>
        <v>0.89135775178182408</v>
      </c>
      <c r="G1958" s="312">
        <v>560.94200000000001</v>
      </c>
      <c r="H1958" s="172" t="s">
        <v>198</v>
      </c>
      <c r="I1958" s="376" t="s">
        <v>2426</v>
      </c>
      <c r="J1958" s="177" t="s">
        <v>96</v>
      </c>
      <c r="K1958" s="125" t="s">
        <v>1906</v>
      </c>
      <c r="L1958" s="177" t="s">
        <v>153</v>
      </c>
      <c r="M1958" s="371"/>
      <c r="N1958" s="371"/>
    </row>
    <row r="1959" spans="1:14" ht="15.6" hidden="1">
      <c r="A1959" s="359">
        <v>45898</v>
      </c>
      <c r="B1959" s="177" t="s">
        <v>2465</v>
      </c>
      <c r="C1959" s="177" t="s">
        <v>172</v>
      </c>
      <c r="D1959" s="177" t="s">
        <v>116</v>
      </c>
      <c r="E1959" s="324">
        <v>1000</v>
      </c>
      <c r="F1959" s="311">
        <f t="shared" si="22"/>
        <v>1.7827155035636482</v>
      </c>
      <c r="G1959" s="312">
        <v>560.94200000000001</v>
      </c>
      <c r="H1959" s="177" t="s">
        <v>581</v>
      </c>
      <c r="I1959" s="177" t="s">
        <v>2467</v>
      </c>
      <c r="J1959" s="177" t="s">
        <v>96</v>
      </c>
      <c r="K1959" s="125" t="s">
        <v>1906</v>
      </c>
      <c r="L1959" s="177" t="s">
        <v>153</v>
      </c>
      <c r="M1959" s="371"/>
      <c r="N1959" s="371"/>
    </row>
    <row r="1960" spans="1:14" ht="15.6" hidden="1">
      <c r="A1960" s="359">
        <v>45898</v>
      </c>
      <c r="B1960" s="177" t="s">
        <v>2466</v>
      </c>
      <c r="C1960" s="177" t="s">
        <v>172</v>
      </c>
      <c r="D1960" s="177" t="s">
        <v>116</v>
      </c>
      <c r="E1960" s="324">
        <v>1000</v>
      </c>
      <c r="F1960" s="311">
        <f t="shared" si="22"/>
        <v>1.7827155035636482</v>
      </c>
      <c r="G1960" s="312">
        <v>560.94200000000001</v>
      </c>
      <c r="H1960" s="177" t="s">
        <v>581</v>
      </c>
      <c r="I1960" s="177" t="s">
        <v>2467</v>
      </c>
      <c r="J1960" s="177" t="s">
        <v>96</v>
      </c>
      <c r="K1960" s="125" t="s">
        <v>1906</v>
      </c>
      <c r="L1960" s="177" t="s">
        <v>153</v>
      </c>
      <c r="M1960" s="371"/>
      <c r="N1960" s="371"/>
    </row>
    <row r="1961" spans="1:14" ht="15.6" hidden="1">
      <c r="A1961" s="362">
        <v>45898</v>
      </c>
      <c r="B1961" s="177" t="s">
        <v>2380</v>
      </c>
      <c r="C1961" s="177" t="s">
        <v>124</v>
      </c>
      <c r="D1961" s="177" t="s">
        <v>116</v>
      </c>
      <c r="E1961" s="324">
        <v>6000</v>
      </c>
      <c r="F1961" s="311">
        <f t="shared" si="22"/>
        <v>10.696293021381889</v>
      </c>
      <c r="G1961" s="312">
        <v>560.94200000000001</v>
      </c>
      <c r="H1961" s="380" t="s">
        <v>581</v>
      </c>
      <c r="I1961" s="177" t="s">
        <v>2381</v>
      </c>
      <c r="J1961" s="177" t="s">
        <v>96</v>
      </c>
      <c r="K1961" s="125" t="s">
        <v>1906</v>
      </c>
      <c r="L1961" s="177" t="s">
        <v>153</v>
      </c>
      <c r="M1961" s="371"/>
      <c r="N1961" s="371"/>
    </row>
    <row r="1962" spans="1:14" ht="15.6" hidden="1">
      <c r="A1962" s="365">
        <v>45898</v>
      </c>
      <c r="B1962" s="177" t="s">
        <v>2382</v>
      </c>
      <c r="C1962" s="177" t="s">
        <v>624</v>
      </c>
      <c r="D1962" s="177" t="s">
        <v>116</v>
      </c>
      <c r="E1962" s="324">
        <v>45050</v>
      </c>
      <c r="F1962" s="311">
        <f t="shared" si="22"/>
        <v>80.311333435542352</v>
      </c>
      <c r="G1962" s="312">
        <v>560.94200000000001</v>
      </c>
      <c r="H1962" s="177" t="s">
        <v>581</v>
      </c>
      <c r="I1962" s="177" t="s">
        <v>2383</v>
      </c>
      <c r="J1962" s="177" t="s">
        <v>96</v>
      </c>
      <c r="K1962" s="125" t="s">
        <v>1906</v>
      </c>
      <c r="L1962" s="177" t="s">
        <v>153</v>
      </c>
      <c r="M1962" s="371"/>
      <c r="N1962" s="371"/>
    </row>
    <row r="1963" spans="1:14" ht="15.6" hidden="1">
      <c r="A1963" s="341">
        <v>45898</v>
      </c>
      <c r="B1963" s="172" t="s">
        <v>4900</v>
      </c>
      <c r="C1963" s="172" t="s">
        <v>172</v>
      </c>
      <c r="D1963" s="177" t="s">
        <v>440</v>
      </c>
      <c r="E1963" s="172">
        <v>500</v>
      </c>
      <c r="F1963" s="311">
        <f t="shared" si="22"/>
        <v>0.89135775178182408</v>
      </c>
      <c r="G1963" s="312">
        <v>560.94200000000001</v>
      </c>
      <c r="H1963" s="172" t="s">
        <v>182</v>
      </c>
      <c r="I1963" s="172" t="s">
        <v>2477</v>
      </c>
      <c r="J1963" s="177" t="s">
        <v>96</v>
      </c>
      <c r="K1963" s="125" t="s">
        <v>1906</v>
      </c>
      <c r="L1963" s="177" t="s">
        <v>153</v>
      </c>
      <c r="M1963" s="325"/>
      <c r="N1963" s="325"/>
    </row>
    <row r="1964" spans="1:14" ht="15.6" hidden="1">
      <c r="A1964" s="341">
        <v>45898</v>
      </c>
      <c r="B1964" s="172" t="s">
        <v>4900</v>
      </c>
      <c r="C1964" s="172" t="s">
        <v>172</v>
      </c>
      <c r="D1964" s="177" t="s">
        <v>440</v>
      </c>
      <c r="E1964" s="172">
        <v>500</v>
      </c>
      <c r="F1964" s="311">
        <f t="shared" ref="F1964:F2016" si="23">E1964/G1964</f>
        <v>0.89135775178182408</v>
      </c>
      <c r="G1964" s="312">
        <v>560.94200000000001</v>
      </c>
      <c r="H1964" s="172" t="s">
        <v>182</v>
      </c>
      <c r="I1964" s="172" t="s">
        <v>2477</v>
      </c>
      <c r="J1964" s="177" t="s">
        <v>96</v>
      </c>
      <c r="K1964" s="125" t="s">
        <v>1906</v>
      </c>
      <c r="L1964" s="177" t="s">
        <v>153</v>
      </c>
      <c r="M1964" s="325"/>
      <c r="N1964" s="325"/>
    </row>
    <row r="1965" spans="1:14" ht="15.6" hidden="1">
      <c r="A1965" s="357">
        <v>45898</v>
      </c>
      <c r="B1965" s="177" t="s">
        <v>2562</v>
      </c>
      <c r="C1965" s="177" t="s">
        <v>172</v>
      </c>
      <c r="D1965" s="177" t="s">
        <v>115</v>
      </c>
      <c r="E1965" s="324">
        <v>500</v>
      </c>
      <c r="F1965" s="311">
        <f t="shared" si="23"/>
        <v>0.89135775178182408</v>
      </c>
      <c r="G1965" s="312">
        <v>560.94200000000001</v>
      </c>
      <c r="H1965" s="177" t="s">
        <v>188</v>
      </c>
      <c r="I1965" s="177" t="s">
        <v>2564</v>
      </c>
      <c r="J1965" s="177" t="s">
        <v>96</v>
      </c>
      <c r="K1965" s="125" t="s">
        <v>1906</v>
      </c>
      <c r="L1965" s="177" t="s">
        <v>153</v>
      </c>
      <c r="M1965" s="325"/>
      <c r="N1965" s="325"/>
    </row>
    <row r="1966" spans="1:14" ht="15.6" hidden="1">
      <c r="A1966" s="357">
        <v>45898</v>
      </c>
      <c r="B1966" s="177" t="s">
        <v>2563</v>
      </c>
      <c r="C1966" s="177" t="s">
        <v>172</v>
      </c>
      <c r="D1966" s="177" t="s">
        <v>115</v>
      </c>
      <c r="E1966" s="324">
        <v>500</v>
      </c>
      <c r="F1966" s="311">
        <f t="shared" si="23"/>
        <v>0.89135775178182408</v>
      </c>
      <c r="G1966" s="312">
        <v>560.94200000000001</v>
      </c>
      <c r="H1966" s="177" t="s">
        <v>188</v>
      </c>
      <c r="I1966" s="177" t="s">
        <v>2564</v>
      </c>
      <c r="J1966" s="177" t="s">
        <v>96</v>
      </c>
      <c r="K1966" s="125" t="s">
        <v>1906</v>
      </c>
      <c r="L1966" s="177" t="s">
        <v>153</v>
      </c>
      <c r="M1966" s="325"/>
      <c r="N1966" s="325"/>
    </row>
    <row r="1967" spans="1:14" ht="15.6" hidden="1">
      <c r="A1967" s="362">
        <v>45898</v>
      </c>
      <c r="B1967" s="177" t="s">
        <v>2366</v>
      </c>
      <c r="C1967" s="177" t="s">
        <v>180</v>
      </c>
      <c r="D1967" s="177" t="s">
        <v>116</v>
      </c>
      <c r="E1967" s="324">
        <v>8250</v>
      </c>
      <c r="F1967" s="311">
        <f t="shared" si="23"/>
        <v>14.707402904400098</v>
      </c>
      <c r="G1967" s="312">
        <v>560.94200000000001</v>
      </c>
      <c r="H1967" s="177" t="s">
        <v>188</v>
      </c>
      <c r="I1967" s="177" t="s">
        <v>2385</v>
      </c>
      <c r="J1967" s="177" t="s">
        <v>96</v>
      </c>
      <c r="K1967" s="125" t="s">
        <v>1906</v>
      </c>
      <c r="L1967" s="177" t="s">
        <v>153</v>
      </c>
      <c r="M1967" s="325"/>
      <c r="N1967" s="325"/>
    </row>
    <row r="1968" spans="1:14" ht="15.6" hidden="1">
      <c r="A1968" s="360">
        <v>45898</v>
      </c>
      <c r="B1968" s="177" t="s">
        <v>2601</v>
      </c>
      <c r="C1968" s="177" t="s">
        <v>175</v>
      </c>
      <c r="D1968" s="177" t="s">
        <v>115</v>
      </c>
      <c r="E1968" s="324">
        <v>15000</v>
      </c>
      <c r="F1968" s="311">
        <f t="shared" si="23"/>
        <v>26.740732553454723</v>
      </c>
      <c r="G1968" s="312">
        <v>560.94200000000001</v>
      </c>
      <c r="H1968" s="177" t="s">
        <v>191</v>
      </c>
      <c r="I1968" s="177" t="s">
        <v>2618</v>
      </c>
      <c r="J1968" s="177" t="s">
        <v>96</v>
      </c>
      <c r="K1968" s="125" t="s">
        <v>1906</v>
      </c>
      <c r="L1968" s="177" t="s">
        <v>153</v>
      </c>
      <c r="M1968" s="325"/>
      <c r="N1968" s="325"/>
    </row>
    <row r="1969" spans="1:14" ht="15.6" hidden="1">
      <c r="A1969" s="360">
        <v>45898</v>
      </c>
      <c r="B1969" s="177" t="s">
        <v>2602</v>
      </c>
      <c r="C1969" s="177" t="s">
        <v>172</v>
      </c>
      <c r="D1969" s="177" t="s">
        <v>115</v>
      </c>
      <c r="E1969" s="324">
        <v>500</v>
      </c>
      <c r="F1969" s="311">
        <f t="shared" si="23"/>
        <v>0.89135775178182408</v>
      </c>
      <c r="G1969" s="312">
        <v>560.94200000000001</v>
      </c>
      <c r="H1969" s="177" t="s">
        <v>191</v>
      </c>
      <c r="I1969" s="177" t="s">
        <v>2607</v>
      </c>
      <c r="J1969" s="177" t="s">
        <v>96</v>
      </c>
      <c r="K1969" s="125" t="s">
        <v>1906</v>
      </c>
      <c r="L1969" s="177" t="s">
        <v>153</v>
      </c>
      <c r="M1969" s="325"/>
      <c r="N1969" s="325"/>
    </row>
    <row r="1970" spans="1:14" ht="15.6" hidden="1">
      <c r="A1970" s="360">
        <v>45898</v>
      </c>
      <c r="B1970" s="177" t="s">
        <v>2603</v>
      </c>
      <c r="C1970" s="177" t="s">
        <v>172</v>
      </c>
      <c r="D1970" s="177" t="s">
        <v>115</v>
      </c>
      <c r="E1970" s="324">
        <v>500</v>
      </c>
      <c r="F1970" s="311">
        <f t="shared" si="23"/>
        <v>0.89135775178182408</v>
      </c>
      <c r="G1970" s="312">
        <v>560.94200000000001</v>
      </c>
      <c r="H1970" s="177" t="s">
        <v>191</v>
      </c>
      <c r="I1970" s="177" t="s">
        <v>2607</v>
      </c>
      <c r="J1970" s="177" t="s">
        <v>96</v>
      </c>
      <c r="K1970" s="125" t="s">
        <v>1906</v>
      </c>
      <c r="L1970" s="177" t="s">
        <v>153</v>
      </c>
      <c r="M1970" s="325"/>
      <c r="N1970" s="325"/>
    </row>
    <row r="1971" spans="1:14" ht="15.6" hidden="1">
      <c r="A1971" s="356">
        <v>45898</v>
      </c>
      <c r="B1971" s="177" t="s">
        <v>2661</v>
      </c>
      <c r="C1971" s="377" t="s">
        <v>194</v>
      </c>
      <c r="D1971" s="377" t="s">
        <v>115</v>
      </c>
      <c r="E1971" s="351">
        <v>500</v>
      </c>
      <c r="F1971" s="311">
        <f t="shared" si="23"/>
        <v>0.89135775178182408</v>
      </c>
      <c r="G1971" s="312">
        <v>560.94200000000001</v>
      </c>
      <c r="H1971" s="252" t="s">
        <v>195</v>
      </c>
      <c r="I1971" s="177" t="s">
        <v>2667</v>
      </c>
      <c r="J1971" s="177" t="s">
        <v>96</v>
      </c>
      <c r="K1971" s="125" t="s">
        <v>1906</v>
      </c>
      <c r="L1971" s="177" t="s">
        <v>153</v>
      </c>
      <c r="M1971" s="325"/>
      <c r="N1971" s="325"/>
    </row>
    <row r="1972" spans="1:14" ht="15.6" hidden="1">
      <c r="A1972" s="356">
        <v>45898</v>
      </c>
      <c r="B1972" s="177" t="s">
        <v>2648</v>
      </c>
      <c r="C1972" s="177" t="s">
        <v>311</v>
      </c>
      <c r="D1972" s="377" t="s">
        <v>115</v>
      </c>
      <c r="E1972" s="351">
        <v>1500</v>
      </c>
      <c r="F1972" s="311">
        <f t="shared" si="23"/>
        <v>2.6740732553454722</v>
      </c>
      <c r="G1972" s="312">
        <v>560.94200000000001</v>
      </c>
      <c r="H1972" s="252" t="s">
        <v>195</v>
      </c>
      <c r="I1972" s="177" t="s">
        <v>2676</v>
      </c>
      <c r="J1972" s="177" t="s">
        <v>96</v>
      </c>
      <c r="K1972" s="125" t="s">
        <v>1906</v>
      </c>
      <c r="L1972" s="177" t="s">
        <v>153</v>
      </c>
      <c r="M1972" s="325"/>
      <c r="N1972" s="325"/>
    </row>
    <row r="1973" spans="1:14" ht="15.6" hidden="1">
      <c r="A1973" s="356">
        <v>45898</v>
      </c>
      <c r="B1973" s="177" t="s">
        <v>2646</v>
      </c>
      <c r="C1973" s="392" t="s">
        <v>194</v>
      </c>
      <c r="D1973" s="377" t="s">
        <v>115</v>
      </c>
      <c r="E1973" s="351">
        <v>500</v>
      </c>
      <c r="F1973" s="311">
        <f t="shared" si="23"/>
        <v>0.89135775178182408</v>
      </c>
      <c r="G1973" s="312">
        <v>560.94200000000001</v>
      </c>
      <c r="H1973" s="252" t="s">
        <v>195</v>
      </c>
      <c r="I1973" s="177" t="s">
        <v>2667</v>
      </c>
      <c r="J1973" s="177" t="s">
        <v>96</v>
      </c>
      <c r="K1973" s="125" t="s">
        <v>1906</v>
      </c>
      <c r="L1973" s="177" t="s">
        <v>153</v>
      </c>
      <c r="M1973" s="325"/>
      <c r="N1973" s="325"/>
    </row>
    <row r="1974" spans="1:14" ht="15.6" hidden="1">
      <c r="A1974" s="356">
        <v>45898</v>
      </c>
      <c r="B1974" s="177" t="s">
        <v>2662</v>
      </c>
      <c r="C1974" s="392" t="s">
        <v>194</v>
      </c>
      <c r="D1974" s="377" t="s">
        <v>115</v>
      </c>
      <c r="E1974" s="351">
        <v>500</v>
      </c>
      <c r="F1974" s="311">
        <f t="shared" si="23"/>
        <v>0.89135775178182408</v>
      </c>
      <c r="G1974" s="312">
        <v>560.94200000000001</v>
      </c>
      <c r="H1974" s="252" t="s">
        <v>195</v>
      </c>
      <c r="I1974" s="177" t="s">
        <v>2667</v>
      </c>
      <c r="J1974" s="177" t="s">
        <v>96</v>
      </c>
      <c r="K1974" s="125" t="s">
        <v>1906</v>
      </c>
      <c r="L1974" s="177" t="s">
        <v>153</v>
      </c>
      <c r="M1974" s="325"/>
      <c r="N1974" s="325"/>
    </row>
    <row r="1975" spans="1:14" ht="15.6" hidden="1">
      <c r="A1975" s="356">
        <v>45898</v>
      </c>
      <c r="B1975" s="177" t="s">
        <v>1097</v>
      </c>
      <c r="C1975" s="379" t="s">
        <v>2663</v>
      </c>
      <c r="D1975" s="172" t="s">
        <v>2091</v>
      </c>
      <c r="E1975" s="351">
        <v>25200</v>
      </c>
      <c r="F1975" s="311">
        <f t="shared" si="23"/>
        <v>44.924430689803934</v>
      </c>
      <c r="G1975" s="312">
        <v>560.94200000000001</v>
      </c>
      <c r="H1975" s="252" t="s">
        <v>195</v>
      </c>
      <c r="I1975" s="177" t="s">
        <v>2677</v>
      </c>
      <c r="J1975" s="177" t="s">
        <v>96</v>
      </c>
      <c r="K1975" s="125" t="s">
        <v>1906</v>
      </c>
      <c r="L1975" s="177" t="s">
        <v>153</v>
      </c>
      <c r="M1975" s="325"/>
      <c r="N1975" s="325"/>
    </row>
    <row r="1976" spans="1:14" ht="15.6" hidden="1">
      <c r="A1976" s="356">
        <v>45898</v>
      </c>
      <c r="B1976" s="177" t="s">
        <v>2664</v>
      </c>
      <c r="C1976" s="392" t="s">
        <v>194</v>
      </c>
      <c r="D1976" s="377" t="s">
        <v>115</v>
      </c>
      <c r="E1976" s="393">
        <v>500</v>
      </c>
      <c r="F1976" s="311">
        <f t="shared" si="23"/>
        <v>0.89135775178182408</v>
      </c>
      <c r="G1976" s="312">
        <v>560.94200000000001</v>
      </c>
      <c r="H1976" s="252" t="s">
        <v>195</v>
      </c>
      <c r="I1976" s="177" t="s">
        <v>2667</v>
      </c>
      <c r="J1976" s="177" t="s">
        <v>96</v>
      </c>
      <c r="K1976" s="125" t="s">
        <v>1906</v>
      </c>
      <c r="L1976" s="177" t="s">
        <v>153</v>
      </c>
      <c r="M1976" s="325"/>
      <c r="N1976" s="325"/>
    </row>
    <row r="1977" spans="1:14" ht="15.6" hidden="1">
      <c r="A1977" s="363">
        <v>45898</v>
      </c>
      <c r="B1977" s="177" t="s">
        <v>2665</v>
      </c>
      <c r="C1977" s="377" t="s">
        <v>194</v>
      </c>
      <c r="D1977" s="377" t="s">
        <v>115</v>
      </c>
      <c r="E1977" s="351">
        <v>500</v>
      </c>
      <c r="F1977" s="311">
        <f t="shared" si="23"/>
        <v>0.89135775178182408</v>
      </c>
      <c r="G1977" s="312">
        <v>560.94200000000001</v>
      </c>
      <c r="H1977" s="252" t="s">
        <v>195</v>
      </c>
      <c r="I1977" s="177" t="s">
        <v>2667</v>
      </c>
      <c r="J1977" s="177" t="s">
        <v>96</v>
      </c>
      <c r="K1977" s="125" t="s">
        <v>1906</v>
      </c>
      <c r="L1977" s="177" t="s">
        <v>153</v>
      </c>
      <c r="M1977" s="325"/>
      <c r="N1977" s="325"/>
    </row>
    <row r="1978" spans="1:14" ht="15.6" hidden="1">
      <c r="A1978" s="357">
        <v>45898</v>
      </c>
      <c r="B1978" s="177" t="s">
        <v>2697</v>
      </c>
      <c r="C1978" s="379" t="s">
        <v>172</v>
      </c>
      <c r="D1978" s="177" t="s">
        <v>118</v>
      </c>
      <c r="E1978" s="351">
        <v>500</v>
      </c>
      <c r="F1978" s="311">
        <f t="shared" si="23"/>
        <v>0.89135775178182408</v>
      </c>
      <c r="G1978" s="312">
        <v>560.94200000000001</v>
      </c>
      <c r="H1978" s="177" t="s">
        <v>211</v>
      </c>
      <c r="I1978" s="177" t="s">
        <v>2699</v>
      </c>
      <c r="J1978" s="177" t="s">
        <v>96</v>
      </c>
      <c r="K1978" s="125" t="s">
        <v>1906</v>
      </c>
      <c r="L1978" s="177" t="s">
        <v>153</v>
      </c>
      <c r="M1978" s="325"/>
      <c r="N1978" s="325"/>
    </row>
    <row r="1979" spans="1:14" ht="15.6" hidden="1">
      <c r="A1979" s="362">
        <v>45898</v>
      </c>
      <c r="B1979" s="177" t="s">
        <v>2796</v>
      </c>
      <c r="C1979" s="177" t="s">
        <v>2092</v>
      </c>
      <c r="D1979" s="177" t="s">
        <v>118</v>
      </c>
      <c r="E1979" s="324">
        <v>50000</v>
      </c>
      <c r="F1979" s="311">
        <f t="shared" si="23"/>
        <v>89.135775178182413</v>
      </c>
      <c r="G1979" s="312">
        <v>560.94200000000001</v>
      </c>
      <c r="H1979" s="177" t="s">
        <v>211</v>
      </c>
      <c r="I1979" s="177" t="s">
        <v>2384</v>
      </c>
      <c r="J1979" s="177" t="s">
        <v>96</v>
      </c>
      <c r="K1979" s="125" t="s">
        <v>1906</v>
      </c>
      <c r="L1979" s="177" t="s">
        <v>153</v>
      </c>
      <c r="M1979" s="325"/>
      <c r="N1979" s="325"/>
    </row>
    <row r="1980" spans="1:14" ht="15.6" hidden="1">
      <c r="A1980" s="360">
        <v>45898</v>
      </c>
      <c r="B1980" s="177" t="s">
        <v>2795</v>
      </c>
      <c r="C1980" s="177" t="s">
        <v>2092</v>
      </c>
      <c r="D1980" s="177" t="s">
        <v>118</v>
      </c>
      <c r="E1980" s="324">
        <v>50000</v>
      </c>
      <c r="F1980" s="311">
        <f t="shared" si="23"/>
        <v>89.135775178182413</v>
      </c>
      <c r="G1980" s="312">
        <v>560.94200000000001</v>
      </c>
      <c r="H1980" s="177" t="s">
        <v>211</v>
      </c>
      <c r="I1980" s="177" t="s">
        <v>2384</v>
      </c>
      <c r="J1980" s="177" t="s">
        <v>96</v>
      </c>
      <c r="K1980" s="125" t="s">
        <v>1906</v>
      </c>
      <c r="L1980" s="177" t="s">
        <v>153</v>
      </c>
      <c r="M1980" s="325"/>
      <c r="N1980" s="325"/>
    </row>
    <row r="1981" spans="1:14" ht="15.6" hidden="1">
      <c r="A1981" s="362">
        <v>45898</v>
      </c>
      <c r="B1981" s="177" t="s">
        <v>2794</v>
      </c>
      <c r="C1981" s="177" t="s">
        <v>2092</v>
      </c>
      <c r="D1981" s="177" t="s">
        <v>118</v>
      </c>
      <c r="E1981" s="324">
        <v>50000</v>
      </c>
      <c r="F1981" s="311">
        <f t="shared" si="23"/>
        <v>89.135775178182413</v>
      </c>
      <c r="G1981" s="312">
        <v>560.94200000000001</v>
      </c>
      <c r="H1981" s="177" t="s">
        <v>211</v>
      </c>
      <c r="I1981" s="177" t="s">
        <v>2384</v>
      </c>
      <c r="J1981" s="177" t="s">
        <v>96</v>
      </c>
      <c r="K1981" s="125" t="s">
        <v>1906</v>
      </c>
      <c r="L1981" s="177" t="s">
        <v>153</v>
      </c>
      <c r="M1981" s="325"/>
      <c r="N1981" s="325"/>
    </row>
    <row r="1982" spans="1:14" ht="15.6" hidden="1">
      <c r="A1982" s="360">
        <v>45898</v>
      </c>
      <c r="B1982" s="177" t="s">
        <v>2793</v>
      </c>
      <c r="C1982" s="177" t="s">
        <v>2092</v>
      </c>
      <c r="D1982" s="177" t="s">
        <v>118</v>
      </c>
      <c r="E1982" s="324">
        <v>50000</v>
      </c>
      <c r="F1982" s="311">
        <f t="shared" si="23"/>
        <v>89.135775178182413</v>
      </c>
      <c r="G1982" s="312">
        <v>560.94200000000001</v>
      </c>
      <c r="H1982" s="177" t="s">
        <v>211</v>
      </c>
      <c r="I1982" s="177" t="s">
        <v>2384</v>
      </c>
      <c r="J1982" s="177" t="s">
        <v>96</v>
      </c>
      <c r="K1982" s="125" t="s">
        <v>1906</v>
      </c>
      <c r="L1982" s="177" t="s">
        <v>153</v>
      </c>
      <c r="M1982" s="325"/>
      <c r="N1982" s="325"/>
    </row>
    <row r="1983" spans="1:14" ht="15.6" hidden="1">
      <c r="A1983" s="361">
        <v>45898</v>
      </c>
      <c r="B1983" s="177" t="s">
        <v>2698</v>
      </c>
      <c r="C1983" s="177" t="s">
        <v>172</v>
      </c>
      <c r="D1983" s="177" t="s">
        <v>118</v>
      </c>
      <c r="E1983" s="351">
        <v>500</v>
      </c>
      <c r="F1983" s="311">
        <f t="shared" si="23"/>
        <v>0.89135775178182408</v>
      </c>
      <c r="G1983" s="312">
        <v>560.94200000000001</v>
      </c>
      <c r="H1983" s="177" t="s">
        <v>211</v>
      </c>
      <c r="I1983" s="177" t="s">
        <v>2699</v>
      </c>
      <c r="J1983" s="177" t="s">
        <v>96</v>
      </c>
      <c r="K1983" s="125" t="s">
        <v>1906</v>
      </c>
      <c r="L1983" s="177" t="s">
        <v>153</v>
      </c>
      <c r="M1983" s="325"/>
      <c r="N1983" s="325"/>
    </row>
    <row r="1984" spans="1:14" ht="15.6" hidden="1">
      <c r="A1984" s="367">
        <v>45898</v>
      </c>
      <c r="B1984" s="320" t="s">
        <v>2739</v>
      </c>
      <c r="C1984" s="177" t="s">
        <v>125</v>
      </c>
      <c r="D1984" s="177" t="s">
        <v>440</v>
      </c>
      <c r="E1984" s="324">
        <v>222097</v>
      </c>
      <c r="F1984" s="311">
        <f t="shared" si="23"/>
        <v>395.9357651949756</v>
      </c>
      <c r="G1984" s="312">
        <v>560.94200000000001</v>
      </c>
      <c r="H1984" s="177" t="s">
        <v>146</v>
      </c>
      <c r="I1984" s="177" t="s">
        <v>2756</v>
      </c>
      <c r="J1984" s="177" t="s">
        <v>96</v>
      </c>
      <c r="K1984" s="125" t="s">
        <v>1906</v>
      </c>
      <c r="L1984" s="177" t="s">
        <v>153</v>
      </c>
      <c r="M1984" s="325"/>
      <c r="N1984" s="325"/>
    </row>
    <row r="1985" spans="1:14" ht="15.6" hidden="1">
      <c r="A1985" s="367">
        <v>45898</v>
      </c>
      <c r="B1985" s="320" t="s">
        <v>2740</v>
      </c>
      <c r="C1985" s="328" t="s">
        <v>125</v>
      </c>
      <c r="D1985" s="177" t="s">
        <v>440</v>
      </c>
      <c r="E1985" s="324">
        <v>255000</v>
      </c>
      <c r="F1985" s="311">
        <f t="shared" si="23"/>
        <v>454.59245340873031</v>
      </c>
      <c r="G1985" s="312">
        <v>560.94200000000001</v>
      </c>
      <c r="H1985" s="177" t="s">
        <v>146</v>
      </c>
      <c r="I1985" s="177" t="s">
        <v>2757</v>
      </c>
      <c r="J1985" s="177" t="s">
        <v>96</v>
      </c>
      <c r="K1985" s="125" t="s">
        <v>1906</v>
      </c>
      <c r="L1985" s="177" t="s">
        <v>153</v>
      </c>
      <c r="M1985" s="325"/>
      <c r="N1985" s="325"/>
    </row>
    <row r="1986" spans="1:14" ht="15.6" hidden="1">
      <c r="A1986" s="360">
        <v>45899</v>
      </c>
      <c r="B1986" s="177" t="s">
        <v>2604</v>
      </c>
      <c r="C1986" s="177" t="s">
        <v>175</v>
      </c>
      <c r="D1986" s="177" t="s">
        <v>115</v>
      </c>
      <c r="E1986" s="324">
        <v>15000</v>
      </c>
      <c r="F1986" s="311">
        <f t="shared" si="23"/>
        <v>26.740732553454723</v>
      </c>
      <c r="G1986" s="312">
        <v>560.94200000000001</v>
      </c>
      <c r="H1986" s="177" t="s">
        <v>191</v>
      </c>
      <c r="I1986" s="177" t="s">
        <v>2619</v>
      </c>
      <c r="J1986" s="177" t="s">
        <v>96</v>
      </c>
      <c r="K1986" s="125" t="s">
        <v>1906</v>
      </c>
      <c r="L1986" s="177" t="s">
        <v>153</v>
      </c>
      <c r="M1986" s="325"/>
      <c r="N1986" s="325"/>
    </row>
    <row r="1987" spans="1:14" ht="15.6" hidden="1">
      <c r="A1987" s="360">
        <v>45899</v>
      </c>
      <c r="B1987" s="177" t="s">
        <v>2605</v>
      </c>
      <c r="C1987" s="177" t="s">
        <v>172</v>
      </c>
      <c r="D1987" s="177" t="s">
        <v>115</v>
      </c>
      <c r="E1987" s="324">
        <v>500</v>
      </c>
      <c r="F1987" s="311">
        <f t="shared" si="23"/>
        <v>0.89135775178182408</v>
      </c>
      <c r="G1987" s="312">
        <v>560.94200000000001</v>
      </c>
      <c r="H1987" s="177" t="s">
        <v>191</v>
      </c>
      <c r="I1987" s="177" t="s">
        <v>2607</v>
      </c>
      <c r="J1987" s="177" t="s">
        <v>96</v>
      </c>
      <c r="K1987" s="125" t="s">
        <v>1906</v>
      </c>
      <c r="L1987" s="177" t="s">
        <v>153</v>
      </c>
      <c r="M1987" s="325"/>
      <c r="N1987" s="325"/>
    </row>
    <row r="1988" spans="1:14" ht="15.6" hidden="1">
      <c r="A1988" s="361">
        <v>45899</v>
      </c>
      <c r="B1988" s="177" t="s">
        <v>2606</v>
      </c>
      <c r="C1988" s="379" t="s">
        <v>172</v>
      </c>
      <c r="D1988" s="379" t="s">
        <v>115</v>
      </c>
      <c r="E1988" s="324">
        <v>500</v>
      </c>
      <c r="F1988" s="311">
        <f t="shared" si="23"/>
        <v>0.89135775178182408</v>
      </c>
      <c r="G1988" s="312">
        <v>560.94200000000001</v>
      </c>
      <c r="H1988" s="177" t="s">
        <v>191</v>
      </c>
      <c r="I1988" s="177" t="s">
        <v>2607</v>
      </c>
      <c r="J1988" s="177" t="s">
        <v>96</v>
      </c>
      <c r="K1988" s="125" t="s">
        <v>1906</v>
      </c>
      <c r="L1988" s="177" t="s">
        <v>153</v>
      </c>
      <c r="M1988" s="325"/>
      <c r="N1988" s="325"/>
    </row>
    <row r="1989" spans="1:14" ht="15.6" hidden="1">
      <c r="A1989" s="341">
        <v>45900</v>
      </c>
      <c r="B1989" s="172" t="s">
        <v>4758</v>
      </c>
      <c r="C1989" s="370" t="s">
        <v>172</v>
      </c>
      <c r="D1989" s="177" t="s">
        <v>440</v>
      </c>
      <c r="E1989" s="172">
        <v>35000</v>
      </c>
      <c r="F1989" s="311">
        <f t="shared" si="23"/>
        <v>62.395042624727687</v>
      </c>
      <c r="G1989" s="312">
        <v>560.94200000000001</v>
      </c>
      <c r="H1989" s="172" t="s">
        <v>182</v>
      </c>
      <c r="I1989" s="172" t="s">
        <v>2490</v>
      </c>
      <c r="J1989" s="177" t="s">
        <v>96</v>
      </c>
      <c r="K1989" s="125" t="s">
        <v>1906</v>
      </c>
      <c r="L1989" s="177" t="s">
        <v>153</v>
      </c>
      <c r="M1989" s="325"/>
      <c r="N1989" s="325"/>
    </row>
    <row r="1990" spans="1:14" ht="15.6" hidden="1">
      <c r="A1990" s="341">
        <v>45900</v>
      </c>
      <c r="B1990" s="172" t="s">
        <v>4759</v>
      </c>
      <c r="C1990" s="370" t="s">
        <v>175</v>
      </c>
      <c r="D1990" s="177" t="s">
        <v>440</v>
      </c>
      <c r="E1990" s="172">
        <v>90000</v>
      </c>
      <c r="F1990" s="311">
        <f t="shared" si="23"/>
        <v>160.44439532072835</v>
      </c>
      <c r="G1990" s="312">
        <v>560.94200000000001</v>
      </c>
      <c r="H1990" s="172" t="s">
        <v>182</v>
      </c>
      <c r="I1990" s="172" t="s">
        <v>2491</v>
      </c>
      <c r="J1990" s="177" t="s">
        <v>96</v>
      </c>
      <c r="K1990" s="125" t="s">
        <v>1906</v>
      </c>
      <c r="L1990" s="177" t="s">
        <v>153</v>
      </c>
      <c r="M1990" s="325"/>
      <c r="N1990" s="325"/>
    </row>
    <row r="1991" spans="1:14" ht="15.6" hidden="1">
      <c r="A1991" s="341">
        <v>45900</v>
      </c>
      <c r="B1991" s="172" t="s">
        <v>4933</v>
      </c>
      <c r="C1991" s="172" t="s">
        <v>172</v>
      </c>
      <c r="D1991" s="177" t="s">
        <v>440</v>
      </c>
      <c r="E1991" s="172">
        <v>1000</v>
      </c>
      <c r="F1991" s="311">
        <f t="shared" si="23"/>
        <v>1.7827155035636482</v>
      </c>
      <c r="G1991" s="312">
        <v>560.94200000000001</v>
      </c>
      <c r="H1991" s="172" t="s">
        <v>182</v>
      </c>
      <c r="I1991" s="172" t="s">
        <v>2477</v>
      </c>
      <c r="J1991" s="177" t="s">
        <v>96</v>
      </c>
      <c r="K1991" s="125" t="s">
        <v>1906</v>
      </c>
      <c r="L1991" s="177" t="s">
        <v>153</v>
      </c>
      <c r="M1991" s="325"/>
      <c r="N1991" s="325"/>
    </row>
    <row r="1992" spans="1:14" ht="15.6" hidden="1">
      <c r="A1992" s="360">
        <v>45900</v>
      </c>
      <c r="B1992" s="177" t="s">
        <v>4831</v>
      </c>
      <c r="C1992" s="379" t="s">
        <v>172</v>
      </c>
      <c r="D1992" s="177" t="s">
        <v>440</v>
      </c>
      <c r="E1992" s="177">
        <v>35000</v>
      </c>
      <c r="F1992" s="311">
        <f t="shared" si="23"/>
        <v>62.395042624727687</v>
      </c>
      <c r="G1992" s="312">
        <v>560.94200000000001</v>
      </c>
      <c r="H1992" s="177" t="s">
        <v>173</v>
      </c>
      <c r="I1992" s="177" t="s">
        <v>2507</v>
      </c>
      <c r="J1992" s="177" t="s">
        <v>96</v>
      </c>
      <c r="K1992" s="125" t="s">
        <v>1906</v>
      </c>
      <c r="L1992" s="177" t="s">
        <v>153</v>
      </c>
      <c r="M1992" s="325"/>
      <c r="N1992" s="325"/>
    </row>
    <row r="1993" spans="1:14" ht="15.6" hidden="1">
      <c r="A1993" s="360">
        <v>45900</v>
      </c>
      <c r="B1993" s="379" t="s">
        <v>4754</v>
      </c>
      <c r="C1993" s="379" t="s">
        <v>2394</v>
      </c>
      <c r="D1993" s="177" t="s">
        <v>440</v>
      </c>
      <c r="E1993" s="177">
        <v>90000</v>
      </c>
      <c r="F1993" s="311">
        <f t="shared" si="23"/>
        <v>160.44439532072835</v>
      </c>
      <c r="G1993" s="312">
        <v>560.94200000000001</v>
      </c>
      <c r="H1993" s="177" t="s">
        <v>173</v>
      </c>
      <c r="I1993" s="177" t="s">
        <v>2508</v>
      </c>
      <c r="J1993" s="177" t="s">
        <v>96</v>
      </c>
      <c r="K1993" s="125" t="s">
        <v>1906</v>
      </c>
      <c r="L1993" s="177" t="s">
        <v>153</v>
      </c>
      <c r="M1993" s="325"/>
      <c r="N1993" s="325"/>
    </row>
    <row r="1994" spans="1:14" ht="15.6" hidden="1">
      <c r="A1994" s="420">
        <v>45901</v>
      </c>
      <c r="B1994" s="346" t="s">
        <v>2103</v>
      </c>
      <c r="C1994" s="406" t="s">
        <v>172</v>
      </c>
      <c r="D1994" s="406" t="s">
        <v>117</v>
      </c>
      <c r="E1994" s="346">
        <v>1000</v>
      </c>
      <c r="F1994" s="407">
        <f t="shared" si="23"/>
        <v>1.8744037053212446</v>
      </c>
      <c r="G1994" s="408">
        <v>533.50300000000004</v>
      </c>
      <c r="H1994" s="409" t="s">
        <v>151</v>
      </c>
      <c r="I1994" s="413" t="s">
        <v>2824</v>
      </c>
      <c r="J1994" s="243" t="s">
        <v>96</v>
      </c>
      <c r="K1994" s="243" t="s">
        <v>2102</v>
      </c>
      <c r="L1994" s="243" t="s">
        <v>153</v>
      </c>
      <c r="M1994" s="327"/>
      <c r="N1994" s="327"/>
    </row>
    <row r="1995" spans="1:14" ht="15.6" hidden="1">
      <c r="A1995" s="420">
        <v>45901</v>
      </c>
      <c r="B1995" s="346" t="s">
        <v>2104</v>
      </c>
      <c r="C1995" s="406" t="s">
        <v>172</v>
      </c>
      <c r="D1995" s="406" t="s">
        <v>117</v>
      </c>
      <c r="E1995" s="346">
        <v>1000</v>
      </c>
      <c r="F1995" s="407">
        <f t="shared" si="23"/>
        <v>1.8744037053212446</v>
      </c>
      <c r="G1995" s="408">
        <v>533.50300000000004</v>
      </c>
      <c r="H1995" s="409" t="s">
        <v>151</v>
      </c>
      <c r="I1995" s="413" t="s">
        <v>2824</v>
      </c>
      <c r="J1995" s="243" t="s">
        <v>96</v>
      </c>
      <c r="K1995" s="243" t="s">
        <v>2102</v>
      </c>
      <c r="L1995" s="243" t="s">
        <v>153</v>
      </c>
      <c r="M1995" s="327"/>
      <c r="N1995" s="327"/>
    </row>
    <row r="1996" spans="1:14" ht="15.6" hidden="1">
      <c r="A1996" s="420">
        <v>45901</v>
      </c>
      <c r="B1996" s="346" t="s">
        <v>2806</v>
      </c>
      <c r="C1996" s="406" t="s">
        <v>150</v>
      </c>
      <c r="D1996" s="406" t="s">
        <v>117</v>
      </c>
      <c r="E1996" s="346">
        <v>12500</v>
      </c>
      <c r="F1996" s="407">
        <f t="shared" si="23"/>
        <v>23.430046316515558</v>
      </c>
      <c r="G1996" s="408">
        <v>533.50300000000004</v>
      </c>
      <c r="H1996" s="409" t="s">
        <v>151</v>
      </c>
      <c r="I1996" s="413" t="s">
        <v>2825</v>
      </c>
      <c r="J1996" s="243" t="s">
        <v>96</v>
      </c>
      <c r="K1996" s="243" t="s">
        <v>2102</v>
      </c>
      <c r="L1996" s="243" t="s">
        <v>153</v>
      </c>
      <c r="M1996" s="327"/>
      <c r="N1996" s="327"/>
    </row>
    <row r="1997" spans="1:14" ht="15.6" hidden="1">
      <c r="A1997" s="417">
        <v>45901</v>
      </c>
      <c r="B1997" s="329" t="s">
        <v>2831</v>
      </c>
      <c r="C1997" s="329" t="s">
        <v>2394</v>
      </c>
      <c r="D1997" s="329" t="s">
        <v>115</v>
      </c>
      <c r="E1997" s="331">
        <v>120000</v>
      </c>
      <c r="F1997" s="407">
        <f t="shared" si="23"/>
        <v>224.92844463854934</v>
      </c>
      <c r="G1997" s="408">
        <v>533.50300000000004</v>
      </c>
      <c r="H1997" s="172" t="s">
        <v>198</v>
      </c>
      <c r="I1997" s="329" t="s">
        <v>2857</v>
      </c>
      <c r="J1997" s="243" t="s">
        <v>96</v>
      </c>
      <c r="K1997" s="243" t="s">
        <v>2102</v>
      </c>
      <c r="L1997" s="243" t="s">
        <v>153</v>
      </c>
      <c r="M1997" s="327"/>
      <c r="N1997" s="327"/>
    </row>
    <row r="1998" spans="1:14" ht="15.6" hidden="1">
      <c r="A1998" s="418">
        <v>45901</v>
      </c>
      <c r="B1998" s="243" t="s">
        <v>2832</v>
      </c>
      <c r="C1998" s="239" t="s">
        <v>150</v>
      </c>
      <c r="D1998" s="239" t="s">
        <v>115</v>
      </c>
      <c r="E1998" s="419">
        <v>10000</v>
      </c>
      <c r="F1998" s="407">
        <f t="shared" si="23"/>
        <v>18.744037053212445</v>
      </c>
      <c r="G1998" s="408">
        <v>533.50300000000004</v>
      </c>
      <c r="H1998" s="172" t="s">
        <v>198</v>
      </c>
      <c r="I1998" s="213" t="s">
        <v>2858</v>
      </c>
      <c r="J1998" s="243" t="s">
        <v>96</v>
      </c>
      <c r="K1998" s="243" t="s">
        <v>2102</v>
      </c>
      <c r="L1998" s="243" t="s">
        <v>153</v>
      </c>
      <c r="M1998" s="395"/>
      <c r="N1998" s="395"/>
    </row>
    <row r="1999" spans="1:14" ht="15.6" hidden="1">
      <c r="A1999" s="411">
        <v>45901</v>
      </c>
      <c r="B1999" s="243" t="s">
        <v>2873</v>
      </c>
      <c r="C1999" s="243" t="s">
        <v>172</v>
      </c>
      <c r="D1999" s="243" t="s">
        <v>116</v>
      </c>
      <c r="E1999" s="412">
        <v>1000</v>
      </c>
      <c r="F1999" s="407">
        <f t="shared" si="23"/>
        <v>1.8744037053212446</v>
      </c>
      <c r="G1999" s="408">
        <v>533.50300000000004</v>
      </c>
      <c r="H1999" s="243" t="s">
        <v>581</v>
      </c>
      <c r="I1999" s="243" t="s">
        <v>2914</v>
      </c>
      <c r="J1999" s="243" t="s">
        <v>96</v>
      </c>
      <c r="K1999" s="243" t="s">
        <v>2102</v>
      </c>
      <c r="L1999" s="243" t="s">
        <v>153</v>
      </c>
      <c r="M1999" s="327"/>
      <c r="N1999" s="327"/>
    </row>
    <row r="2000" spans="1:14" ht="15.6" hidden="1">
      <c r="A2000" s="411">
        <v>45901</v>
      </c>
      <c r="B2000" s="413" t="s">
        <v>2874</v>
      </c>
      <c r="C2000" s="413" t="s">
        <v>172</v>
      </c>
      <c r="D2000" s="413" t="s">
        <v>116</v>
      </c>
      <c r="E2000" s="414">
        <v>500</v>
      </c>
      <c r="F2000" s="407">
        <f t="shared" si="23"/>
        <v>0.93720185266062228</v>
      </c>
      <c r="G2000" s="408">
        <v>533.50300000000004</v>
      </c>
      <c r="H2000" s="413" t="s">
        <v>581</v>
      </c>
      <c r="I2000" s="413" t="s">
        <v>2914</v>
      </c>
      <c r="J2000" s="243" t="s">
        <v>96</v>
      </c>
      <c r="K2000" s="243" t="s">
        <v>2102</v>
      </c>
      <c r="L2000" s="243" t="s">
        <v>153</v>
      </c>
      <c r="M2000" s="327"/>
      <c r="N2000" s="327"/>
    </row>
    <row r="2001" spans="1:14" ht="15.6" hidden="1">
      <c r="A2001" s="411">
        <v>45901</v>
      </c>
      <c r="B2001" s="413" t="s">
        <v>2875</v>
      </c>
      <c r="C2001" s="413" t="s">
        <v>172</v>
      </c>
      <c r="D2001" s="413" t="s">
        <v>116</v>
      </c>
      <c r="E2001" s="414">
        <v>1000</v>
      </c>
      <c r="F2001" s="407">
        <f t="shared" si="23"/>
        <v>1.8744037053212446</v>
      </c>
      <c r="G2001" s="408">
        <v>533.50300000000004</v>
      </c>
      <c r="H2001" s="413" t="s">
        <v>581</v>
      </c>
      <c r="I2001" s="413" t="s">
        <v>2914</v>
      </c>
      <c r="J2001" s="243" t="s">
        <v>96</v>
      </c>
      <c r="K2001" s="243" t="s">
        <v>2102</v>
      </c>
      <c r="L2001" s="243" t="s">
        <v>153</v>
      </c>
      <c r="M2001" s="327"/>
      <c r="N2001" s="327"/>
    </row>
    <row r="2002" spans="1:14" ht="15.6" hidden="1">
      <c r="A2002" s="415">
        <v>45901</v>
      </c>
      <c r="B2002" s="413" t="s">
        <v>2876</v>
      </c>
      <c r="C2002" s="243" t="s">
        <v>175</v>
      </c>
      <c r="D2002" s="243" t="s">
        <v>115</v>
      </c>
      <c r="E2002" s="412">
        <v>150000</v>
      </c>
      <c r="F2002" s="407">
        <f t="shared" si="23"/>
        <v>281.16055579818669</v>
      </c>
      <c r="G2002" s="408">
        <v>533.50300000000004</v>
      </c>
      <c r="H2002" s="413" t="s">
        <v>581</v>
      </c>
      <c r="I2002" s="243" t="s">
        <v>2915</v>
      </c>
      <c r="J2002" s="243" t="s">
        <v>96</v>
      </c>
      <c r="K2002" s="243" t="s">
        <v>2102</v>
      </c>
      <c r="L2002" s="243" t="s">
        <v>153</v>
      </c>
      <c r="M2002" s="327"/>
      <c r="N2002" s="327"/>
    </row>
    <row r="2003" spans="1:14" ht="15.6" hidden="1">
      <c r="A2003" s="415">
        <v>45901</v>
      </c>
      <c r="B2003" s="413" t="s">
        <v>2877</v>
      </c>
      <c r="C2003" s="243" t="s">
        <v>172</v>
      </c>
      <c r="D2003" s="243" t="s">
        <v>115</v>
      </c>
      <c r="E2003" s="412">
        <v>12000</v>
      </c>
      <c r="F2003" s="407">
        <f t="shared" si="23"/>
        <v>21.392586042763778</v>
      </c>
      <c r="G2003" s="408">
        <v>560.94200000000001</v>
      </c>
      <c r="H2003" s="413" t="s">
        <v>581</v>
      </c>
      <c r="I2003" s="243" t="s">
        <v>2916</v>
      </c>
      <c r="J2003" s="243" t="s">
        <v>96</v>
      </c>
      <c r="K2003" s="243" t="s">
        <v>1906</v>
      </c>
      <c r="L2003" s="243" t="s">
        <v>153</v>
      </c>
      <c r="M2003" s="395"/>
      <c r="N2003" s="395"/>
    </row>
    <row r="2004" spans="1:14" ht="15.6" hidden="1">
      <c r="A2004" s="411">
        <v>45901</v>
      </c>
      <c r="B2004" s="413" t="s">
        <v>2878</v>
      </c>
      <c r="C2004" s="413" t="s">
        <v>172</v>
      </c>
      <c r="D2004" s="413" t="s">
        <v>116</v>
      </c>
      <c r="E2004" s="414">
        <v>500</v>
      </c>
      <c r="F2004" s="407">
        <f t="shared" si="23"/>
        <v>0.89135775178182408</v>
      </c>
      <c r="G2004" s="408">
        <v>560.94200000000001</v>
      </c>
      <c r="H2004" s="413" t="s">
        <v>581</v>
      </c>
      <c r="I2004" s="413" t="s">
        <v>2914</v>
      </c>
      <c r="J2004" s="243" t="s">
        <v>96</v>
      </c>
      <c r="K2004" s="243" t="s">
        <v>1906</v>
      </c>
      <c r="L2004" s="243" t="s">
        <v>153</v>
      </c>
      <c r="M2004" s="395"/>
      <c r="N2004" s="395"/>
    </row>
    <row r="2005" spans="1:14" ht="15.6" hidden="1">
      <c r="A2005" s="415">
        <v>45901</v>
      </c>
      <c r="B2005" s="413" t="s">
        <v>2455</v>
      </c>
      <c r="C2005" s="413" t="s">
        <v>180</v>
      </c>
      <c r="D2005" s="413" t="s">
        <v>116</v>
      </c>
      <c r="E2005" s="412">
        <v>9360</v>
      </c>
      <c r="F2005" s="407">
        <f t="shared" si="23"/>
        <v>16.686217113355749</v>
      </c>
      <c r="G2005" s="408">
        <v>560.94200000000001</v>
      </c>
      <c r="H2005" s="243" t="s">
        <v>581</v>
      </c>
      <c r="I2005" s="243" t="s">
        <v>2917</v>
      </c>
      <c r="J2005" s="243" t="s">
        <v>96</v>
      </c>
      <c r="K2005" s="243" t="s">
        <v>1906</v>
      </c>
      <c r="L2005" s="243" t="s">
        <v>153</v>
      </c>
      <c r="M2005" s="395"/>
      <c r="N2005" s="395"/>
    </row>
    <row r="2006" spans="1:14" ht="15.6" hidden="1">
      <c r="A2006" s="411">
        <v>45901</v>
      </c>
      <c r="B2006" s="413" t="s">
        <v>2455</v>
      </c>
      <c r="C2006" s="413" t="s">
        <v>172</v>
      </c>
      <c r="D2006" s="413" t="s">
        <v>116</v>
      </c>
      <c r="E2006" s="414">
        <v>500</v>
      </c>
      <c r="F2006" s="407">
        <f t="shared" si="23"/>
        <v>0.89135775178182408</v>
      </c>
      <c r="G2006" s="408">
        <v>560.94200000000001</v>
      </c>
      <c r="H2006" s="413" t="s">
        <v>581</v>
      </c>
      <c r="I2006" s="413" t="s">
        <v>2914</v>
      </c>
      <c r="J2006" s="243" t="s">
        <v>96</v>
      </c>
      <c r="K2006" s="243" t="s">
        <v>1906</v>
      </c>
      <c r="L2006" s="243" t="s">
        <v>153</v>
      </c>
      <c r="M2006" s="395"/>
      <c r="N2006" s="395"/>
    </row>
    <row r="2007" spans="1:14" ht="15.6" hidden="1">
      <c r="A2007" s="411">
        <v>45901</v>
      </c>
      <c r="B2007" s="413" t="s">
        <v>2879</v>
      </c>
      <c r="C2007" s="416" t="s">
        <v>150</v>
      </c>
      <c r="D2007" s="413" t="s">
        <v>117</v>
      </c>
      <c r="E2007" s="414">
        <v>7500</v>
      </c>
      <c r="F2007" s="407">
        <f t="shared" si="23"/>
        <v>13.370366276727362</v>
      </c>
      <c r="G2007" s="408">
        <v>560.94200000000001</v>
      </c>
      <c r="H2007" s="413" t="s">
        <v>581</v>
      </c>
      <c r="I2007" s="413" t="s">
        <v>2918</v>
      </c>
      <c r="J2007" s="243" t="s">
        <v>96</v>
      </c>
      <c r="K2007" s="243" t="s">
        <v>1906</v>
      </c>
      <c r="L2007" s="243" t="s">
        <v>153</v>
      </c>
      <c r="M2007" s="395"/>
      <c r="N2007" s="395"/>
    </row>
    <row r="2008" spans="1:14" ht="15.6" hidden="1">
      <c r="A2008" s="417">
        <v>45901</v>
      </c>
      <c r="B2008" s="331" t="s">
        <v>4759</v>
      </c>
      <c r="C2008" s="331" t="s">
        <v>175</v>
      </c>
      <c r="D2008" s="177" t="s">
        <v>440</v>
      </c>
      <c r="E2008" s="331">
        <v>15000</v>
      </c>
      <c r="F2008" s="407">
        <f t="shared" si="23"/>
        <v>26.740732553454723</v>
      </c>
      <c r="G2008" s="408">
        <v>560.94200000000001</v>
      </c>
      <c r="H2008" s="331" t="s">
        <v>182</v>
      </c>
      <c r="I2008" s="331" t="s">
        <v>2935</v>
      </c>
      <c r="J2008" s="243" t="s">
        <v>96</v>
      </c>
      <c r="K2008" s="243" t="s">
        <v>1906</v>
      </c>
      <c r="L2008" s="243" t="s">
        <v>153</v>
      </c>
      <c r="M2008" s="327"/>
      <c r="N2008" s="327"/>
    </row>
    <row r="2009" spans="1:14" ht="15.6" hidden="1">
      <c r="A2009" s="418">
        <v>45901</v>
      </c>
      <c r="B2009" s="419" t="s">
        <v>4880</v>
      </c>
      <c r="C2009" s="419" t="s">
        <v>172</v>
      </c>
      <c r="D2009" s="177" t="s">
        <v>440</v>
      </c>
      <c r="E2009" s="419">
        <v>1000</v>
      </c>
      <c r="F2009" s="407">
        <f t="shared" si="23"/>
        <v>1.7827155035636482</v>
      </c>
      <c r="G2009" s="408">
        <v>560.94200000000001</v>
      </c>
      <c r="H2009" s="419" t="s">
        <v>182</v>
      </c>
      <c r="I2009" s="419" t="s">
        <v>2936</v>
      </c>
      <c r="J2009" s="243" t="s">
        <v>96</v>
      </c>
      <c r="K2009" s="243" t="s">
        <v>1906</v>
      </c>
      <c r="L2009" s="243" t="s">
        <v>153</v>
      </c>
      <c r="M2009" s="395"/>
      <c r="N2009" s="395"/>
    </row>
    <row r="2010" spans="1:14" ht="15.6" hidden="1">
      <c r="A2010" s="418">
        <v>45901</v>
      </c>
      <c r="B2010" s="419" t="s">
        <v>4881</v>
      </c>
      <c r="C2010" s="419" t="s">
        <v>172</v>
      </c>
      <c r="D2010" s="177" t="s">
        <v>440</v>
      </c>
      <c r="E2010" s="419">
        <v>2500</v>
      </c>
      <c r="F2010" s="407">
        <f t="shared" si="23"/>
        <v>4.4567887589091209</v>
      </c>
      <c r="G2010" s="408">
        <v>560.94200000000001</v>
      </c>
      <c r="H2010" s="419" t="s">
        <v>182</v>
      </c>
      <c r="I2010" s="419" t="s">
        <v>2936</v>
      </c>
      <c r="J2010" s="243" t="s">
        <v>96</v>
      </c>
      <c r="K2010" s="243" t="s">
        <v>1906</v>
      </c>
      <c r="L2010" s="243" t="s">
        <v>153</v>
      </c>
      <c r="M2010" s="395"/>
      <c r="N2010" s="395"/>
    </row>
    <row r="2011" spans="1:14" ht="15.6" hidden="1">
      <c r="A2011" s="418">
        <v>45901</v>
      </c>
      <c r="B2011" s="331" t="s">
        <v>2930</v>
      </c>
      <c r="C2011" s="331" t="s">
        <v>150</v>
      </c>
      <c r="D2011" s="177" t="s">
        <v>440</v>
      </c>
      <c r="E2011" s="419">
        <v>10000</v>
      </c>
      <c r="F2011" s="407">
        <f t="shared" si="23"/>
        <v>17.827155035636483</v>
      </c>
      <c r="G2011" s="408">
        <v>560.94200000000001</v>
      </c>
      <c r="H2011" s="419" t="s">
        <v>182</v>
      </c>
      <c r="I2011" s="419" t="s">
        <v>2937</v>
      </c>
      <c r="J2011" s="243" t="s">
        <v>96</v>
      </c>
      <c r="K2011" s="243" t="s">
        <v>1906</v>
      </c>
      <c r="L2011" s="243" t="s">
        <v>153</v>
      </c>
      <c r="M2011" s="395"/>
      <c r="N2011" s="395"/>
    </row>
    <row r="2012" spans="1:14" ht="15.6" hidden="1">
      <c r="A2012" s="415">
        <v>45901</v>
      </c>
      <c r="B2012" s="243" t="s">
        <v>4753</v>
      </c>
      <c r="C2012" s="243" t="s">
        <v>2949</v>
      </c>
      <c r="D2012" s="177" t="s">
        <v>440</v>
      </c>
      <c r="E2012" s="243">
        <v>15000</v>
      </c>
      <c r="F2012" s="407">
        <f t="shared" si="23"/>
        <v>26.740732553454723</v>
      </c>
      <c r="G2012" s="408">
        <v>560.94200000000001</v>
      </c>
      <c r="H2012" s="243" t="s">
        <v>173</v>
      </c>
      <c r="I2012" s="243" t="s">
        <v>2957</v>
      </c>
      <c r="J2012" s="243" t="s">
        <v>96</v>
      </c>
      <c r="K2012" s="243" t="s">
        <v>1906</v>
      </c>
      <c r="L2012" s="243" t="s">
        <v>153</v>
      </c>
      <c r="M2012" s="327"/>
      <c r="N2012" s="327"/>
    </row>
    <row r="2013" spans="1:14" ht="15.6" hidden="1">
      <c r="A2013" s="420">
        <v>45901</v>
      </c>
      <c r="B2013" s="331" t="s">
        <v>2950</v>
      </c>
      <c r="C2013" s="331" t="s">
        <v>150</v>
      </c>
      <c r="D2013" s="177" t="s">
        <v>440</v>
      </c>
      <c r="E2013" s="413">
        <v>10000</v>
      </c>
      <c r="F2013" s="407">
        <f t="shared" si="23"/>
        <v>17.827155035636483</v>
      </c>
      <c r="G2013" s="408">
        <v>560.94200000000001</v>
      </c>
      <c r="H2013" s="413" t="s">
        <v>173</v>
      </c>
      <c r="I2013" s="413" t="s">
        <v>2958</v>
      </c>
      <c r="J2013" s="243" t="s">
        <v>96</v>
      </c>
      <c r="K2013" s="243" t="s">
        <v>1906</v>
      </c>
      <c r="L2013" s="243" t="s">
        <v>153</v>
      </c>
      <c r="M2013" s="327"/>
      <c r="N2013" s="327"/>
    </row>
    <row r="2014" spans="1:14" ht="15.6" hidden="1">
      <c r="A2014" s="415">
        <v>45901</v>
      </c>
      <c r="B2014" s="413" t="s">
        <v>2971</v>
      </c>
      <c r="C2014" s="413" t="s">
        <v>150</v>
      </c>
      <c r="D2014" s="177" t="s">
        <v>440</v>
      </c>
      <c r="E2014" s="421">
        <v>10000</v>
      </c>
      <c r="F2014" s="407">
        <f t="shared" si="23"/>
        <v>17.827155035636483</v>
      </c>
      <c r="G2014" s="408">
        <v>560.94200000000001</v>
      </c>
      <c r="H2014" s="243" t="s">
        <v>315</v>
      </c>
      <c r="I2014" s="243" t="s">
        <v>2975</v>
      </c>
      <c r="J2014" s="243" t="s">
        <v>96</v>
      </c>
      <c r="K2014" s="243" t="s">
        <v>1906</v>
      </c>
      <c r="L2014" s="243" t="s">
        <v>153</v>
      </c>
      <c r="M2014" s="395"/>
      <c r="N2014" s="395"/>
    </row>
    <row r="2015" spans="1:14" ht="15.6" hidden="1">
      <c r="A2015" s="420">
        <v>45901</v>
      </c>
      <c r="B2015" s="413" t="s">
        <v>2988</v>
      </c>
      <c r="C2015" s="413" t="s">
        <v>150</v>
      </c>
      <c r="D2015" s="177" t="s">
        <v>440</v>
      </c>
      <c r="E2015" s="416">
        <v>10000</v>
      </c>
      <c r="F2015" s="407">
        <f t="shared" si="23"/>
        <v>17.827155035636483</v>
      </c>
      <c r="G2015" s="408">
        <v>560.94200000000001</v>
      </c>
      <c r="H2015" s="413" t="s">
        <v>321</v>
      </c>
      <c r="I2015" s="413" t="s">
        <v>2992</v>
      </c>
      <c r="J2015" s="243" t="s">
        <v>96</v>
      </c>
      <c r="K2015" s="243" t="s">
        <v>1906</v>
      </c>
      <c r="L2015" s="243" t="s">
        <v>153</v>
      </c>
      <c r="M2015" s="327"/>
      <c r="N2015" s="327"/>
    </row>
    <row r="2016" spans="1:14" ht="15.6" hidden="1">
      <c r="A2016" s="415">
        <v>45901</v>
      </c>
      <c r="B2016" s="413" t="s">
        <v>2997</v>
      </c>
      <c r="C2016" s="413" t="s">
        <v>150</v>
      </c>
      <c r="D2016" s="413" t="s">
        <v>115</v>
      </c>
      <c r="E2016" s="412">
        <v>7500</v>
      </c>
      <c r="F2016" s="407">
        <f t="shared" si="23"/>
        <v>13.370366276727362</v>
      </c>
      <c r="G2016" s="408">
        <v>560.94200000000001</v>
      </c>
      <c r="H2016" s="243" t="s">
        <v>188</v>
      </c>
      <c r="I2016" s="243" t="s">
        <v>3015</v>
      </c>
      <c r="J2016" s="243" t="s">
        <v>96</v>
      </c>
      <c r="K2016" s="243" t="s">
        <v>1906</v>
      </c>
      <c r="L2016" s="243" t="s">
        <v>153</v>
      </c>
      <c r="M2016" s="327"/>
      <c r="N2016" s="327"/>
    </row>
    <row r="2017" spans="1:14" ht="15.6" hidden="1">
      <c r="A2017" s="415">
        <v>45901</v>
      </c>
      <c r="B2017" s="413" t="s">
        <v>3025</v>
      </c>
      <c r="C2017" s="243" t="s">
        <v>172</v>
      </c>
      <c r="D2017" s="243" t="s">
        <v>115</v>
      </c>
      <c r="E2017" s="412">
        <v>500</v>
      </c>
      <c r="F2017" s="407">
        <f t="shared" ref="F2017:F2080" si="24">E2017/G2017</f>
        <v>0.89135775178182408</v>
      </c>
      <c r="G2017" s="408">
        <v>560.94200000000001</v>
      </c>
      <c r="H2017" s="243" t="s">
        <v>191</v>
      </c>
      <c r="I2017" s="413" t="s">
        <v>3052</v>
      </c>
      <c r="J2017" s="243" t="s">
        <v>96</v>
      </c>
      <c r="K2017" s="243" t="s">
        <v>1906</v>
      </c>
      <c r="L2017" s="243" t="s">
        <v>153</v>
      </c>
      <c r="M2017" s="125"/>
      <c r="N2017" s="125"/>
    </row>
    <row r="2018" spans="1:14" ht="15.6" hidden="1">
      <c r="A2018" s="415">
        <v>45901</v>
      </c>
      <c r="B2018" s="413" t="s">
        <v>3026</v>
      </c>
      <c r="C2018" s="243" t="s">
        <v>172</v>
      </c>
      <c r="D2018" s="243" t="s">
        <v>115</v>
      </c>
      <c r="E2018" s="412">
        <v>500</v>
      </c>
      <c r="F2018" s="407">
        <f t="shared" si="24"/>
        <v>0.89135775178182408</v>
      </c>
      <c r="G2018" s="408">
        <v>560.94200000000001</v>
      </c>
      <c r="H2018" s="243" t="s">
        <v>191</v>
      </c>
      <c r="I2018" s="413" t="s">
        <v>3052</v>
      </c>
      <c r="J2018" s="243" t="s">
        <v>96</v>
      </c>
      <c r="K2018" s="243" t="s">
        <v>1906</v>
      </c>
      <c r="L2018" s="243" t="s">
        <v>153</v>
      </c>
      <c r="M2018" s="125"/>
      <c r="N2018" s="125"/>
    </row>
    <row r="2019" spans="1:14" ht="15.6" hidden="1">
      <c r="A2019" s="415">
        <v>45901</v>
      </c>
      <c r="B2019" s="413" t="s">
        <v>3027</v>
      </c>
      <c r="C2019" s="413" t="s">
        <v>172</v>
      </c>
      <c r="D2019" s="413" t="s">
        <v>115</v>
      </c>
      <c r="E2019" s="414">
        <v>37000</v>
      </c>
      <c r="F2019" s="407">
        <f t="shared" si="24"/>
        <v>65.960473631854981</v>
      </c>
      <c r="G2019" s="408">
        <v>560.94200000000001</v>
      </c>
      <c r="H2019" s="243" t="s">
        <v>191</v>
      </c>
      <c r="I2019" s="413" t="s">
        <v>3053</v>
      </c>
      <c r="J2019" s="243" t="s">
        <v>96</v>
      </c>
      <c r="K2019" s="243" t="s">
        <v>1906</v>
      </c>
      <c r="L2019" s="243" t="s">
        <v>153</v>
      </c>
      <c r="M2019" s="125"/>
      <c r="N2019" s="125"/>
    </row>
    <row r="2020" spans="1:14" ht="15.6" hidden="1">
      <c r="A2020" s="415">
        <v>45901</v>
      </c>
      <c r="B2020" s="413" t="s">
        <v>3028</v>
      </c>
      <c r="C2020" s="413" t="s">
        <v>175</v>
      </c>
      <c r="D2020" s="413" t="s">
        <v>115</v>
      </c>
      <c r="E2020" s="414">
        <v>60000</v>
      </c>
      <c r="F2020" s="407">
        <f t="shared" si="24"/>
        <v>106.96293021381889</v>
      </c>
      <c r="G2020" s="408">
        <v>560.94200000000001</v>
      </c>
      <c r="H2020" s="243" t="s">
        <v>191</v>
      </c>
      <c r="I2020" s="413" t="s">
        <v>3054</v>
      </c>
      <c r="J2020" s="243" t="s">
        <v>96</v>
      </c>
      <c r="K2020" s="243" t="s">
        <v>1906</v>
      </c>
      <c r="L2020" s="243" t="s">
        <v>153</v>
      </c>
      <c r="M2020" s="125"/>
      <c r="N2020" s="125"/>
    </row>
    <row r="2021" spans="1:14" ht="15.6" hidden="1">
      <c r="A2021" s="415">
        <v>45901</v>
      </c>
      <c r="B2021" s="413" t="s">
        <v>3029</v>
      </c>
      <c r="C2021" s="413" t="s">
        <v>150</v>
      </c>
      <c r="D2021" s="413" t="s">
        <v>115</v>
      </c>
      <c r="E2021" s="414">
        <v>7500</v>
      </c>
      <c r="F2021" s="407">
        <f t="shared" si="24"/>
        <v>13.370366276727362</v>
      </c>
      <c r="G2021" s="408">
        <v>560.94200000000001</v>
      </c>
      <c r="H2021" s="243" t="s">
        <v>191</v>
      </c>
      <c r="I2021" s="413" t="s">
        <v>3055</v>
      </c>
      <c r="J2021" s="243" t="s">
        <v>96</v>
      </c>
      <c r="K2021" s="243" t="s">
        <v>1906</v>
      </c>
      <c r="L2021" s="243" t="s">
        <v>153</v>
      </c>
      <c r="M2021" s="125"/>
      <c r="N2021" s="125"/>
    </row>
    <row r="2022" spans="1:14" ht="15.6" hidden="1">
      <c r="A2022" s="405">
        <v>45901</v>
      </c>
      <c r="B2022" s="413" t="s">
        <v>3064</v>
      </c>
      <c r="C2022" s="346" t="s">
        <v>194</v>
      </c>
      <c r="D2022" s="346" t="s">
        <v>115</v>
      </c>
      <c r="E2022" s="416">
        <v>500</v>
      </c>
      <c r="F2022" s="407">
        <f t="shared" si="24"/>
        <v>0.89135775178182408</v>
      </c>
      <c r="G2022" s="408">
        <v>560.94200000000001</v>
      </c>
      <c r="H2022" s="252" t="s">
        <v>195</v>
      </c>
      <c r="I2022" s="413" t="s">
        <v>3101</v>
      </c>
      <c r="J2022" s="243" t="s">
        <v>96</v>
      </c>
      <c r="K2022" s="243" t="s">
        <v>1906</v>
      </c>
      <c r="L2022" s="243" t="s">
        <v>153</v>
      </c>
      <c r="M2022" s="76"/>
      <c r="N2022" s="76"/>
    </row>
    <row r="2023" spans="1:14" ht="15.6" hidden="1">
      <c r="A2023" s="405">
        <v>45901</v>
      </c>
      <c r="B2023" s="413" t="s">
        <v>3065</v>
      </c>
      <c r="C2023" s="346" t="s">
        <v>194</v>
      </c>
      <c r="D2023" s="346" t="s">
        <v>115</v>
      </c>
      <c r="E2023" s="416">
        <v>500</v>
      </c>
      <c r="F2023" s="407">
        <f t="shared" si="24"/>
        <v>0.89135775178182408</v>
      </c>
      <c r="G2023" s="408">
        <v>560.94200000000001</v>
      </c>
      <c r="H2023" s="252" t="s">
        <v>195</v>
      </c>
      <c r="I2023" s="413" t="s">
        <v>3101</v>
      </c>
      <c r="J2023" s="243" t="s">
        <v>96</v>
      </c>
      <c r="K2023" s="243" t="s">
        <v>1906</v>
      </c>
      <c r="L2023" s="243" t="s">
        <v>153</v>
      </c>
      <c r="M2023" s="76"/>
      <c r="N2023" s="76"/>
    </row>
    <row r="2024" spans="1:14" ht="15.6" hidden="1">
      <c r="A2024" s="405">
        <v>45901</v>
      </c>
      <c r="B2024" s="243" t="s">
        <v>3066</v>
      </c>
      <c r="C2024" s="239" t="s">
        <v>150</v>
      </c>
      <c r="D2024" s="239" t="s">
        <v>115</v>
      </c>
      <c r="E2024" s="422">
        <v>10000</v>
      </c>
      <c r="F2024" s="407">
        <f t="shared" si="24"/>
        <v>17.827155035636483</v>
      </c>
      <c r="G2024" s="408">
        <v>560.94200000000001</v>
      </c>
      <c r="H2024" s="252" t="s">
        <v>195</v>
      </c>
      <c r="I2024" s="413" t="s">
        <v>3102</v>
      </c>
      <c r="J2024" s="243" t="s">
        <v>96</v>
      </c>
      <c r="K2024" s="243" t="s">
        <v>1906</v>
      </c>
      <c r="L2024" s="243" t="s">
        <v>153</v>
      </c>
      <c r="M2024" s="76"/>
      <c r="N2024" s="76"/>
    </row>
    <row r="2025" spans="1:14" ht="15.6" hidden="1">
      <c r="A2025" s="405">
        <v>45901</v>
      </c>
      <c r="B2025" s="413" t="s">
        <v>3067</v>
      </c>
      <c r="C2025" s="346" t="s">
        <v>194</v>
      </c>
      <c r="D2025" s="346" t="s">
        <v>115</v>
      </c>
      <c r="E2025" s="416">
        <v>500</v>
      </c>
      <c r="F2025" s="407">
        <f t="shared" si="24"/>
        <v>0.89135775178182408</v>
      </c>
      <c r="G2025" s="408">
        <v>560.94200000000001</v>
      </c>
      <c r="H2025" s="252" t="s">
        <v>195</v>
      </c>
      <c r="I2025" s="413" t="s">
        <v>3101</v>
      </c>
      <c r="J2025" s="243" t="s">
        <v>96</v>
      </c>
      <c r="K2025" s="243" t="s">
        <v>1906</v>
      </c>
      <c r="L2025" s="243" t="s">
        <v>153</v>
      </c>
      <c r="M2025" s="76"/>
      <c r="N2025" s="76"/>
    </row>
    <row r="2026" spans="1:14" ht="15.6" hidden="1">
      <c r="A2026" s="405">
        <v>45901</v>
      </c>
      <c r="B2026" s="243" t="s">
        <v>3069</v>
      </c>
      <c r="C2026" s="243" t="s">
        <v>175</v>
      </c>
      <c r="D2026" s="243" t="s">
        <v>115</v>
      </c>
      <c r="E2026" s="422">
        <v>120000</v>
      </c>
      <c r="F2026" s="407">
        <f t="shared" si="24"/>
        <v>213.92586042763779</v>
      </c>
      <c r="G2026" s="408">
        <v>560.94200000000001</v>
      </c>
      <c r="H2026" s="252" t="s">
        <v>195</v>
      </c>
      <c r="I2026" s="413" t="s">
        <v>3104</v>
      </c>
      <c r="J2026" s="243" t="s">
        <v>96</v>
      </c>
      <c r="K2026" s="243" t="s">
        <v>1906</v>
      </c>
      <c r="L2026" s="243" t="s">
        <v>153</v>
      </c>
      <c r="M2026" s="76"/>
      <c r="N2026" s="76"/>
    </row>
    <row r="2027" spans="1:14" ht="15.6" hidden="1">
      <c r="A2027" s="405">
        <v>45902</v>
      </c>
      <c r="B2027" s="413" t="s">
        <v>3070</v>
      </c>
      <c r="C2027" s="346" t="s">
        <v>194</v>
      </c>
      <c r="D2027" s="346" t="s">
        <v>115</v>
      </c>
      <c r="E2027" s="416">
        <v>500</v>
      </c>
      <c r="F2027" s="407">
        <f t="shared" si="24"/>
        <v>0.89135775178182408</v>
      </c>
      <c r="G2027" s="408">
        <v>560.94200000000001</v>
      </c>
      <c r="H2027" s="252" t="s">
        <v>195</v>
      </c>
      <c r="I2027" s="413" t="s">
        <v>3101</v>
      </c>
      <c r="J2027" s="243" t="s">
        <v>96</v>
      </c>
      <c r="K2027" s="243" t="s">
        <v>1906</v>
      </c>
      <c r="L2027" s="243" t="s">
        <v>153</v>
      </c>
      <c r="M2027" s="76"/>
      <c r="N2027" s="76"/>
    </row>
    <row r="2028" spans="1:14" ht="15.6" hidden="1">
      <c r="A2028" s="420">
        <v>45901</v>
      </c>
      <c r="B2028" s="413" t="s">
        <v>3113</v>
      </c>
      <c r="C2028" s="413" t="s">
        <v>172</v>
      </c>
      <c r="D2028" s="413" t="s">
        <v>118</v>
      </c>
      <c r="E2028" s="416">
        <v>37000</v>
      </c>
      <c r="F2028" s="407">
        <f t="shared" si="24"/>
        <v>65.960473631854981</v>
      </c>
      <c r="G2028" s="408">
        <v>560.94200000000001</v>
      </c>
      <c r="H2028" s="413" t="s">
        <v>211</v>
      </c>
      <c r="I2028" s="413" t="s">
        <v>3152</v>
      </c>
      <c r="J2028" s="243" t="s">
        <v>96</v>
      </c>
      <c r="K2028" s="243" t="s">
        <v>1906</v>
      </c>
      <c r="L2028" s="243" t="s">
        <v>153</v>
      </c>
      <c r="M2028" s="76"/>
      <c r="N2028" s="76"/>
    </row>
    <row r="2029" spans="1:14" ht="15.6" hidden="1">
      <c r="A2029" s="420">
        <v>45901</v>
      </c>
      <c r="B2029" s="413" t="s">
        <v>3217</v>
      </c>
      <c r="C2029" s="413" t="s">
        <v>175</v>
      </c>
      <c r="D2029" s="413" t="s">
        <v>118</v>
      </c>
      <c r="E2029" s="416">
        <v>240000</v>
      </c>
      <c r="F2029" s="407">
        <f t="shared" si="24"/>
        <v>427.85172085527557</v>
      </c>
      <c r="G2029" s="408">
        <v>560.94200000000001</v>
      </c>
      <c r="H2029" s="413" t="s">
        <v>211</v>
      </c>
      <c r="I2029" s="413" t="s">
        <v>3153</v>
      </c>
      <c r="J2029" s="243" t="s">
        <v>96</v>
      </c>
      <c r="K2029" s="243" t="s">
        <v>1906</v>
      </c>
      <c r="L2029" s="243" t="s">
        <v>153</v>
      </c>
      <c r="M2029" s="76"/>
      <c r="N2029" s="76"/>
    </row>
    <row r="2030" spans="1:14" ht="15.6" hidden="1">
      <c r="A2030" s="420">
        <v>45901</v>
      </c>
      <c r="B2030" s="413" t="s">
        <v>2696</v>
      </c>
      <c r="C2030" s="413" t="s">
        <v>172</v>
      </c>
      <c r="D2030" s="413" t="s">
        <v>118</v>
      </c>
      <c r="E2030" s="416">
        <v>500</v>
      </c>
      <c r="F2030" s="407">
        <f t="shared" si="24"/>
        <v>0.89135775178182408</v>
      </c>
      <c r="G2030" s="408">
        <v>560.94200000000001</v>
      </c>
      <c r="H2030" s="413" t="s">
        <v>211</v>
      </c>
      <c r="I2030" s="413" t="s">
        <v>3154</v>
      </c>
      <c r="J2030" s="243" t="s">
        <v>96</v>
      </c>
      <c r="K2030" s="243" t="s">
        <v>1906</v>
      </c>
      <c r="L2030" s="243" t="s">
        <v>153</v>
      </c>
      <c r="M2030" s="76"/>
      <c r="N2030" s="76"/>
    </row>
    <row r="2031" spans="1:14" ht="15.6" hidden="1">
      <c r="A2031" s="420">
        <v>45901</v>
      </c>
      <c r="B2031" s="243" t="s">
        <v>3114</v>
      </c>
      <c r="C2031" s="239" t="s">
        <v>150</v>
      </c>
      <c r="D2031" s="413" t="s">
        <v>118</v>
      </c>
      <c r="E2031" s="416">
        <v>10000</v>
      </c>
      <c r="F2031" s="407">
        <f t="shared" si="24"/>
        <v>17.827155035636483</v>
      </c>
      <c r="G2031" s="408">
        <v>560.94200000000001</v>
      </c>
      <c r="H2031" s="413" t="s">
        <v>211</v>
      </c>
      <c r="I2031" s="413" t="s">
        <v>3155</v>
      </c>
      <c r="J2031" s="243" t="s">
        <v>96</v>
      </c>
      <c r="K2031" s="243" t="s">
        <v>1906</v>
      </c>
      <c r="L2031" s="243" t="s">
        <v>153</v>
      </c>
      <c r="M2031" s="76"/>
      <c r="N2031" s="76"/>
    </row>
    <row r="2032" spans="1:14" ht="15.6" hidden="1">
      <c r="A2032" s="420">
        <v>45901</v>
      </c>
      <c r="B2032" s="413" t="s">
        <v>3168</v>
      </c>
      <c r="C2032" s="413" t="s">
        <v>150</v>
      </c>
      <c r="D2032" s="413" t="s">
        <v>115</v>
      </c>
      <c r="E2032" s="413">
        <v>7500</v>
      </c>
      <c r="F2032" s="407">
        <f t="shared" si="24"/>
        <v>13.370366276727362</v>
      </c>
      <c r="G2032" s="408">
        <v>560.94200000000001</v>
      </c>
      <c r="H2032" s="413" t="s">
        <v>185</v>
      </c>
      <c r="I2032" s="413" t="s">
        <v>3184</v>
      </c>
      <c r="J2032" s="243" t="s">
        <v>96</v>
      </c>
      <c r="K2032" s="243" t="s">
        <v>1906</v>
      </c>
      <c r="L2032" s="243" t="s">
        <v>153</v>
      </c>
      <c r="M2032" s="76"/>
      <c r="N2032" s="76"/>
    </row>
    <row r="2033" spans="1:14" ht="15.6" hidden="1">
      <c r="A2033" s="420">
        <v>45902</v>
      </c>
      <c r="B2033" s="346" t="s">
        <v>2107</v>
      </c>
      <c r="C2033" s="406" t="s">
        <v>172</v>
      </c>
      <c r="D2033" s="406" t="s">
        <v>117</v>
      </c>
      <c r="E2033" s="346">
        <v>1000</v>
      </c>
      <c r="F2033" s="407">
        <f t="shared" si="24"/>
        <v>1.7827155035636482</v>
      </c>
      <c r="G2033" s="408">
        <v>560.94200000000001</v>
      </c>
      <c r="H2033" s="409" t="s">
        <v>151</v>
      </c>
      <c r="I2033" s="413" t="s">
        <v>2824</v>
      </c>
      <c r="J2033" s="243" t="s">
        <v>96</v>
      </c>
      <c r="K2033" s="243" t="s">
        <v>1906</v>
      </c>
      <c r="L2033" s="243" t="s">
        <v>153</v>
      </c>
      <c r="M2033" s="395"/>
      <c r="N2033" s="395"/>
    </row>
    <row r="2034" spans="1:14" ht="15.6" hidden="1">
      <c r="A2034" s="420">
        <v>45902</v>
      </c>
      <c r="B2034" s="346" t="s">
        <v>2113</v>
      </c>
      <c r="C2034" s="406" t="s">
        <v>172</v>
      </c>
      <c r="D2034" s="406" t="s">
        <v>117</v>
      </c>
      <c r="E2034" s="346">
        <v>1000</v>
      </c>
      <c r="F2034" s="407">
        <f t="shared" si="24"/>
        <v>1.7827155035636482</v>
      </c>
      <c r="G2034" s="408">
        <v>560.94200000000001</v>
      </c>
      <c r="H2034" s="409" t="s">
        <v>151</v>
      </c>
      <c r="I2034" s="413" t="s">
        <v>2824</v>
      </c>
      <c r="J2034" s="243" t="s">
        <v>96</v>
      </c>
      <c r="K2034" s="243" t="s">
        <v>1906</v>
      </c>
      <c r="L2034" s="243" t="s">
        <v>153</v>
      </c>
      <c r="M2034" s="327"/>
      <c r="N2034" s="327"/>
    </row>
    <row r="2035" spans="1:14" ht="15.6" hidden="1">
      <c r="A2035" s="420">
        <v>45902</v>
      </c>
      <c r="B2035" s="346" t="s">
        <v>2104</v>
      </c>
      <c r="C2035" s="406" t="s">
        <v>172</v>
      </c>
      <c r="D2035" s="406" t="s">
        <v>117</v>
      </c>
      <c r="E2035" s="346">
        <v>1000</v>
      </c>
      <c r="F2035" s="407">
        <f t="shared" si="24"/>
        <v>1.7827155035636482</v>
      </c>
      <c r="G2035" s="408">
        <v>560.94200000000001</v>
      </c>
      <c r="H2035" s="409" t="s">
        <v>151</v>
      </c>
      <c r="I2035" s="413" t="s">
        <v>2824</v>
      </c>
      <c r="J2035" s="243" t="s">
        <v>96</v>
      </c>
      <c r="K2035" s="243" t="s">
        <v>1906</v>
      </c>
      <c r="L2035" s="243" t="s">
        <v>153</v>
      </c>
      <c r="M2035" s="327"/>
      <c r="N2035" s="327"/>
    </row>
    <row r="2036" spans="1:14" ht="15.6" hidden="1">
      <c r="A2036" s="415">
        <v>45902</v>
      </c>
      <c r="B2036" s="243" t="s">
        <v>2162</v>
      </c>
      <c r="C2036" s="413" t="s">
        <v>121</v>
      </c>
      <c r="D2036" s="413" t="s">
        <v>115</v>
      </c>
      <c r="E2036" s="412">
        <v>113500</v>
      </c>
      <c r="F2036" s="407">
        <f t="shared" si="24"/>
        <v>202.33820965447407</v>
      </c>
      <c r="G2036" s="408">
        <v>560.94200000000001</v>
      </c>
      <c r="H2036" s="413" t="s">
        <v>581</v>
      </c>
      <c r="I2036" s="243" t="s">
        <v>2919</v>
      </c>
      <c r="J2036" s="243" t="s">
        <v>96</v>
      </c>
      <c r="K2036" s="243" t="s">
        <v>1906</v>
      </c>
      <c r="L2036" s="243" t="s">
        <v>153</v>
      </c>
      <c r="M2036" s="395"/>
      <c r="N2036" s="395"/>
    </row>
    <row r="2037" spans="1:14" ht="15.6" hidden="1">
      <c r="A2037" s="420">
        <v>45902</v>
      </c>
      <c r="B2037" s="413" t="s">
        <v>2998</v>
      </c>
      <c r="C2037" s="413" t="s">
        <v>172</v>
      </c>
      <c r="D2037" s="413" t="s">
        <v>115</v>
      </c>
      <c r="E2037" s="414">
        <v>500</v>
      </c>
      <c r="F2037" s="407">
        <f t="shared" si="24"/>
        <v>0.89135775178182408</v>
      </c>
      <c r="G2037" s="408">
        <v>560.94200000000001</v>
      </c>
      <c r="H2037" s="413" t="s">
        <v>188</v>
      </c>
      <c r="I2037" s="413" t="s">
        <v>3016</v>
      </c>
      <c r="J2037" s="243" t="s">
        <v>96</v>
      </c>
      <c r="K2037" s="243" t="s">
        <v>1906</v>
      </c>
      <c r="L2037" s="243" t="s">
        <v>153</v>
      </c>
      <c r="M2037" s="327"/>
      <c r="N2037" s="327"/>
    </row>
    <row r="2038" spans="1:14" ht="15.6" hidden="1">
      <c r="A2038" s="420">
        <v>45902</v>
      </c>
      <c r="B2038" s="413" t="s">
        <v>2563</v>
      </c>
      <c r="C2038" s="413" t="s">
        <v>172</v>
      </c>
      <c r="D2038" s="413" t="s">
        <v>115</v>
      </c>
      <c r="E2038" s="414">
        <v>500</v>
      </c>
      <c r="F2038" s="407">
        <f t="shared" si="24"/>
        <v>0.89135775178182408</v>
      </c>
      <c r="G2038" s="408">
        <v>560.94200000000001</v>
      </c>
      <c r="H2038" s="413" t="s">
        <v>188</v>
      </c>
      <c r="I2038" s="413" t="s">
        <v>3016</v>
      </c>
      <c r="J2038" s="243" t="s">
        <v>96</v>
      </c>
      <c r="K2038" s="243" t="s">
        <v>1906</v>
      </c>
      <c r="L2038" s="243" t="s">
        <v>153</v>
      </c>
      <c r="M2038" s="327"/>
      <c r="N2038" s="327"/>
    </row>
    <row r="2039" spans="1:14" ht="15.6" hidden="1">
      <c r="A2039" s="420">
        <v>45902</v>
      </c>
      <c r="B2039" s="243" t="s">
        <v>2999</v>
      </c>
      <c r="C2039" s="413" t="s">
        <v>180</v>
      </c>
      <c r="D2039" s="413" t="s">
        <v>116</v>
      </c>
      <c r="E2039" s="412">
        <v>7950</v>
      </c>
      <c r="F2039" s="407">
        <f t="shared" si="24"/>
        <v>14.172588253331003</v>
      </c>
      <c r="G2039" s="408">
        <v>560.94200000000001</v>
      </c>
      <c r="H2039" s="413" t="s">
        <v>188</v>
      </c>
      <c r="I2039" s="243" t="s">
        <v>3017</v>
      </c>
      <c r="J2039" s="243" t="s">
        <v>96</v>
      </c>
      <c r="K2039" s="243" t="s">
        <v>1906</v>
      </c>
      <c r="L2039" s="243" t="s">
        <v>153</v>
      </c>
      <c r="M2039" s="327"/>
      <c r="N2039" s="327"/>
    </row>
    <row r="2040" spans="1:14" ht="15.6" hidden="1">
      <c r="A2040" s="415">
        <v>45902</v>
      </c>
      <c r="B2040" s="413" t="s">
        <v>3030</v>
      </c>
      <c r="C2040" s="413" t="s">
        <v>172</v>
      </c>
      <c r="D2040" s="413" t="s">
        <v>115</v>
      </c>
      <c r="E2040" s="414">
        <v>500</v>
      </c>
      <c r="F2040" s="407">
        <f t="shared" si="24"/>
        <v>0.89135775178182408</v>
      </c>
      <c r="G2040" s="408">
        <v>560.94200000000001</v>
      </c>
      <c r="H2040" s="243" t="s">
        <v>191</v>
      </c>
      <c r="I2040" s="413" t="s">
        <v>3052</v>
      </c>
      <c r="J2040" s="243" t="s">
        <v>96</v>
      </c>
      <c r="K2040" s="243" t="s">
        <v>1906</v>
      </c>
      <c r="L2040" s="243" t="s">
        <v>153</v>
      </c>
      <c r="M2040" s="125"/>
      <c r="N2040" s="125"/>
    </row>
    <row r="2041" spans="1:14" ht="15.6" hidden="1">
      <c r="A2041" s="415">
        <v>45902</v>
      </c>
      <c r="B2041" s="413" t="s">
        <v>3031</v>
      </c>
      <c r="C2041" s="416" t="s">
        <v>172</v>
      </c>
      <c r="D2041" s="413" t="s">
        <v>115</v>
      </c>
      <c r="E2041" s="414">
        <v>500</v>
      </c>
      <c r="F2041" s="407">
        <f t="shared" si="24"/>
        <v>0.89135775178182408</v>
      </c>
      <c r="G2041" s="408">
        <v>560.94200000000001</v>
      </c>
      <c r="H2041" s="243" t="s">
        <v>191</v>
      </c>
      <c r="I2041" s="413" t="s">
        <v>3052</v>
      </c>
      <c r="J2041" s="243" t="s">
        <v>96</v>
      </c>
      <c r="K2041" s="243" t="s">
        <v>1906</v>
      </c>
      <c r="L2041" s="243" t="s">
        <v>153</v>
      </c>
      <c r="M2041" s="125"/>
      <c r="N2041" s="125"/>
    </row>
    <row r="2042" spans="1:14" ht="15.6" hidden="1">
      <c r="A2042" s="405">
        <v>45902</v>
      </c>
      <c r="B2042" s="413" t="s">
        <v>2656</v>
      </c>
      <c r="C2042" s="346" t="s">
        <v>194</v>
      </c>
      <c r="D2042" s="346" t="s">
        <v>115</v>
      </c>
      <c r="E2042" s="416">
        <v>500</v>
      </c>
      <c r="F2042" s="407">
        <f t="shared" si="24"/>
        <v>0.89135775178182408</v>
      </c>
      <c r="G2042" s="408">
        <v>560.94200000000001</v>
      </c>
      <c r="H2042" s="252" t="s">
        <v>195</v>
      </c>
      <c r="I2042" s="413" t="s">
        <v>3101</v>
      </c>
      <c r="J2042" s="243" t="s">
        <v>96</v>
      </c>
      <c r="K2042" s="243" t="s">
        <v>1906</v>
      </c>
      <c r="L2042" s="243" t="s">
        <v>153</v>
      </c>
      <c r="M2042" s="76"/>
      <c r="N2042" s="76"/>
    </row>
    <row r="2043" spans="1:14" ht="15.6" hidden="1">
      <c r="A2043" s="405">
        <v>45904</v>
      </c>
      <c r="B2043" s="413" t="s">
        <v>3071</v>
      </c>
      <c r="C2043" s="346" t="s">
        <v>194</v>
      </c>
      <c r="D2043" s="346" t="s">
        <v>115</v>
      </c>
      <c r="E2043" s="416">
        <v>500</v>
      </c>
      <c r="F2043" s="407">
        <f t="shared" si="24"/>
        <v>0.93720185266062228</v>
      </c>
      <c r="G2043" s="408">
        <v>533.50300000000004</v>
      </c>
      <c r="H2043" s="252" t="s">
        <v>195</v>
      </c>
      <c r="I2043" s="413" t="s">
        <v>3101</v>
      </c>
      <c r="J2043" s="243" t="s">
        <v>96</v>
      </c>
      <c r="K2043" s="243" t="s">
        <v>1137</v>
      </c>
      <c r="L2043" s="243" t="s">
        <v>153</v>
      </c>
      <c r="M2043" s="76"/>
      <c r="N2043" s="76"/>
    </row>
    <row r="2044" spans="1:14" ht="15.6" hidden="1">
      <c r="A2044" s="420">
        <v>45902</v>
      </c>
      <c r="B2044" s="413" t="s">
        <v>3219</v>
      </c>
      <c r="C2044" s="413" t="s">
        <v>175</v>
      </c>
      <c r="D2044" s="413" t="s">
        <v>118</v>
      </c>
      <c r="E2044" s="416">
        <v>15000</v>
      </c>
      <c r="F2044" s="407">
        <f t="shared" si="24"/>
        <v>26.740732553454723</v>
      </c>
      <c r="G2044" s="408">
        <v>560.94200000000001</v>
      </c>
      <c r="H2044" s="413" t="s">
        <v>211</v>
      </c>
      <c r="I2044" s="413" t="s">
        <v>3156</v>
      </c>
      <c r="J2044" s="243" t="s">
        <v>96</v>
      </c>
      <c r="K2044" s="243" t="s">
        <v>1906</v>
      </c>
      <c r="L2044" s="243" t="s">
        <v>153</v>
      </c>
      <c r="M2044" s="76"/>
      <c r="N2044" s="76"/>
    </row>
    <row r="2045" spans="1:14" ht="15.6" hidden="1">
      <c r="A2045" s="420">
        <v>45902</v>
      </c>
      <c r="B2045" s="428" t="s">
        <v>3195</v>
      </c>
      <c r="C2045" s="413" t="s">
        <v>125</v>
      </c>
      <c r="D2045" s="177" t="s">
        <v>440</v>
      </c>
      <c r="E2045" s="414">
        <v>450000</v>
      </c>
      <c r="F2045" s="407">
        <f t="shared" si="24"/>
        <v>802.22197660364168</v>
      </c>
      <c r="G2045" s="408">
        <v>560.94200000000001</v>
      </c>
      <c r="H2045" s="410" t="s">
        <v>146</v>
      </c>
      <c r="I2045" s="410" t="s">
        <v>3203</v>
      </c>
      <c r="J2045" s="243" t="s">
        <v>96</v>
      </c>
      <c r="K2045" s="243" t="s">
        <v>1906</v>
      </c>
      <c r="L2045" s="243" t="s">
        <v>153</v>
      </c>
      <c r="M2045" s="76"/>
      <c r="N2045" s="76"/>
    </row>
    <row r="2046" spans="1:14" ht="15.6" hidden="1">
      <c r="A2046" s="420">
        <v>45902</v>
      </c>
      <c r="B2046" s="428" t="s">
        <v>3196</v>
      </c>
      <c r="C2046" s="413" t="s">
        <v>125</v>
      </c>
      <c r="D2046" s="177" t="s">
        <v>440</v>
      </c>
      <c r="E2046" s="414">
        <v>375000</v>
      </c>
      <c r="F2046" s="407">
        <f t="shared" si="24"/>
        <v>668.51831383636807</v>
      </c>
      <c r="G2046" s="408">
        <v>560.94200000000001</v>
      </c>
      <c r="H2046" s="410" t="s">
        <v>146</v>
      </c>
      <c r="I2046" s="410" t="s">
        <v>3204</v>
      </c>
      <c r="J2046" s="243" t="s">
        <v>96</v>
      </c>
      <c r="K2046" s="243" t="s">
        <v>1906</v>
      </c>
      <c r="L2046" s="243" t="s">
        <v>153</v>
      </c>
      <c r="M2046" s="76"/>
      <c r="N2046" s="76"/>
    </row>
    <row r="2047" spans="1:14" ht="15.6" hidden="1">
      <c r="A2047" s="420">
        <v>45903</v>
      </c>
      <c r="B2047" s="346" t="s">
        <v>2103</v>
      </c>
      <c r="C2047" s="406" t="s">
        <v>172</v>
      </c>
      <c r="D2047" s="406" t="s">
        <v>117</v>
      </c>
      <c r="E2047" s="346">
        <v>1000</v>
      </c>
      <c r="F2047" s="407">
        <f t="shared" si="24"/>
        <v>1.7827155035636482</v>
      </c>
      <c r="G2047" s="408">
        <v>560.94200000000001</v>
      </c>
      <c r="H2047" s="409" t="s">
        <v>151</v>
      </c>
      <c r="I2047" s="413" t="s">
        <v>2824</v>
      </c>
      <c r="J2047" s="243" t="s">
        <v>96</v>
      </c>
      <c r="K2047" s="243" t="s">
        <v>1906</v>
      </c>
      <c r="L2047" s="243" t="s">
        <v>153</v>
      </c>
      <c r="M2047" s="395"/>
      <c r="N2047" s="395"/>
    </row>
    <row r="2048" spans="1:14" ht="15.6" hidden="1">
      <c r="A2048" s="420">
        <v>45903</v>
      </c>
      <c r="B2048" s="346" t="s">
        <v>2116</v>
      </c>
      <c r="C2048" s="406" t="s">
        <v>172</v>
      </c>
      <c r="D2048" s="406" t="s">
        <v>117</v>
      </c>
      <c r="E2048" s="346">
        <v>1000</v>
      </c>
      <c r="F2048" s="407">
        <f t="shared" si="24"/>
        <v>1.7827155035636482</v>
      </c>
      <c r="G2048" s="408">
        <v>560.94200000000001</v>
      </c>
      <c r="H2048" s="409" t="s">
        <v>151</v>
      </c>
      <c r="I2048" s="413" t="s">
        <v>2824</v>
      </c>
      <c r="J2048" s="243" t="s">
        <v>96</v>
      </c>
      <c r="K2048" s="243" t="s">
        <v>1906</v>
      </c>
      <c r="L2048" s="243" t="s">
        <v>153</v>
      </c>
      <c r="M2048" s="327"/>
      <c r="N2048" s="327"/>
    </row>
    <row r="2049" spans="1:14" ht="15.6" hidden="1">
      <c r="A2049" s="418">
        <v>45903</v>
      </c>
      <c r="B2049" s="419" t="s">
        <v>4743</v>
      </c>
      <c r="C2049" s="419" t="s">
        <v>172</v>
      </c>
      <c r="D2049" s="177" t="s">
        <v>440</v>
      </c>
      <c r="E2049" s="419">
        <v>9000</v>
      </c>
      <c r="F2049" s="407">
        <f t="shared" si="24"/>
        <v>16.044439532072836</v>
      </c>
      <c r="G2049" s="408">
        <v>560.94200000000001</v>
      </c>
      <c r="H2049" s="419" t="s">
        <v>182</v>
      </c>
      <c r="I2049" s="419" t="s">
        <v>2938</v>
      </c>
      <c r="J2049" s="243" t="s">
        <v>96</v>
      </c>
      <c r="K2049" s="243" t="s">
        <v>1906</v>
      </c>
      <c r="L2049" s="243" t="s">
        <v>153</v>
      </c>
      <c r="M2049" s="327"/>
      <c r="N2049" s="327"/>
    </row>
    <row r="2050" spans="1:14" ht="15.6" hidden="1">
      <c r="A2050" s="418">
        <v>45903</v>
      </c>
      <c r="B2050" s="419" t="s">
        <v>4934</v>
      </c>
      <c r="C2050" s="419" t="s">
        <v>172</v>
      </c>
      <c r="D2050" s="177" t="s">
        <v>440</v>
      </c>
      <c r="E2050" s="419">
        <v>1000</v>
      </c>
      <c r="F2050" s="407">
        <f t="shared" si="24"/>
        <v>1.7827155035636482</v>
      </c>
      <c r="G2050" s="408">
        <v>560.94200000000001</v>
      </c>
      <c r="H2050" s="419" t="s">
        <v>182</v>
      </c>
      <c r="I2050" s="419" t="s">
        <v>2936</v>
      </c>
      <c r="J2050" s="243" t="s">
        <v>96</v>
      </c>
      <c r="K2050" s="243" t="s">
        <v>1906</v>
      </c>
      <c r="L2050" s="243" t="s">
        <v>153</v>
      </c>
      <c r="M2050" s="327"/>
      <c r="N2050" s="327"/>
    </row>
    <row r="2051" spans="1:14" ht="15.6" hidden="1">
      <c r="A2051" s="418">
        <v>45903</v>
      </c>
      <c r="B2051" s="419" t="s">
        <v>4880</v>
      </c>
      <c r="C2051" s="419" t="s">
        <v>172</v>
      </c>
      <c r="D2051" s="177" t="s">
        <v>440</v>
      </c>
      <c r="E2051" s="419">
        <v>1500</v>
      </c>
      <c r="F2051" s="407">
        <f t="shared" si="24"/>
        <v>2.6740732553454722</v>
      </c>
      <c r="G2051" s="408">
        <v>560.94200000000001</v>
      </c>
      <c r="H2051" s="419" t="s">
        <v>182</v>
      </c>
      <c r="I2051" s="419" t="s">
        <v>2936</v>
      </c>
      <c r="J2051" s="243" t="s">
        <v>96</v>
      </c>
      <c r="K2051" s="243" t="s">
        <v>1906</v>
      </c>
      <c r="L2051" s="243" t="s">
        <v>153</v>
      </c>
      <c r="M2051" s="327"/>
      <c r="N2051" s="327"/>
    </row>
    <row r="2052" spans="1:14" ht="15.6" hidden="1">
      <c r="A2052" s="420">
        <v>45903</v>
      </c>
      <c r="B2052" s="413" t="s">
        <v>4917</v>
      </c>
      <c r="C2052" s="413" t="s">
        <v>172</v>
      </c>
      <c r="D2052" s="177" t="s">
        <v>440</v>
      </c>
      <c r="E2052" s="413">
        <v>1000</v>
      </c>
      <c r="F2052" s="407">
        <f t="shared" si="24"/>
        <v>1.7827155035636482</v>
      </c>
      <c r="G2052" s="408">
        <v>560.94200000000001</v>
      </c>
      <c r="H2052" s="413" t="s">
        <v>173</v>
      </c>
      <c r="I2052" s="413" t="s">
        <v>2959</v>
      </c>
      <c r="J2052" s="243" t="s">
        <v>96</v>
      </c>
      <c r="K2052" s="243" t="s">
        <v>1906</v>
      </c>
      <c r="L2052" s="243" t="s">
        <v>153</v>
      </c>
      <c r="M2052" s="327"/>
      <c r="N2052" s="327"/>
    </row>
    <row r="2053" spans="1:14" ht="15.6" hidden="1">
      <c r="A2053" s="420">
        <v>45903</v>
      </c>
      <c r="B2053" s="413" t="s">
        <v>4917</v>
      </c>
      <c r="C2053" s="413" t="s">
        <v>172</v>
      </c>
      <c r="D2053" s="177" t="s">
        <v>440</v>
      </c>
      <c r="E2053" s="413">
        <v>1000</v>
      </c>
      <c r="F2053" s="407">
        <f t="shared" si="24"/>
        <v>1.7827155035636482</v>
      </c>
      <c r="G2053" s="408">
        <v>560.94200000000001</v>
      </c>
      <c r="H2053" s="413" t="s">
        <v>173</v>
      </c>
      <c r="I2053" s="413" t="s">
        <v>2959</v>
      </c>
      <c r="J2053" s="243" t="s">
        <v>96</v>
      </c>
      <c r="K2053" s="243" t="s">
        <v>1906</v>
      </c>
      <c r="L2053" s="243" t="s">
        <v>153</v>
      </c>
      <c r="M2053" s="327"/>
      <c r="N2053" s="327"/>
    </row>
    <row r="2054" spans="1:14" ht="15.6" hidden="1">
      <c r="A2054" s="420">
        <v>45903</v>
      </c>
      <c r="B2054" s="413" t="s">
        <v>4744</v>
      </c>
      <c r="C2054" s="413" t="s">
        <v>172</v>
      </c>
      <c r="D2054" s="177" t="s">
        <v>440</v>
      </c>
      <c r="E2054" s="413">
        <v>9000</v>
      </c>
      <c r="F2054" s="407">
        <f t="shared" si="24"/>
        <v>16.044439532072836</v>
      </c>
      <c r="G2054" s="408">
        <v>560.94200000000001</v>
      </c>
      <c r="H2054" s="413" t="s">
        <v>173</v>
      </c>
      <c r="I2054" s="413" t="s">
        <v>2960</v>
      </c>
      <c r="J2054" s="243" t="s">
        <v>96</v>
      </c>
      <c r="K2054" s="243" t="s">
        <v>1906</v>
      </c>
      <c r="L2054" s="243" t="s">
        <v>153</v>
      </c>
      <c r="M2054" s="395"/>
      <c r="N2054" s="395"/>
    </row>
    <row r="2055" spans="1:14" ht="15.6" hidden="1">
      <c r="A2055" s="415">
        <v>45903</v>
      </c>
      <c r="B2055" s="413" t="s">
        <v>2951</v>
      </c>
      <c r="C2055" s="413" t="s">
        <v>306</v>
      </c>
      <c r="D2055" s="177" t="s">
        <v>440</v>
      </c>
      <c r="E2055" s="413">
        <v>10000</v>
      </c>
      <c r="F2055" s="407">
        <f t="shared" si="24"/>
        <v>17.827155035636483</v>
      </c>
      <c r="G2055" s="408">
        <v>560.94200000000001</v>
      </c>
      <c r="H2055" s="413" t="s">
        <v>173</v>
      </c>
      <c r="I2055" s="243" t="s">
        <v>2961</v>
      </c>
      <c r="J2055" s="243" t="s">
        <v>96</v>
      </c>
      <c r="K2055" s="243" t="s">
        <v>1906</v>
      </c>
      <c r="L2055" s="243" t="s">
        <v>153</v>
      </c>
      <c r="M2055" s="395"/>
      <c r="N2055" s="395"/>
    </row>
    <row r="2056" spans="1:14" ht="15.6" hidden="1">
      <c r="A2056" s="420">
        <v>45903</v>
      </c>
      <c r="B2056" s="413" t="s">
        <v>4876</v>
      </c>
      <c r="C2056" s="413" t="s">
        <v>172</v>
      </c>
      <c r="D2056" s="177" t="s">
        <v>440</v>
      </c>
      <c r="E2056" s="413">
        <v>1000</v>
      </c>
      <c r="F2056" s="407">
        <f t="shared" si="24"/>
        <v>1.7827155035636482</v>
      </c>
      <c r="G2056" s="408">
        <v>560.94200000000001</v>
      </c>
      <c r="H2056" s="413" t="s">
        <v>315</v>
      </c>
      <c r="I2056" s="413" t="s">
        <v>2976</v>
      </c>
      <c r="J2056" s="243" t="s">
        <v>96</v>
      </c>
      <c r="K2056" s="243" t="s">
        <v>1906</v>
      </c>
      <c r="L2056" s="243" t="s">
        <v>153</v>
      </c>
      <c r="M2056" s="395"/>
      <c r="N2056" s="395"/>
    </row>
    <row r="2057" spans="1:14" ht="15.6" hidden="1">
      <c r="A2057" s="420">
        <v>45903</v>
      </c>
      <c r="B2057" s="413" t="s">
        <v>4749</v>
      </c>
      <c r="C2057" s="413" t="s">
        <v>172</v>
      </c>
      <c r="D2057" s="177" t="s">
        <v>440</v>
      </c>
      <c r="E2057" s="413">
        <v>7000</v>
      </c>
      <c r="F2057" s="407">
        <f t="shared" si="24"/>
        <v>12.479008524945538</v>
      </c>
      <c r="G2057" s="408">
        <v>560.94200000000001</v>
      </c>
      <c r="H2057" s="413" t="s">
        <v>315</v>
      </c>
      <c r="I2057" s="243" t="s">
        <v>2977</v>
      </c>
      <c r="J2057" s="243" t="s">
        <v>96</v>
      </c>
      <c r="K2057" s="243" t="s">
        <v>1906</v>
      </c>
      <c r="L2057" s="243" t="s">
        <v>153</v>
      </c>
      <c r="M2057" s="395"/>
      <c r="N2057" s="395"/>
    </row>
    <row r="2058" spans="1:14" ht="15.6" hidden="1">
      <c r="A2058" s="420">
        <v>45903</v>
      </c>
      <c r="B2058" s="413" t="s">
        <v>4935</v>
      </c>
      <c r="C2058" s="413" t="s">
        <v>172</v>
      </c>
      <c r="D2058" s="177" t="s">
        <v>440</v>
      </c>
      <c r="E2058" s="413">
        <v>2000</v>
      </c>
      <c r="F2058" s="407">
        <f t="shared" si="24"/>
        <v>3.5654310071272963</v>
      </c>
      <c r="G2058" s="408">
        <v>560.94200000000001</v>
      </c>
      <c r="H2058" s="413" t="s">
        <v>315</v>
      </c>
      <c r="I2058" s="413" t="s">
        <v>2976</v>
      </c>
      <c r="J2058" s="243" t="s">
        <v>96</v>
      </c>
      <c r="K2058" s="243" t="s">
        <v>1906</v>
      </c>
      <c r="L2058" s="243" t="s">
        <v>153</v>
      </c>
      <c r="M2058" s="395"/>
      <c r="N2058" s="395"/>
    </row>
    <row r="2059" spans="1:14" ht="15.6" hidden="1">
      <c r="A2059" s="420">
        <v>45903</v>
      </c>
      <c r="B2059" s="413" t="s">
        <v>3218</v>
      </c>
      <c r="C2059" s="413" t="s">
        <v>175</v>
      </c>
      <c r="D2059" s="413" t="s">
        <v>118</v>
      </c>
      <c r="E2059" s="416">
        <v>15000</v>
      </c>
      <c r="F2059" s="407">
        <f t="shared" si="24"/>
        <v>26.740732553454723</v>
      </c>
      <c r="G2059" s="408">
        <v>560.94200000000001</v>
      </c>
      <c r="H2059" s="413" t="s">
        <v>211</v>
      </c>
      <c r="I2059" s="413" t="s">
        <v>3157</v>
      </c>
      <c r="J2059" s="243" t="s">
        <v>96</v>
      </c>
      <c r="K2059" s="243" t="s">
        <v>1906</v>
      </c>
      <c r="L2059" s="243" t="s">
        <v>153</v>
      </c>
      <c r="M2059" s="76"/>
      <c r="N2059" s="76"/>
    </row>
    <row r="2060" spans="1:14" ht="15.6" hidden="1">
      <c r="A2060" s="420">
        <v>45903</v>
      </c>
      <c r="B2060" s="413" t="s">
        <v>3115</v>
      </c>
      <c r="C2060" s="413" t="s">
        <v>172</v>
      </c>
      <c r="D2060" s="413" t="s">
        <v>118</v>
      </c>
      <c r="E2060" s="416">
        <v>3000</v>
      </c>
      <c r="F2060" s="407">
        <f t="shared" si="24"/>
        <v>5.3481465106909445</v>
      </c>
      <c r="G2060" s="408">
        <v>560.94200000000001</v>
      </c>
      <c r="H2060" s="413" t="s">
        <v>211</v>
      </c>
      <c r="I2060" s="413" t="s">
        <v>3154</v>
      </c>
      <c r="J2060" s="243" t="s">
        <v>96</v>
      </c>
      <c r="K2060" s="243" t="s">
        <v>1906</v>
      </c>
      <c r="L2060" s="243" t="s">
        <v>153</v>
      </c>
      <c r="M2060" s="76"/>
      <c r="N2060" s="76"/>
    </row>
    <row r="2061" spans="1:14" ht="15.6" hidden="1">
      <c r="A2061" s="420">
        <v>45903</v>
      </c>
      <c r="B2061" s="413" t="s">
        <v>3197</v>
      </c>
      <c r="C2061" s="413" t="s">
        <v>302</v>
      </c>
      <c r="D2061" s="430" t="s">
        <v>116</v>
      </c>
      <c r="E2061" s="414">
        <v>260000</v>
      </c>
      <c r="F2061" s="407">
        <f t="shared" si="24"/>
        <v>463.50603092654853</v>
      </c>
      <c r="G2061" s="408">
        <v>560.94200000000001</v>
      </c>
      <c r="H2061" s="410" t="s">
        <v>146</v>
      </c>
      <c r="I2061" s="410" t="s">
        <v>3205</v>
      </c>
      <c r="J2061" s="243" t="s">
        <v>96</v>
      </c>
      <c r="K2061" s="243" t="s">
        <v>1906</v>
      </c>
      <c r="L2061" s="243" t="s">
        <v>153</v>
      </c>
      <c r="M2061" s="76"/>
      <c r="N2061" s="76"/>
    </row>
    <row r="2062" spans="1:14" ht="15.6" hidden="1">
      <c r="A2062" s="420">
        <v>45903</v>
      </c>
      <c r="B2062" s="431" t="s">
        <v>2737</v>
      </c>
      <c r="C2062" s="243" t="s">
        <v>124</v>
      </c>
      <c r="D2062" s="430" t="s">
        <v>116</v>
      </c>
      <c r="E2062" s="414">
        <v>500000</v>
      </c>
      <c r="F2062" s="407">
        <f t="shared" si="24"/>
        <v>891.35775178182416</v>
      </c>
      <c r="G2062" s="408">
        <v>560.94200000000001</v>
      </c>
      <c r="H2062" s="423" t="s">
        <v>146</v>
      </c>
      <c r="I2062" s="410" t="s">
        <v>3206</v>
      </c>
      <c r="J2062" s="243" t="s">
        <v>96</v>
      </c>
      <c r="K2062" s="243" t="s">
        <v>1906</v>
      </c>
      <c r="L2062" s="243" t="s">
        <v>153</v>
      </c>
      <c r="M2062" s="76"/>
      <c r="N2062" s="76"/>
    </row>
    <row r="2063" spans="1:14" ht="15.6" hidden="1">
      <c r="A2063" s="420">
        <v>45904</v>
      </c>
      <c r="B2063" s="346" t="s">
        <v>2103</v>
      </c>
      <c r="C2063" s="406" t="s">
        <v>172</v>
      </c>
      <c r="D2063" s="406" t="s">
        <v>117</v>
      </c>
      <c r="E2063" s="346">
        <v>1000</v>
      </c>
      <c r="F2063" s="407">
        <f t="shared" si="24"/>
        <v>1.8744037053212446</v>
      </c>
      <c r="G2063" s="408">
        <v>533.50300000000004</v>
      </c>
      <c r="H2063" s="409" t="s">
        <v>151</v>
      </c>
      <c r="I2063" s="413" t="s">
        <v>2824</v>
      </c>
      <c r="J2063" s="243" t="s">
        <v>96</v>
      </c>
      <c r="K2063" s="243" t="s">
        <v>1137</v>
      </c>
      <c r="L2063" s="243" t="s">
        <v>153</v>
      </c>
      <c r="M2063" s="327"/>
      <c r="N2063" s="327"/>
    </row>
    <row r="2064" spans="1:14" ht="15.6" hidden="1">
      <c r="A2064" s="420">
        <v>45904</v>
      </c>
      <c r="B2064" s="346" t="s">
        <v>2104</v>
      </c>
      <c r="C2064" s="406" t="s">
        <v>172</v>
      </c>
      <c r="D2064" s="406" t="s">
        <v>117</v>
      </c>
      <c r="E2064" s="346">
        <v>1000</v>
      </c>
      <c r="F2064" s="407">
        <f t="shared" si="24"/>
        <v>1.8744037053212446</v>
      </c>
      <c r="G2064" s="408">
        <v>533.50300000000004</v>
      </c>
      <c r="H2064" s="409" t="s">
        <v>151</v>
      </c>
      <c r="I2064" s="413" t="s">
        <v>2824</v>
      </c>
      <c r="J2064" s="243" t="s">
        <v>96</v>
      </c>
      <c r="K2064" s="243" t="s">
        <v>1137</v>
      </c>
      <c r="L2064" s="243" t="s">
        <v>153</v>
      </c>
      <c r="M2064" s="327"/>
      <c r="N2064" s="327"/>
    </row>
    <row r="2065" spans="1:14" ht="15.6" hidden="1">
      <c r="A2065" s="418">
        <v>45904</v>
      </c>
      <c r="B2065" s="419" t="s">
        <v>4841</v>
      </c>
      <c r="C2065" s="419" t="s">
        <v>175</v>
      </c>
      <c r="D2065" s="177" t="s">
        <v>440</v>
      </c>
      <c r="E2065" s="419">
        <v>310000</v>
      </c>
      <c r="F2065" s="407">
        <f t="shared" si="24"/>
        <v>581.06514864958581</v>
      </c>
      <c r="G2065" s="408">
        <v>533.50300000000004</v>
      </c>
      <c r="H2065" s="419" t="s">
        <v>182</v>
      </c>
      <c r="I2065" s="419" t="s">
        <v>2939</v>
      </c>
      <c r="J2065" s="243" t="s">
        <v>96</v>
      </c>
      <c r="K2065" s="243" t="s">
        <v>1137</v>
      </c>
      <c r="L2065" s="243" t="s">
        <v>153</v>
      </c>
      <c r="M2065" s="327"/>
      <c r="N2065" s="327"/>
    </row>
    <row r="2066" spans="1:14" ht="15.6" hidden="1">
      <c r="A2066" s="418">
        <v>45904</v>
      </c>
      <c r="B2066" s="419" t="s">
        <v>4880</v>
      </c>
      <c r="C2066" s="419" t="s">
        <v>172</v>
      </c>
      <c r="D2066" s="177" t="s">
        <v>440</v>
      </c>
      <c r="E2066" s="419">
        <v>1000</v>
      </c>
      <c r="F2066" s="407">
        <f t="shared" si="24"/>
        <v>1.8744037053212446</v>
      </c>
      <c r="G2066" s="408">
        <v>533.50300000000004</v>
      </c>
      <c r="H2066" s="419" t="s">
        <v>182</v>
      </c>
      <c r="I2066" s="419" t="s">
        <v>2936</v>
      </c>
      <c r="J2066" s="243" t="s">
        <v>96</v>
      </c>
      <c r="K2066" s="243" t="s">
        <v>1137</v>
      </c>
      <c r="L2066" s="243" t="s">
        <v>153</v>
      </c>
      <c r="M2066" s="327"/>
      <c r="N2066" s="327"/>
    </row>
    <row r="2067" spans="1:14" ht="15.6" hidden="1">
      <c r="A2067" s="418">
        <v>45904</v>
      </c>
      <c r="B2067" s="419" t="s">
        <v>4880</v>
      </c>
      <c r="C2067" s="419" t="s">
        <v>172</v>
      </c>
      <c r="D2067" s="177" t="s">
        <v>440</v>
      </c>
      <c r="E2067" s="419">
        <v>1000</v>
      </c>
      <c r="F2067" s="407">
        <f t="shared" si="24"/>
        <v>1.8744037053212446</v>
      </c>
      <c r="G2067" s="408">
        <v>533.50300000000004</v>
      </c>
      <c r="H2067" s="419" t="s">
        <v>182</v>
      </c>
      <c r="I2067" s="419" t="s">
        <v>2936</v>
      </c>
      <c r="J2067" s="243" t="s">
        <v>96</v>
      </c>
      <c r="K2067" s="243" t="s">
        <v>1137</v>
      </c>
      <c r="L2067" s="243" t="s">
        <v>153</v>
      </c>
      <c r="M2067" s="327"/>
      <c r="N2067" s="327"/>
    </row>
    <row r="2068" spans="1:14" ht="15.6" hidden="1">
      <c r="A2068" s="418">
        <v>45904</v>
      </c>
      <c r="B2068" s="419" t="s">
        <v>4880</v>
      </c>
      <c r="C2068" s="419" t="s">
        <v>172</v>
      </c>
      <c r="D2068" s="177" t="s">
        <v>440</v>
      </c>
      <c r="E2068" s="419">
        <v>1000</v>
      </c>
      <c r="F2068" s="407">
        <f t="shared" si="24"/>
        <v>1.8744037053212446</v>
      </c>
      <c r="G2068" s="408">
        <v>533.50300000000004</v>
      </c>
      <c r="H2068" s="419" t="s">
        <v>182</v>
      </c>
      <c r="I2068" s="419" t="s">
        <v>2936</v>
      </c>
      <c r="J2068" s="243" t="s">
        <v>96</v>
      </c>
      <c r="K2068" s="243" t="s">
        <v>1137</v>
      </c>
      <c r="L2068" s="243" t="s">
        <v>153</v>
      </c>
      <c r="M2068" s="327"/>
      <c r="N2068" s="327"/>
    </row>
    <row r="2069" spans="1:14" ht="15.6" hidden="1">
      <c r="A2069" s="418">
        <v>45904</v>
      </c>
      <c r="B2069" s="419" t="s">
        <v>4880</v>
      </c>
      <c r="C2069" s="419" t="s">
        <v>172</v>
      </c>
      <c r="D2069" s="177" t="s">
        <v>440</v>
      </c>
      <c r="E2069" s="419">
        <v>1000</v>
      </c>
      <c r="F2069" s="407">
        <f t="shared" si="24"/>
        <v>1.8744037053212446</v>
      </c>
      <c r="G2069" s="408">
        <v>533.50300000000004</v>
      </c>
      <c r="H2069" s="419" t="s">
        <v>182</v>
      </c>
      <c r="I2069" s="419" t="s">
        <v>2936</v>
      </c>
      <c r="J2069" s="243" t="s">
        <v>96</v>
      </c>
      <c r="K2069" s="243" t="s">
        <v>1137</v>
      </c>
      <c r="L2069" s="243" t="s">
        <v>153</v>
      </c>
      <c r="M2069" s="327"/>
      <c r="N2069" s="327"/>
    </row>
    <row r="2070" spans="1:14" ht="15.6" hidden="1">
      <c r="A2070" s="420">
        <v>45904</v>
      </c>
      <c r="B2070" s="413" t="s">
        <v>4936</v>
      </c>
      <c r="C2070" s="413" t="s">
        <v>2394</v>
      </c>
      <c r="D2070" s="177" t="s">
        <v>440</v>
      </c>
      <c r="E2070" s="413">
        <v>310000</v>
      </c>
      <c r="F2070" s="407">
        <f t="shared" si="24"/>
        <v>581.06514864958581</v>
      </c>
      <c r="G2070" s="408">
        <v>533.50300000000004</v>
      </c>
      <c r="H2070" s="413" t="s">
        <v>173</v>
      </c>
      <c r="I2070" s="413" t="s">
        <v>2962</v>
      </c>
      <c r="J2070" s="243" t="s">
        <v>96</v>
      </c>
      <c r="K2070" s="243" t="s">
        <v>1137</v>
      </c>
      <c r="L2070" s="243" t="s">
        <v>153</v>
      </c>
      <c r="M2070" s="395"/>
      <c r="N2070" s="395"/>
    </row>
    <row r="2071" spans="1:14" ht="15.6" hidden="1">
      <c r="A2071" s="420">
        <v>45904</v>
      </c>
      <c r="B2071" s="413" t="s">
        <v>4876</v>
      </c>
      <c r="C2071" s="413" t="s">
        <v>172</v>
      </c>
      <c r="D2071" s="177" t="s">
        <v>440</v>
      </c>
      <c r="E2071" s="413">
        <v>1000</v>
      </c>
      <c r="F2071" s="407">
        <f t="shared" si="24"/>
        <v>1.8744037053212446</v>
      </c>
      <c r="G2071" s="408">
        <v>533.50300000000004</v>
      </c>
      <c r="H2071" s="413" t="s">
        <v>173</v>
      </c>
      <c r="I2071" s="413" t="s">
        <v>2959</v>
      </c>
      <c r="J2071" s="243" t="s">
        <v>96</v>
      </c>
      <c r="K2071" s="243" t="s">
        <v>1137</v>
      </c>
      <c r="L2071" s="243" t="s">
        <v>153</v>
      </c>
      <c r="M2071" s="395"/>
      <c r="N2071" s="395"/>
    </row>
    <row r="2072" spans="1:14" ht="15.6" hidden="1">
      <c r="A2072" s="420">
        <v>45904</v>
      </c>
      <c r="B2072" s="413" t="s">
        <v>4876</v>
      </c>
      <c r="C2072" s="413" t="s">
        <v>172</v>
      </c>
      <c r="D2072" s="177" t="s">
        <v>440</v>
      </c>
      <c r="E2072" s="413">
        <v>1000</v>
      </c>
      <c r="F2072" s="407">
        <f t="shared" si="24"/>
        <v>1.8744037053212446</v>
      </c>
      <c r="G2072" s="408">
        <v>533.50300000000004</v>
      </c>
      <c r="H2072" s="413" t="s">
        <v>173</v>
      </c>
      <c r="I2072" s="413" t="s">
        <v>2959</v>
      </c>
      <c r="J2072" s="243" t="s">
        <v>96</v>
      </c>
      <c r="K2072" s="243" t="s">
        <v>1137</v>
      </c>
      <c r="L2072" s="243" t="s">
        <v>153</v>
      </c>
      <c r="M2072" s="395"/>
      <c r="N2072" s="395"/>
    </row>
    <row r="2073" spans="1:14" ht="15.6" hidden="1">
      <c r="A2073" s="420">
        <v>45904</v>
      </c>
      <c r="B2073" s="413" t="s">
        <v>4748</v>
      </c>
      <c r="C2073" s="413" t="s">
        <v>175</v>
      </c>
      <c r="D2073" s="177" t="s">
        <v>440</v>
      </c>
      <c r="E2073" s="413">
        <v>60000</v>
      </c>
      <c r="F2073" s="407">
        <f t="shared" si="24"/>
        <v>112.46422231927467</v>
      </c>
      <c r="G2073" s="408">
        <v>533.50300000000004</v>
      </c>
      <c r="H2073" s="413" t="s">
        <v>315</v>
      </c>
      <c r="I2073" s="413" t="s">
        <v>2978</v>
      </c>
      <c r="J2073" s="243" t="s">
        <v>96</v>
      </c>
      <c r="K2073" s="243" t="s">
        <v>1137</v>
      </c>
      <c r="L2073" s="243" t="s">
        <v>153</v>
      </c>
      <c r="M2073" s="395"/>
      <c r="N2073" s="395"/>
    </row>
    <row r="2074" spans="1:14" ht="15.6" hidden="1">
      <c r="A2074" s="420">
        <v>45904</v>
      </c>
      <c r="B2074" s="413" t="s">
        <v>4937</v>
      </c>
      <c r="C2074" s="413" t="s">
        <v>172</v>
      </c>
      <c r="D2074" s="177" t="s">
        <v>440</v>
      </c>
      <c r="E2074" s="413">
        <v>2500</v>
      </c>
      <c r="F2074" s="407">
        <f t="shared" si="24"/>
        <v>4.6860092633031112</v>
      </c>
      <c r="G2074" s="408">
        <v>533.50300000000004</v>
      </c>
      <c r="H2074" s="413" t="s">
        <v>315</v>
      </c>
      <c r="I2074" s="413" t="s">
        <v>2976</v>
      </c>
      <c r="J2074" s="243" t="s">
        <v>96</v>
      </c>
      <c r="K2074" s="243" t="s">
        <v>1137</v>
      </c>
      <c r="L2074" s="243" t="s">
        <v>153</v>
      </c>
      <c r="M2074" s="327"/>
      <c r="N2074" s="327"/>
    </row>
    <row r="2075" spans="1:14" ht="15.6" hidden="1">
      <c r="A2075" s="420">
        <v>45904</v>
      </c>
      <c r="B2075" s="413" t="s">
        <v>4938</v>
      </c>
      <c r="C2075" s="413" t="s">
        <v>172</v>
      </c>
      <c r="D2075" s="177" t="s">
        <v>440</v>
      </c>
      <c r="E2075" s="413">
        <v>600</v>
      </c>
      <c r="F2075" s="407">
        <f t="shared" si="24"/>
        <v>1.1246422231927466</v>
      </c>
      <c r="G2075" s="408">
        <v>533.50300000000004</v>
      </c>
      <c r="H2075" s="413" t="s">
        <v>315</v>
      </c>
      <c r="I2075" s="413" t="s">
        <v>2976</v>
      </c>
      <c r="J2075" s="243" t="s">
        <v>96</v>
      </c>
      <c r="K2075" s="243" t="s">
        <v>1137</v>
      </c>
      <c r="L2075" s="243" t="s">
        <v>153</v>
      </c>
      <c r="M2075" s="327"/>
      <c r="N2075" s="327"/>
    </row>
    <row r="2076" spans="1:14" ht="15.6" hidden="1">
      <c r="A2076" s="405">
        <v>45904</v>
      </c>
      <c r="B2076" s="413" t="s">
        <v>3067</v>
      </c>
      <c r="C2076" s="346" t="s">
        <v>194</v>
      </c>
      <c r="D2076" s="346" t="s">
        <v>115</v>
      </c>
      <c r="E2076" s="416">
        <v>500</v>
      </c>
      <c r="F2076" s="407">
        <f t="shared" si="24"/>
        <v>0.93720185266062228</v>
      </c>
      <c r="G2076" s="408">
        <v>533.50300000000004</v>
      </c>
      <c r="H2076" s="252" t="s">
        <v>195</v>
      </c>
      <c r="I2076" s="413" t="s">
        <v>3101</v>
      </c>
      <c r="J2076" s="243" t="s">
        <v>96</v>
      </c>
      <c r="K2076" s="243" t="s">
        <v>1137</v>
      </c>
      <c r="L2076" s="243" t="s">
        <v>153</v>
      </c>
      <c r="M2076" s="76"/>
      <c r="N2076" s="76"/>
    </row>
    <row r="2077" spans="1:14" ht="15.6" hidden="1">
      <c r="A2077" s="405">
        <v>45905</v>
      </c>
      <c r="B2077" s="413" t="s">
        <v>3070</v>
      </c>
      <c r="C2077" s="346" t="s">
        <v>194</v>
      </c>
      <c r="D2077" s="346" t="s">
        <v>115</v>
      </c>
      <c r="E2077" s="416">
        <v>500</v>
      </c>
      <c r="F2077" s="407">
        <f t="shared" si="24"/>
        <v>0.93720185266062228</v>
      </c>
      <c r="G2077" s="408">
        <v>533.50300000000004</v>
      </c>
      <c r="H2077" s="252" t="s">
        <v>195</v>
      </c>
      <c r="I2077" s="413" t="s">
        <v>3101</v>
      </c>
      <c r="J2077" s="243" t="s">
        <v>96</v>
      </c>
      <c r="K2077" s="243" t="s">
        <v>1137</v>
      </c>
      <c r="L2077" s="243" t="s">
        <v>153</v>
      </c>
      <c r="M2077" s="76"/>
      <c r="N2077" s="76"/>
    </row>
    <row r="2078" spans="1:14" ht="15.6" hidden="1">
      <c r="A2078" s="420">
        <v>45904</v>
      </c>
      <c r="B2078" s="413" t="s">
        <v>2227</v>
      </c>
      <c r="C2078" s="413" t="s">
        <v>172</v>
      </c>
      <c r="D2078" s="413" t="s">
        <v>118</v>
      </c>
      <c r="E2078" s="416">
        <v>1000</v>
      </c>
      <c r="F2078" s="407">
        <f t="shared" si="24"/>
        <v>1.8744037053212446</v>
      </c>
      <c r="G2078" s="408">
        <v>533.50300000000004</v>
      </c>
      <c r="H2078" s="413" t="s">
        <v>211</v>
      </c>
      <c r="I2078" s="413" t="s">
        <v>3154</v>
      </c>
      <c r="J2078" s="243" t="s">
        <v>96</v>
      </c>
      <c r="K2078" s="243" t="s">
        <v>1137</v>
      </c>
      <c r="L2078" s="243" t="s">
        <v>153</v>
      </c>
      <c r="M2078" s="76"/>
      <c r="N2078" s="76"/>
    </row>
    <row r="2079" spans="1:14" ht="15.6" hidden="1">
      <c r="A2079" s="420">
        <v>45904</v>
      </c>
      <c r="B2079" s="413" t="s">
        <v>3116</v>
      </c>
      <c r="C2079" s="413" t="s">
        <v>172</v>
      </c>
      <c r="D2079" s="413" t="s">
        <v>118</v>
      </c>
      <c r="E2079" s="416">
        <v>1000</v>
      </c>
      <c r="F2079" s="407">
        <f t="shared" si="24"/>
        <v>1.8744037053212446</v>
      </c>
      <c r="G2079" s="408">
        <v>533.50300000000004</v>
      </c>
      <c r="H2079" s="413" t="s">
        <v>211</v>
      </c>
      <c r="I2079" s="413" t="s">
        <v>3154</v>
      </c>
      <c r="J2079" s="243" t="s">
        <v>96</v>
      </c>
      <c r="K2079" s="243" t="s">
        <v>1137</v>
      </c>
      <c r="L2079" s="243" t="s">
        <v>153</v>
      </c>
      <c r="M2079" s="76"/>
      <c r="N2079" s="76"/>
    </row>
    <row r="2080" spans="1:14" ht="15.6" hidden="1">
      <c r="A2080" s="420">
        <v>45904</v>
      </c>
      <c r="B2080" s="413" t="s">
        <v>3117</v>
      </c>
      <c r="C2080" s="413" t="s">
        <v>172</v>
      </c>
      <c r="D2080" s="413" t="s">
        <v>118</v>
      </c>
      <c r="E2080" s="416">
        <v>1000</v>
      </c>
      <c r="F2080" s="407">
        <f t="shared" si="24"/>
        <v>1.8744037053212446</v>
      </c>
      <c r="G2080" s="408">
        <v>533.50300000000004</v>
      </c>
      <c r="H2080" s="413" t="s">
        <v>211</v>
      </c>
      <c r="I2080" s="413" t="s">
        <v>3154</v>
      </c>
      <c r="J2080" s="243" t="s">
        <v>96</v>
      </c>
      <c r="K2080" s="243" t="s">
        <v>1137</v>
      </c>
      <c r="L2080" s="243" t="s">
        <v>153</v>
      </c>
      <c r="M2080" s="76"/>
      <c r="N2080" s="76"/>
    </row>
    <row r="2081" spans="1:14" ht="15.6" hidden="1">
      <c r="A2081" s="420">
        <v>45904</v>
      </c>
      <c r="B2081" s="413" t="s">
        <v>3118</v>
      </c>
      <c r="C2081" s="413" t="s">
        <v>172</v>
      </c>
      <c r="D2081" s="413" t="s">
        <v>118</v>
      </c>
      <c r="E2081" s="416">
        <v>1000</v>
      </c>
      <c r="F2081" s="407">
        <f t="shared" ref="F2081:F2144" si="25">E2081/G2081</f>
        <v>1.8744037053212446</v>
      </c>
      <c r="G2081" s="408">
        <v>533.50300000000004</v>
      </c>
      <c r="H2081" s="413" t="s">
        <v>211</v>
      </c>
      <c r="I2081" s="413" t="s">
        <v>3154</v>
      </c>
      <c r="J2081" s="243" t="s">
        <v>96</v>
      </c>
      <c r="K2081" s="243" t="s">
        <v>1137</v>
      </c>
      <c r="L2081" s="243" t="s">
        <v>153</v>
      </c>
      <c r="M2081" s="76"/>
      <c r="N2081" s="76"/>
    </row>
    <row r="2082" spans="1:14" ht="15.6" hidden="1">
      <c r="A2082" s="420">
        <v>45904</v>
      </c>
      <c r="B2082" s="413" t="s">
        <v>2230</v>
      </c>
      <c r="C2082" s="413" t="s">
        <v>172</v>
      </c>
      <c r="D2082" s="413" t="s">
        <v>118</v>
      </c>
      <c r="E2082" s="416">
        <v>1000</v>
      </c>
      <c r="F2082" s="407">
        <f t="shared" si="25"/>
        <v>1.8744037053212446</v>
      </c>
      <c r="G2082" s="408">
        <v>533.50300000000004</v>
      </c>
      <c r="H2082" s="413" t="s">
        <v>211</v>
      </c>
      <c r="I2082" s="413" t="s">
        <v>3154</v>
      </c>
      <c r="J2082" s="243" t="s">
        <v>96</v>
      </c>
      <c r="K2082" s="243" t="s">
        <v>1137</v>
      </c>
      <c r="L2082" s="243" t="s">
        <v>153</v>
      </c>
      <c r="M2082" s="76"/>
      <c r="N2082" s="76"/>
    </row>
    <row r="2083" spans="1:14" ht="15.6" hidden="1">
      <c r="A2083" s="420">
        <v>45904</v>
      </c>
      <c r="B2083" s="413" t="s">
        <v>2231</v>
      </c>
      <c r="C2083" s="413" t="s">
        <v>172</v>
      </c>
      <c r="D2083" s="413" t="s">
        <v>118</v>
      </c>
      <c r="E2083" s="416">
        <v>1000</v>
      </c>
      <c r="F2083" s="407">
        <f t="shared" si="25"/>
        <v>1.8744037053212446</v>
      </c>
      <c r="G2083" s="408">
        <v>533.50300000000004</v>
      </c>
      <c r="H2083" s="413" t="s">
        <v>211</v>
      </c>
      <c r="I2083" s="413" t="s">
        <v>3154</v>
      </c>
      <c r="J2083" s="243" t="s">
        <v>96</v>
      </c>
      <c r="K2083" s="243" t="s">
        <v>1137</v>
      </c>
      <c r="L2083" s="243" t="s">
        <v>153</v>
      </c>
      <c r="M2083" s="76"/>
      <c r="N2083" s="76"/>
    </row>
    <row r="2084" spans="1:14" ht="15.6" hidden="1">
      <c r="A2084" s="420">
        <v>45904</v>
      </c>
      <c r="B2084" s="413" t="s">
        <v>3119</v>
      </c>
      <c r="C2084" s="413" t="s">
        <v>172</v>
      </c>
      <c r="D2084" s="413" t="s">
        <v>118</v>
      </c>
      <c r="E2084" s="416">
        <v>1000</v>
      </c>
      <c r="F2084" s="407">
        <f t="shared" si="25"/>
        <v>1.8744037053212446</v>
      </c>
      <c r="G2084" s="408">
        <v>533.50300000000004</v>
      </c>
      <c r="H2084" s="413" t="s">
        <v>211</v>
      </c>
      <c r="I2084" s="413" t="s">
        <v>3154</v>
      </c>
      <c r="J2084" s="243" t="s">
        <v>96</v>
      </c>
      <c r="K2084" s="243" t="s">
        <v>1137</v>
      </c>
      <c r="L2084" s="243" t="s">
        <v>153</v>
      </c>
      <c r="M2084" s="76"/>
      <c r="N2084" s="76"/>
    </row>
    <row r="2085" spans="1:14" ht="15.6" hidden="1">
      <c r="A2085" s="420">
        <v>45904</v>
      </c>
      <c r="B2085" s="243" t="s">
        <v>3120</v>
      </c>
      <c r="C2085" s="243" t="s">
        <v>2092</v>
      </c>
      <c r="D2085" s="413" t="s">
        <v>118</v>
      </c>
      <c r="E2085" s="412">
        <v>6000</v>
      </c>
      <c r="F2085" s="407">
        <f t="shared" si="25"/>
        <v>11.246422231927466</v>
      </c>
      <c r="G2085" s="408">
        <v>533.50300000000004</v>
      </c>
      <c r="H2085" s="413" t="s">
        <v>211</v>
      </c>
      <c r="I2085" s="243" t="s">
        <v>3158</v>
      </c>
      <c r="J2085" s="243" t="s">
        <v>96</v>
      </c>
      <c r="K2085" s="243" t="s">
        <v>1137</v>
      </c>
      <c r="L2085" s="243" t="s">
        <v>153</v>
      </c>
      <c r="M2085" s="76"/>
      <c r="N2085" s="76"/>
    </row>
    <row r="2086" spans="1:14" ht="15.6" hidden="1">
      <c r="A2086" s="415">
        <v>45904</v>
      </c>
      <c r="B2086" s="243" t="s">
        <v>3121</v>
      </c>
      <c r="C2086" s="243" t="s">
        <v>2092</v>
      </c>
      <c r="D2086" s="413" t="s">
        <v>118</v>
      </c>
      <c r="E2086" s="412">
        <v>6000</v>
      </c>
      <c r="F2086" s="407">
        <f t="shared" si="25"/>
        <v>11.246422231927466</v>
      </c>
      <c r="G2086" s="408">
        <v>533.50300000000004</v>
      </c>
      <c r="H2086" s="413" t="s">
        <v>211</v>
      </c>
      <c r="I2086" s="243" t="s">
        <v>3158</v>
      </c>
      <c r="J2086" s="243" t="s">
        <v>96</v>
      </c>
      <c r="K2086" s="243" t="s">
        <v>1137</v>
      </c>
      <c r="L2086" s="243" t="s">
        <v>153</v>
      </c>
      <c r="M2086" s="76"/>
      <c r="N2086" s="76"/>
    </row>
    <row r="2087" spans="1:14" ht="15.6" hidden="1">
      <c r="A2087" s="415">
        <v>45904</v>
      </c>
      <c r="B2087" s="243" t="s">
        <v>3122</v>
      </c>
      <c r="C2087" s="243" t="s">
        <v>2092</v>
      </c>
      <c r="D2087" s="413" t="s">
        <v>118</v>
      </c>
      <c r="E2087" s="412">
        <v>6000</v>
      </c>
      <c r="F2087" s="407">
        <f t="shared" si="25"/>
        <v>11.246422231927466</v>
      </c>
      <c r="G2087" s="408">
        <v>533.50300000000004</v>
      </c>
      <c r="H2087" s="413" t="s">
        <v>211</v>
      </c>
      <c r="I2087" s="243" t="s">
        <v>3158</v>
      </c>
      <c r="J2087" s="243" t="s">
        <v>96</v>
      </c>
      <c r="K2087" s="243" t="s">
        <v>1137</v>
      </c>
      <c r="L2087" s="243" t="s">
        <v>153</v>
      </c>
      <c r="M2087" s="76"/>
      <c r="N2087" s="76"/>
    </row>
    <row r="2088" spans="1:14" ht="15.6" hidden="1">
      <c r="A2088" s="415">
        <v>45904</v>
      </c>
      <c r="B2088" s="243" t="s">
        <v>3123</v>
      </c>
      <c r="C2088" s="243" t="s">
        <v>2092</v>
      </c>
      <c r="D2088" s="413" t="s">
        <v>118</v>
      </c>
      <c r="E2088" s="412">
        <v>6000</v>
      </c>
      <c r="F2088" s="407">
        <f t="shared" si="25"/>
        <v>11.246422231927466</v>
      </c>
      <c r="G2088" s="408">
        <v>533.50300000000004</v>
      </c>
      <c r="H2088" s="413" t="s">
        <v>211</v>
      </c>
      <c r="I2088" s="243" t="s">
        <v>3158</v>
      </c>
      <c r="J2088" s="243" t="s">
        <v>96</v>
      </c>
      <c r="K2088" s="243" t="s">
        <v>1137</v>
      </c>
      <c r="L2088" s="243" t="s">
        <v>153</v>
      </c>
      <c r="M2088" s="76"/>
      <c r="N2088" s="76"/>
    </row>
    <row r="2089" spans="1:14" ht="15.6" hidden="1">
      <c r="A2089" s="415">
        <v>45904</v>
      </c>
      <c r="B2089" s="243" t="s">
        <v>3124</v>
      </c>
      <c r="C2089" s="243" t="s">
        <v>2092</v>
      </c>
      <c r="D2089" s="413" t="s">
        <v>118</v>
      </c>
      <c r="E2089" s="412">
        <v>6000</v>
      </c>
      <c r="F2089" s="407">
        <f t="shared" si="25"/>
        <v>11.246422231927466</v>
      </c>
      <c r="G2089" s="408">
        <v>533.50300000000004</v>
      </c>
      <c r="H2089" s="413" t="s">
        <v>211</v>
      </c>
      <c r="I2089" s="243" t="s">
        <v>3158</v>
      </c>
      <c r="J2089" s="243" t="s">
        <v>96</v>
      </c>
      <c r="K2089" s="243" t="s">
        <v>1137</v>
      </c>
      <c r="L2089" s="243" t="s">
        <v>153</v>
      </c>
      <c r="M2089" s="76"/>
      <c r="N2089" s="76"/>
    </row>
    <row r="2090" spans="1:14" ht="15.6" hidden="1">
      <c r="A2090" s="415">
        <v>45904</v>
      </c>
      <c r="B2090" s="243" t="s">
        <v>3125</v>
      </c>
      <c r="C2090" s="243" t="s">
        <v>2092</v>
      </c>
      <c r="D2090" s="413" t="s">
        <v>118</v>
      </c>
      <c r="E2090" s="412">
        <v>6000</v>
      </c>
      <c r="F2090" s="407">
        <f t="shared" si="25"/>
        <v>11.246422231927466</v>
      </c>
      <c r="G2090" s="408">
        <v>533.50300000000004</v>
      </c>
      <c r="H2090" s="413" t="s">
        <v>211</v>
      </c>
      <c r="I2090" s="243" t="s">
        <v>3158</v>
      </c>
      <c r="J2090" s="243" t="s">
        <v>96</v>
      </c>
      <c r="K2090" s="243" t="s">
        <v>1137</v>
      </c>
      <c r="L2090" s="243" t="s">
        <v>153</v>
      </c>
      <c r="M2090" s="76"/>
      <c r="N2090" s="76"/>
    </row>
    <row r="2091" spans="1:14" ht="15.6" hidden="1">
      <c r="A2091" s="415">
        <v>45904</v>
      </c>
      <c r="B2091" s="243" t="s">
        <v>3126</v>
      </c>
      <c r="C2091" s="243" t="s">
        <v>2092</v>
      </c>
      <c r="D2091" s="413" t="s">
        <v>118</v>
      </c>
      <c r="E2091" s="412">
        <v>6000</v>
      </c>
      <c r="F2091" s="407">
        <f t="shared" si="25"/>
        <v>11.246422231927466</v>
      </c>
      <c r="G2091" s="408">
        <v>533.50300000000004</v>
      </c>
      <c r="H2091" s="413" t="s">
        <v>211</v>
      </c>
      <c r="I2091" s="243" t="s">
        <v>3158</v>
      </c>
      <c r="J2091" s="243" t="s">
        <v>96</v>
      </c>
      <c r="K2091" s="243" t="s">
        <v>1137</v>
      </c>
      <c r="L2091" s="243" t="s">
        <v>153</v>
      </c>
      <c r="M2091" s="76"/>
      <c r="N2091" s="76"/>
    </row>
    <row r="2092" spans="1:14" ht="15.6" hidden="1">
      <c r="A2092" s="415">
        <v>45904</v>
      </c>
      <c r="B2092" s="243" t="s">
        <v>3127</v>
      </c>
      <c r="C2092" s="243" t="s">
        <v>2092</v>
      </c>
      <c r="D2092" s="413" t="s">
        <v>118</v>
      </c>
      <c r="E2092" s="412">
        <v>6000</v>
      </c>
      <c r="F2092" s="407">
        <f t="shared" si="25"/>
        <v>11.246422231927466</v>
      </c>
      <c r="G2092" s="408">
        <v>533.50300000000004</v>
      </c>
      <c r="H2092" s="413" t="s">
        <v>211</v>
      </c>
      <c r="I2092" s="243" t="s">
        <v>3158</v>
      </c>
      <c r="J2092" s="243" t="s">
        <v>96</v>
      </c>
      <c r="K2092" s="243" t="s">
        <v>1137</v>
      </c>
      <c r="L2092" s="243" t="s">
        <v>153</v>
      </c>
      <c r="M2092" s="76"/>
      <c r="N2092" s="76"/>
    </row>
    <row r="2093" spans="1:14" ht="15.6" hidden="1">
      <c r="A2093" s="415">
        <v>45904</v>
      </c>
      <c r="B2093" s="243" t="s">
        <v>3128</v>
      </c>
      <c r="C2093" s="243" t="s">
        <v>2092</v>
      </c>
      <c r="D2093" s="413" t="s">
        <v>118</v>
      </c>
      <c r="E2093" s="412">
        <v>6000</v>
      </c>
      <c r="F2093" s="407">
        <f t="shared" si="25"/>
        <v>11.246422231927466</v>
      </c>
      <c r="G2093" s="408">
        <v>533.50300000000004</v>
      </c>
      <c r="H2093" s="413" t="s">
        <v>211</v>
      </c>
      <c r="I2093" s="243" t="s">
        <v>3158</v>
      </c>
      <c r="J2093" s="243" t="s">
        <v>96</v>
      </c>
      <c r="K2093" s="243" t="s">
        <v>1137</v>
      </c>
      <c r="L2093" s="243" t="s">
        <v>153</v>
      </c>
      <c r="M2093" s="76"/>
      <c r="N2093" s="76"/>
    </row>
    <row r="2094" spans="1:14" ht="15.6" hidden="1">
      <c r="A2094" s="415">
        <v>45904</v>
      </c>
      <c r="B2094" s="243" t="s">
        <v>3129</v>
      </c>
      <c r="C2094" s="243" t="s">
        <v>2092</v>
      </c>
      <c r="D2094" s="413" t="s">
        <v>118</v>
      </c>
      <c r="E2094" s="412">
        <v>6000</v>
      </c>
      <c r="F2094" s="407">
        <f t="shared" si="25"/>
        <v>11.246422231927466</v>
      </c>
      <c r="G2094" s="408">
        <v>533.50300000000004</v>
      </c>
      <c r="H2094" s="413" t="s">
        <v>211</v>
      </c>
      <c r="I2094" s="243" t="s">
        <v>3158</v>
      </c>
      <c r="J2094" s="243" t="s">
        <v>96</v>
      </c>
      <c r="K2094" s="243" t="s">
        <v>1137</v>
      </c>
      <c r="L2094" s="243" t="s">
        <v>153</v>
      </c>
      <c r="M2094" s="76"/>
      <c r="N2094" s="76"/>
    </row>
    <row r="2095" spans="1:14" ht="15.6" hidden="1">
      <c r="A2095" s="415">
        <v>45904</v>
      </c>
      <c r="B2095" s="243" t="s">
        <v>3130</v>
      </c>
      <c r="C2095" s="243" t="s">
        <v>2092</v>
      </c>
      <c r="D2095" s="413" t="s">
        <v>118</v>
      </c>
      <c r="E2095" s="412">
        <v>6000</v>
      </c>
      <c r="F2095" s="407">
        <f t="shared" si="25"/>
        <v>11.246422231927466</v>
      </c>
      <c r="G2095" s="408">
        <v>533.50300000000004</v>
      </c>
      <c r="H2095" s="413" t="s">
        <v>211</v>
      </c>
      <c r="I2095" s="243" t="s">
        <v>3158</v>
      </c>
      <c r="J2095" s="243" t="s">
        <v>96</v>
      </c>
      <c r="K2095" s="243" t="s">
        <v>1137</v>
      </c>
      <c r="L2095" s="243" t="s">
        <v>153</v>
      </c>
      <c r="M2095" s="76"/>
      <c r="N2095" s="76"/>
    </row>
    <row r="2096" spans="1:14" ht="15.6" hidden="1">
      <c r="A2096" s="415">
        <v>45904</v>
      </c>
      <c r="B2096" s="243" t="s">
        <v>3131</v>
      </c>
      <c r="C2096" s="243" t="s">
        <v>2092</v>
      </c>
      <c r="D2096" s="413" t="s">
        <v>118</v>
      </c>
      <c r="E2096" s="412">
        <v>6000</v>
      </c>
      <c r="F2096" s="407">
        <f t="shared" si="25"/>
        <v>11.246422231927466</v>
      </c>
      <c r="G2096" s="408">
        <v>533.50300000000004</v>
      </c>
      <c r="H2096" s="413" t="s">
        <v>211</v>
      </c>
      <c r="I2096" s="243" t="s">
        <v>3158</v>
      </c>
      <c r="J2096" s="243" t="s">
        <v>96</v>
      </c>
      <c r="K2096" s="243" t="s">
        <v>1137</v>
      </c>
      <c r="L2096" s="243" t="s">
        <v>153</v>
      </c>
      <c r="M2096" s="76"/>
      <c r="N2096" s="76"/>
    </row>
    <row r="2097" spans="1:14" ht="15.6" hidden="1">
      <c r="A2097" s="415">
        <v>45904</v>
      </c>
      <c r="B2097" s="243" t="s">
        <v>3132</v>
      </c>
      <c r="C2097" s="243" t="s">
        <v>2092</v>
      </c>
      <c r="D2097" s="413" t="s">
        <v>118</v>
      </c>
      <c r="E2097" s="412">
        <v>6000</v>
      </c>
      <c r="F2097" s="407">
        <f t="shared" si="25"/>
        <v>11.246422231927466</v>
      </c>
      <c r="G2097" s="408">
        <v>533.50300000000004</v>
      </c>
      <c r="H2097" s="413" t="s">
        <v>211</v>
      </c>
      <c r="I2097" s="243" t="s">
        <v>3158</v>
      </c>
      <c r="J2097" s="243" t="s">
        <v>96</v>
      </c>
      <c r="K2097" s="243" t="s">
        <v>1137</v>
      </c>
      <c r="L2097" s="243" t="s">
        <v>153</v>
      </c>
      <c r="M2097" s="76"/>
      <c r="N2097" s="76"/>
    </row>
    <row r="2098" spans="1:14" ht="15.6" hidden="1">
      <c r="A2098" s="415">
        <v>45904</v>
      </c>
      <c r="B2098" s="243" t="s">
        <v>3133</v>
      </c>
      <c r="C2098" s="243" t="s">
        <v>2092</v>
      </c>
      <c r="D2098" s="413" t="s">
        <v>118</v>
      </c>
      <c r="E2098" s="412">
        <v>6000</v>
      </c>
      <c r="F2098" s="407">
        <f t="shared" si="25"/>
        <v>11.246422231927466</v>
      </c>
      <c r="G2098" s="408">
        <v>533.50300000000004</v>
      </c>
      <c r="H2098" s="413" t="s">
        <v>211</v>
      </c>
      <c r="I2098" s="243" t="s">
        <v>3158</v>
      </c>
      <c r="J2098" s="243" t="s">
        <v>96</v>
      </c>
      <c r="K2098" s="243" t="s">
        <v>1137</v>
      </c>
      <c r="L2098" s="243" t="s">
        <v>153</v>
      </c>
      <c r="M2098" s="76"/>
      <c r="N2098" s="76"/>
    </row>
    <row r="2099" spans="1:14" ht="15.6" hidden="1">
      <c r="A2099" s="415">
        <v>45904</v>
      </c>
      <c r="B2099" s="243" t="s">
        <v>3134</v>
      </c>
      <c r="C2099" s="243" t="s">
        <v>2092</v>
      </c>
      <c r="D2099" s="413" t="s">
        <v>118</v>
      </c>
      <c r="E2099" s="412">
        <v>10000</v>
      </c>
      <c r="F2099" s="407">
        <f t="shared" si="25"/>
        <v>18.744037053212445</v>
      </c>
      <c r="G2099" s="408">
        <v>533.50300000000004</v>
      </c>
      <c r="H2099" s="413" t="s">
        <v>211</v>
      </c>
      <c r="I2099" s="243" t="s">
        <v>3159</v>
      </c>
      <c r="J2099" s="243" t="s">
        <v>96</v>
      </c>
      <c r="K2099" s="243" t="s">
        <v>1137</v>
      </c>
      <c r="L2099" s="243" t="s">
        <v>153</v>
      </c>
      <c r="M2099" s="76"/>
      <c r="N2099" s="76"/>
    </row>
    <row r="2100" spans="1:14" ht="15.6" hidden="1">
      <c r="A2100" s="415">
        <v>45904</v>
      </c>
      <c r="B2100" s="243" t="s">
        <v>3135</v>
      </c>
      <c r="C2100" s="243" t="s">
        <v>2092</v>
      </c>
      <c r="D2100" s="413" t="s">
        <v>118</v>
      </c>
      <c r="E2100" s="412">
        <v>10000</v>
      </c>
      <c r="F2100" s="407">
        <f t="shared" si="25"/>
        <v>18.744037053212445</v>
      </c>
      <c r="G2100" s="408">
        <v>533.50300000000004</v>
      </c>
      <c r="H2100" s="413" t="s">
        <v>211</v>
      </c>
      <c r="I2100" s="243" t="s">
        <v>3159</v>
      </c>
      <c r="J2100" s="243" t="s">
        <v>96</v>
      </c>
      <c r="K2100" s="243" t="s">
        <v>1137</v>
      </c>
      <c r="L2100" s="243" t="s">
        <v>153</v>
      </c>
      <c r="M2100" s="76"/>
      <c r="N2100" s="76"/>
    </row>
    <row r="2101" spans="1:14" ht="15.6" hidden="1">
      <c r="A2101" s="415">
        <v>45904</v>
      </c>
      <c r="B2101" s="243" t="s">
        <v>3136</v>
      </c>
      <c r="C2101" s="243" t="s">
        <v>2092</v>
      </c>
      <c r="D2101" s="413" t="s">
        <v>118</v>
      </c>
      <c r="E2101" s="412">
        <v>10000</v>
      </c>
      <c r="F2101" s="407">
        <f t="shared" si="25"/>
        <v>18.744037053212445</v>
      </c>
      <c r="G2101" s="408">
        <v>533.50300000000004</v>
      </c>
      <c r="H2101" s="413" t="s">
        <v>211</v>
      </c>
      <c r="I2101" s="243" t="s">
        <v>3159</v>
      </c>
      <c r="J2101" s="243" t="s">
        <v>96</v>
      </c>
      <c r="K2101" s="243" t="s">
        <v>1137</v>
      </c>
      <c r="L2101" s="243" t="s">
        <v>153</v>
      </c>
      <c r="M2101" s="76"/>
      <c r="N2101" s="76"/>
    </row>
    <row r="2102" spans="1:14" ht="15.6" hidden="1">
      <c r="A2102" s="415">
        <v>45904</v>
      </c>
      <c r="B2102" s="243" t="s">
        <v>3137</v>
      </c>
      <c r="C2102" s="243" t="s">
        <v>2092</v>
      </c>
      <c r="D2102" s="413" t="s">
        <v>118</v>
      </c>
      <c r="E2102" s="412">
        <v>10000</v>
      </c>
      <c r="F2102" s="407">
        <f t="shared" si="25"/>
        <v>18.744037053212445</v>
      </c>
      <c r="G2102" s="408">
        <v>533.50300000000004</v>
      </c>
      <c r="H2102" s="413" t="s">
        <v>211</v>
      </c>
      <c r="I2102" s="243" t="s">
        <v>3159</v>
      </c>
      <c r="J2102" s="243" t="s">
        <v>96</v>
      </c>
      <c r="K2102" s="243" t="s">
        <v>1137</v>
      </c>
      <c r="L2102" s="243" t="s">
        <v>153</v>
      </c>
      <c r="M2102" s="76"/>
      <c r="N2102" s="76"/>
    </row>
    <row r="2103" spans="1:14" ht="15.6" hidden="1">
      <c r="A2103" s="415">
        <v>45904</v>
      </c>
      <c r="B2103" s="243" t="s">
        <v>3138</v>
      </c>
      <c r="C2103" s="243" t="s">
        <v>2092</v>
      </c>
      <c r="D2103" s="413" t="s">
        <v>118</v>
      </c>
      <c r="E2103" s="412">
        <v>6000</v>
      </c>
      <c r="F2103" s="407">
        <f t="shared" si="25"/>
        <v>11.246422231927466</v>
      </c>
      <c r="G2103" s="408">
        <v>533.50300000000004</v>
      </c>
      <c r="H2103" s="413" t="s">
        <v>211</v>
      </c>
      <c r="I2103" s="243" t="s">
        <v>3160</v>
      </c>
      <c r="J2103" s="243" t="s">
        <v>96</v>
      </c>
      <c r="K2103" s="243" t="s">
        <v>1137</v>
      </c>
      <c r="L2103" s="243" t="s">
        <v>153</v>
      </c>
      <c r="M2103" s="76"/>
      <c r="N2103" s="76"/>
    </row>
    <row r="2104" spans="1:14" ht="15.6" hidden="1">
      <c r="A2104" s="415">
        <v>45904</v>
      </c>
      <c r="B2104" s="243" t="s">
        <v>3139</v>
      </c>
      <c r="C2104" s="243" t="s">
        <v>2092</v>
      </c>
      <c r="D2104" s="413" t="s">
        <v>118</v>
      </c>
      <c r="E2104" s="412">
        <v>6000</v>
      </c>
      <c r="F2104" s="407">
        <f t="shared" si="25"/>
        <v>11.246422231927466</v>
      </c>
      <c r="G2104" s="408">
        <v>533.50300000000004</v>
      </c>
      <c r="H2104" s="413" t="s">
        <v>211</v>
      </c>
      <c r="I2104" s="243" t="s">
        <v>3160</v>
      </c>
      <c r="J2104" s="243" t="s">
        <v>96</v>
      </c>
      <c r="K2104" s="243" t="s">
        <v>1137</v>
      </c>
      <c r="L2104" s="243" t="s">
        <v>153</v>
      </c>
      <c r="M2104" s="76"/>
      <c r="N2104" s="76"/>
    </row>
    <row r="2105" spans="1:14" ht="15.6" hidden="1">
      <c r="A2105" s="415">
        <v>45904</v>
      </c>
      <c r="B2105" s="243" t="s">
        <v>3140</v>
      </c>
      <c r="C2105" s="243" t="s">
        <v>2092</v>
      </c>
      <c r="D2105" s="413" t="s">
        <v>118</v>
      </c>
      <c r="E2105" s="412">
        <v>6000</v>
      </c>
      <c r="F2105" s="407">
        <f t="shared" si="25"/>
        <v>11.246422231927466</v>
      </c>
      <c r="G2105" s="408">
        <v>533.50300000000004</v>
      </c>
      <c r="H2105" s="413" t="s">
        <v>211</v>
      </c>
      <c r="I2105" s="243" t="s">
        <v>3160</v>
      </c>
      <c r="J2105" s="243" t="s">
        <v>96</v>
      </c>
      <c r="K2105" s="243" t="s">
        <v>1137</v>
      </c>
      <c r="L2105" s="243" t="s">
        <v>153</v>
      </c>
      <c r="M2105" s="76"/>
      <c r="N2105" s="76"/>
    </row>
    <row r="2106" spans="1:14" ht="15.6" hidden="1">
      <c r="A2106" s="415">
        <v>45904</v>
      </c>
      <c r="B2106" s="243" t="s">
        <v>3141</v>
      </c>
      <c r="C2106" s="243" t="s">
        <v>2092</v>
      </c>
      <c r="D2106" s="413" t="s">
        <v>118</v>
      </c>
      <c r="E2106" s="412">
        <v>6000</v>
      </c>
      <c r="F2106" s="407">
        <f t="shared" si="25"/>
        <v>11.246422231927466</v>
      </c>
      <c r="G2106" s="408">
        <v>533.50300000000004</v>
      </c>
      <c r="H2106" s="413" t="s">
        <v>211</v>
      </c>
      <c r="I2106" s="243" t="s">
        <v>3160</v>
      </c>
      <c r="J2106" s="243" t="s">
        <v>96</v>
      </c>
      <c r="K2106" s="243" t="s">
        <v>1137</v>
      </c>
      <c r="L2106" s="243" t="s">
        <v>153</v>
      </c>
      <c r="M2106" s="76"/>
      <c r="N2106" s="76"/>
    </row>
    <row r="2107" spans="1:14" ht="15.6" hidden="1">
      <c r="A2107" s="420">
        <v>45905</v>
      </c>
      <c r="B2107" s="346" t="s">
        <v>2103</v>
      </c>
      <c r="C2107" s="406" t="s">
        <v>172</v>
      </c>
      <c r="D2107" s="406" t="s">
        <v>117</v>
      </c>
      <c r="E2107" s="346">
        <v>1000</v>
      </c>
      <c r="F2107" s="407">
        <f t="shared" si="25"/>
        <v>1.8744037053212446</v>
      </c>
      <c r="G2107" s="408">
        <v>533.50300000000004</v>
      </c>
      <c r="H2107" s="409" t="s">
        <v>151</v>
      </c>
      <c r="I2107" s="413" t="s">
        <v>2824</v>
      </c>
      <c r="J2107" s="243" t="s">
        <v>96</v>
      </c>
      <c r="K2107" s="243" t="s">
        <v>1137</v>
      </c>
      <c r="L2107" s="243" t="s">
        <v>153</v>
      </c>
      <c r="M2107" s="327"/>
      <c r="N2107" s="327"/>
    </row>
    <row r="2108" spans="1:14" ht="15.6" hidden="1">
      <c r="A2108" s="420">
        <v>45905</v>
      </c>
      <c r="B2108" s="346" t="s">
        <v>2104</v>
      </c>
      <c r="C2108" s="406" t="s">
        <v>172</v>
      </c>
      <c r="D2108" s="406" t="s">
        <v>117</v>
      </c>
      <c r="E2108" s="346">
        <v>1000</v>
      </c>
      <c r="F2108" s="407">
        <f t="shared" si="25"/>
        <v>1.8744037053212446</v>
      </c>
      <c r="G2108" s="408">
        <v>533.50300000000004</v>
      </c>
      <c r="H2108" s="409" t="s">
        <v>151</v>
      </c>
      <c r="I2108" s="413" t="s">
        <v>2824</v>
      </c>
      <c r="J2108" s="243" t="s">
        <v>96</v>
      </c>
      <c r="K2108" s="243" t="s">
        <v>1137</v>
      </c>
      <c r="L2108" s="243" t="s">
        <v>153</v>
      </c>
      <c r="M2108" s="327"/>
      <c r="N2108" s="327"/>
    </row>
    <row r="2109" spans="1:14" ht="15.6" hidden="1">
      <c r="A2109" s="418">
        <v>45905</v>
      </c>
      <c r="B2109" s="419" t="s">
        <v>4927</v>
      </c>
      <c r="C2109" s="419" t="s">
        <v>172</v>
      </c>
      <c r="D2109" s="177" t="s">
        <v>440</v>
      </c>
      <c r="E2109" s="419">
        <v>1000</v>
      </c>
      <c r="F2109" s="407">
        <f t="shared" si="25"/>
        <v>1.8744037053212446</v>
      </c>
      <c r="G2109" s="408">
        <v>533.50300000000004</v>
      </c>
      <c r="H2109" s="419" t="s">
        <v>182</v>
      </c>
      <c r="I2109" s="419" t="s">
        <v>2936</v>
      </c>
      <c r="J2109" s="243" t="s">
        <v>96</v>
      </c>
      <c r="K2109" s="243" t="s">
        <v>1137</v>
      </c>
      <c r="L2109" s="243" t="s">
        <v>153</v>
      </c>
      <c r="M2109" s="327"/>
      <c r="N2109" s="327"/>
    </row>
    <row r="2110" spans="1:14" ht="15.6" hidden="1">
      <c r="A2110" s="418">
        <v>45905</v>
      </c>
      <c r="B2110" s="419" t="s">
        <v>4917</v>
      </c>
      <c r="C2110" s="419" t="s">
        <v>172</v>
      </c>
      <c r="D2110" s="177" t="s">
        <v>440</v>
      </c>
      <c r="E2110" s="419">
        <v>1000</v>
      </c>
      <c r="F2110" s="407">
        <f t="shared" si="25"/>
        <v>1.8744037053212446</v>
      </c>
      <c r="G2110" s="408">
        <v>533.50300000000004</v>
      </c>
      <c r="H2110" s="419" t="s">
        <v>182</v>
      </c>
      <c r="I2110" s="419" t="s">
        <v>2936</v>
      </c>
      <c r="J2110" s="243" t="s">
        <v>96</v>
      </c>
      <c r="K2110" s="243" t="s">
        <v>1137</v>
      </c>
      <c r="L2110" s="243" t="s">
        <v>153</v>
      </c>
      <c r="M2110" s="327"/>
      <c r="N2110" s="327"/>
    </row>
    <row r="2111" spans="1:14" ht="15.6" hidden="1">
      <c r="A2111" s="418">
        <v>45905</v>
      </c>
      <c r="B2111" s="419" t="s">
        <v>4917</v>
      </c>
      <c r="C2111" s="419" t="s">
        <v>172</v>
      </c>
      <c r="D2111" s="177" t="s">
        <v>440</v>
      </c>
      <c r="E2111" s="419">
        <v>1000</v>
      </c>
      <c r="F2111" s="407">
        <f t="shared" si="25"/>
        <v>1.8744037053212446</v>
      </c>
      <c r="G2111" s="408">
        <v>533.50300000000004</v>
      </c>
      <c r="H2111" s="419" t="s">
        <v>182</v>
      </c>
      <c r="I2111" s="419" t="s">
        <v>2936</v>
      </c>
      <c r="J2111" s="243" t="s">
        <v>96</v>
      </c>
      <c r="K2111" s="243" t="s">
        <v>1137</v>
      </c>
      <c r="L2111" s="243" t="s">
        <v>153</v>
      </c>
      <c r="M2111" s="327"/>
      <c r="N2111" s="327"/>
    </row>
    <row r="2112" spans="1:14" ht="15.6" hidden="1">
      <c r="A2112" s="418">
        <v>45905</v>
      </c>
      <c r="B2112" s="419" t="s">
        <v>4917</v>
      </c>
      <c r="C2112" s="419" t="s">
        <v>172</v>
      </c>
      <c r="D2112" s="177" t="s">
        <v>440</v>
      </c>
      <c r="E2112" s="419">
        <v>1000</v>
      </c>
      <c r="F2112" s="407">
        <f t="shared" si="25"/>
        <v>1.8744037053212446</v>
      </c>
      <c r="G2112" s="408">
        <v>533.50300000000004</v>
      </c>
      <c r="H2112" s="419" t="s">
        <v>182</v>
      </c>
      <c r="I2112" s="419" t="s">
        <v>2936</v>
      </c>
      <c r="J2112" s="243" t="s">
        <v>96</v>
      </c>
      <c r="K2112" s="243" t="s">
        <v>1137</v>
      </c>
      <c r="L2112" s="243" t="s">
        <v>153</v>
      </c>
      <c r="M2112" s="327"/>
      <c r="N2112" s="327"/>
    </row>
    <row r="2113" spans="1:14" ht="15.6" hidden="1">
      <c r="A2113" s="418">
        <v>45905</v>
      </c>
      <c r="B2113" s="419" t="s">
        <v>4917</v>
      </c>
      <c r="C2113" s="419" t="s">
        <v>172</v>
      </c>
      <c r="D2113" s="177" t="s">
        <v>440</v>
      </c>
      <c r="E2113" s="419">
        <v>1000</v>
      </c>
      <c r="F2113" s="407">
        <f t="shared" si="25"/>
        <v>1.8744037053212446</v>
      </c>
      <c r="G2113" s="408">
        <v>533.50300000000004</v>
      </c>
      <c r="H2113" s="419" t="s">
        <v>182</v>
      </c>
      <c r="I2113" s="419" t="s">
        <v>2936</v>
      </c>
      <c r="J2113" s="243" t="s">
        <v>96</v>
      </c>
      <c r="K2113" s="243" t="s">
        <v>1137</v>
      </c>
      <c r="L2113" s="243" t="s">
        <v>153</v>
      </c>
      <c r="M2113" s="327"/>
      <c r="N2113" s="327"/>
    </row>
    <row r="2114" spans="1:14" ht="15.6" hidden="1">
      <c r="A2114" s="418">
        <v>45905</v>
      </c>
      <c r="B2114" s="419" t="s">
        <v>4939</v>
      </c>
      <c r="C2114" s="419" t="s">
        <v>366</v>
      </c>
      <c r="D2114" s="177" t="s">
        <v>440</v>
      </c>
      <c r="E2114" s="419">
        <v>1000</v>
      </c>
      <c r="F2114" s="407">
        <f t="shared" si="25"/>
        <v>1.8744037053212446</v>
      </c>
      <c r="G2114" s="408">
        <v>533.50300000000004</v>
      </c>
      <c r="H2114" s="419" t="s">
        <v>182</v>
      </c>
      <c r="I2114" s="419" t="s">
        <v>2940</v>
      </c>
      <c r="J2114" s="243" t="s">
        <v>96</v>
      </c>
      <c r="K2114" s="243" t="s">
        <v>1137</v>
      </c>
      <c r="L2114" s="243" t="s">
        <v>153</v>
      </c>
      <c r="M2114" s="327"/>
      <c r="N2114" s="327"/>
    </row>
    <row r="2115" spans="1:14" ht="15.6" hidden="1">
      <c r="A2115" s="420">
        <v>45905</v>
      </c>
      <c r="B2115" s="413" t="s">
        <v>4917</v>
      </c>
      <c r="C2115" s="413" t="s">
        <v>172</v>
      </c>
      <c r="D2115" s="177" t="s">
        <v>440</v>
      </c>
      <c r="E2115" s="413">
        <v>1000</v>
      </c>
      <c r="F2115" s="407">
        <f t="shared" si="25"/>
        <v>1.8744037053212446</v>
      </c>
      <c r="G2115" s="408">
        <v>533.50300000000004</v>
      </c>
      <c r="H2115" s="413" t="s">
        <v>173</v>
      </c>
      <c r="I2115" s="413" t="s">
        <v>2959</v>
      </c>
      <c r="J2115" s="243" t="s">
        <v>96</v>
      </c>
      <c r="K2115" s="243" t="s">
        <v>1137</v>
      </c>
      <c r="L2115" s="243" t="s">
        <v>153</v>
      </c>
      <c r="M2115" s="395"/>
      <c r="N2115" s="395"/>
    </row>
    <row r="2116" spans="1:14" ht="15.6" hidden="1">
      <c r="A2116" s="420">
        <v>45905</v>
      </c>
      <c r="B2116" s="413" t="s">
        <v>4917</v>
      </c>
      <c r="C2116" s="413" t="s">
        <v>172</v>
      </c>
      <c r="D2116" s="177" t="s">
        <v>440</v>
      </c>
      <c r="E2116" s="413">
        <v>1000</v>
      </c>
      <c r="F2116" s="407">
        <f t="shared" si="25"/>
        <v>1.8744037053212446</v>
      </c>
      <c r="G2116" s="408">
        <v>533.50300000000004</v>
      </c>
      <c r="H2116" s="413" t="s">
        <v>173</v>
      </c>
      <c r="I2116" s="413" t="s">
        <v>2959</v>
      </c>
      <c r="J2116" s="243" t="s">
        <v>96</v>
      </c>
      <c r="K2116" s="243" t="s">
        <v>1137</v>
      </c>
      <c r="L2116" s="243" t="s">
        <v>153</v>
      </c>
      <c r="M2116" s="395"/>
      <c r="N2116" s="395"/>
    </row>
    <row r="2117" spans="1:14" ht="15.6" hidden="1">
      <c r="A2117" s="420">
        <v>45905</v>
      </c>
      <c r="B2117" s="413" t="s">
        <v>4876</v>
      </c>
      <c r="C2117" s="413" t="s">
        <v>172</v>
      </c>
      <c r="D2117" s="177" t="s">
        <v>440</v>
      </c>
      <c r="E2117" s="413">
        <v>1000</v>
      </c>
      <c r="F2117" s="407">
        <f t="shared" si="25"/>
        <v>1.8744037053212446</v>
      </c>
      <c r="G2117" s="408">
        <v>533.50300000000004</v>
      </c>
      <c r="H2117" s="413" t="s">
        <v>173</v>
      </c>
      <c r="I2117" s="413" t="s">
        <v>2959</v>
      </c>
      <c r="J2117" s="243" t="s">
        <v>96</v>
      </c>
      <c r="K2117" s="243" t="s">
        <v>1137</v>
      </c>
      <c r="L2117" s="243" t="s">
        <v>153</v>
      </c>
      <c r="M2117" s="395"/>
      <c r="N2117" s="395"/>
    </row>
    <row r="2118" spans="1:14" ht="15.6" hidden="1">
      <c r="A2118" s="420">
        <v>45905</v>
      </c>
      <c r="B2118" s="413" t="s">
        <v>4876</v>
      </c>
      <c r="C2118" s="413" t="s">
        <v>172</v>
      </c>
      <c r="D2118" s="177" t="s">
        <v>440</v>
      </c>
      <c r="E2118" s="413">
        <v>1000</v>
      </c>
      <c r="F2118" s="407">
        <f t="shared" si="25"/>
        <v>1.8744037053212446</v>
      </c>
      <c r="G2118" s="408">
        <v>533.50300000000004</v>
      </c>
      <c r="H2118" s="413" t="s">
        <v>173</v>
      </c>
      <c r="I2118" s="413" t="s">
        <v>2959</v>
      </c>
      <c r="J2118" s="243" t="s">
        <v>96</v>
      </c>
      <c r="K2118" s="243" t="s">
        <v>1137</v>
      </c>
      <c r="L2118" s="243" t="s">
        <v>153</v>
      </c>
      <c r="M2118" s="395"/>
      <c r="N2118" s="395"/>
    </row>
    <row r="2119" spans="1:14" ht="15.6" hidden="1">
      <c r="A2119" s="420">
        <v>45905</v>
      </c>
      <c r="B2119" s="413" t="s">
        <v>4917</v>
      </c>
      <c r="C2119" s="413" t="s">
        <v>172</v>
      </c>
      <c r="D2119" s="177" t="s">
        <v>440</v>
      </c>
      <c r="E2119" s="413">
        <v>1000</v>
      </c>
      <c r="F2119" s="407">
        <f t="shared" si="25"/>
        <v>1.8744037053212446</v>
      </c>
      <c r="G2119" s="408">
        <v>533.50300000000004</v>
      </c>
      <c r="H2119" s="413" t="s">
        <v>173</v>
      </c>
      <c r="I2119" s="413" t="s">
        <v>2959</v>
      </c>
      <c r="J2119" s="243" t="s">
        <v>96</v>
      </c>
      <c r="K2119" s="243" t="s">
        <v>1137</v>
      </c>
      <c r="L2119" s="243" t="s">
        <v>153</v>
      </c>
      <c r="M2119" s="395"/>
      <c r="N2119" s="395"/>
    </row>
    <row r="2120" spans="1:14" ht="15.6" hidden="1">
      <c r="A2120" s="420">
        <v>45905</v>
      </c>
      <c r="B2120" s="413" t="s">
        <v>2954</v>
      </c>
      <c r="C2120" s="413" t="s">
        <v>366</v>
      </c>
      <c r="D2120" s="177" t="s">
        <v>440</v>
      </c>
      <c r="E2120" s="413">
        <v>2000</v>
      </c>
      <c r="F2120" s="407">
        <f t="shared" si="25"/>
        <v>3.7488074106424891</v>
      </c>
      <c r="G2120" s="408">
        <v>533.50300000000004</v>
      </c>
      <c r="H2120" s="413" t="s">
        <v>173</v>
      </c>
      <c r="I2120" s="413" t="s">
        <v>2963</v>
      </c>
      <c r="J2120" s="243" t="s">
        <v>96</v>
      </c>
      <c r="K2120" s="243" t="s">
        <v>1137</v>
      </c>
      <c r="L2120" s="243" t="s">
        <v>153</v>
      </c>
      <c r="M2120" s="395"/>
      <c r="N2120" s="395"/>
    </row>
    <row r="2121" spans="1:14" ht="15.6" hidden="1">
      <c r="A2121" s="420">
        <v>45905</v>
      </c>
      <c r="B2121" s="413" t="s">
        <v>4940</v>
      </c>
      <c r="C2121" s="413" t="s">
        <v>172</v>
      </c>
      <c r="D2121" s="177" t="s">
        <v>440</v>
      </c>
      <c r="E2121" s="413">
        <v>700</v>
      </c>
      <c r="F2121" s="407">
        <f t="shared" si="25"/>
        <v>1.3120825937248712</v>
      </c>
      <c r="G2121" s="408">
        <v>533.50300000000004</v>
      </c>
      <c r="H2121" s="413" t="s">
        <v>315</v>
      </c>
      <c r="I2121" s="413" t="s">
        <v>2976</v>
      </c>
      <c r="J2121" s="243" t="s">
        <v>96</v>
      </c>
      <c r="K2121" s="243" t="s">
        <v>1137</v>
      </c>
      <c r="L2121" s="243" t="s">
        <v>153</v>
      </c>
      <c r="M2121" s="327"/>
      <c r="N2121" s="327"/>
    </row>
    <row r="2122" spans="1:14" ht="15.6" hidden="1">
      <c r="A2122" s="420">
        <v>45905</v>
      </c>
      <c r="B2122" s="413" t="s">
        <v>4940</v>
      </c>
      <c r="C2122" s="413" t="s">
        <v>172</v>
      </c>
      <c r="D2122" s="177" t="s">
        <v>440</v>
      </c>
      <c r="E2122" s="413">
        <v>600</v>
      </c>
      <c r="F2122" s="407">
        <f t="shared" si="25"/>
        <v>1.1246422231927466</v>
      </c>
      <c r="G2122" s="408">
        <v>533.50300000000004</v>
      </c>
      <c r="H2122" s="413" t="s">
        <v>315</v>
      </c>
      <c r="I2122" s="413" t="s">
        <v>2976</v>
      </c>
      <c r="J2122" s="243" t="s">
        <v>96</v>
      </c>
      <c r="K2122" s="243" t="s">
        <v>1137</v>
      </c>
      <c r="L2122" s="243" t="s">
        <v>153</v>
      </c>
      <c r="M2122" s="327"/>
      <c r="N2122" s="327"/>
    </row>
    <row r="2123" spans="1:14" ht="15.6" hidden="1">
      <c r="A2123" s="420">
        <v>45905</v>
      </c>
      <c r="B2123" s="413" t="s">
        <v>2932</v>
      </c>
      <c r="C2123" s="413" t="s">
        <v>363</v>
      </c>
      <c r="D2123" s="177" t="s">
        <v>440</v>
      </c>
      <c r="E2123" s="413">
        <v>2000</v>
      </c>
      <c r="F2123" s="407">
        <f t="shared" si="25"/>
        <v>3.7488074106424891</v>
      </c>
      <c r="G2123" s="408">
        <v>533.50300000000004</v>
      </c>
      <c r="H2123" s="413" t="s">
        <v>315</v>
      </c>
      <c r="I2123" s="413" t="s">
        <v>2979</v>
      </c>
      <c r="J2123" s="243" t="s">
        <v>96</v>
      </c>
      <c r="K2123" s="243" t="s">
        <v>1137</v>
      </c>
      <c r="L2123" s="243" t="s">
        <v>153</v>
      </c>
      <c r="M2123" s="327"/>
      <c r="N2123" s="327"/>
    </row>
    <row r="2124" spans="1:14" ht="15.6" hidden="1">
      <c r="A2124" s="420">
        <v>45905</v>
      </c>
      <c r="B2124" s="413" t="s">
        <v>4940</v>
      </c>
      <c r="C2124" s="413" t="s">
        <v>172</v>
      </c>
      <c r="D2124" s="177" t="s">
        <v>440</v>
      </c>
      <c r="E2124" s="413">
        <v>600</v>
      </c>
      <c r="F2124" s="407">
        <f t="shared" si="25"/>
        <v>1.1246422231927466</v>
      </c>
      <c r="G2124" s="408">
        <v>533.50300000000004</v>
      </c>
      <c r="H2124" s="413" t="s">
        <v>315</v>
      </c>
      <c r="I2124" s="413" t="s">
        <v>2976</v>
      </c>
      <c r="J2124" s="243" t="s">
        <v>96</v>
      </c>
      <c r="K2124" s="243" t="s">
        <v>1137</v>
      </c>
      <c r="L2124" s="243" t="s">
        <v>153</v>
      </c>
      <c r="M2124" s="327"/>
      <c r="N2124" s="327"/>
    </row>
    <row r="2125" spans="1:14" ht="15.6" hidden="1">
      <c r="A2125" s="420">
        <v>45905</v>
      </c>
      <c r="B2125" s="413" t="s">
        <v>4940</v>
      </c>
      <c r="C2125" s="413" t="s">
        <v>172</v>
      </c>
      <c r="D2125" s="177" t="s">
        <v>440</v>
      </c>
      <c r="E2125" s="413">
        <v>700</v>
      </c>
      <c r="F2125" s="407">
        <f t="shared" si="25"/>
        <v>1.3120825937248712</v>
      </c>
      <c r="G2125" s="408">
        <v>533.50300000000004</v>
      </c>
      <c r="H2125" s="413" t="s">
        <v>315</v>
      </c>
      <c r="I2125" s="413" t="s">
        <v>2976</v>
      </c>
      <c r="J2125" s="243" t="s">
        <v>96</v>
      </c>
      <c r="K2125" s="243" t="s">
        <v>1137</v>
      </c>
      <c r="L2125" s="243" t="s">
        <v>153</v>
      </c>
      <c r="M2125" s="327"/>
      <c r="N2125" s="327"/>
    </row>
    <row r="2126" spans="1:14" ht="15.6" hidden="1">
      <c r="A2126" s="420">
        <v>45905</v>
      </c>
      <c r="B2126" s="413" t="s">
        <v>4938</v>
      </c>
      <c r="C2126" s="413" t="s">
        <v>172</v>
      </c>
      <c r="D2126" s="177" t="s">
        <v>440</v>
      </c>
      <c r="E2126" s="413">
        <v>700</v>
      </c>
      <c r="F2126" s="407">
        <f t="shared" si="25"/>
        <v>1.3120825937248712</v>
      </c>
      <c r="G2126" s="408">
        <v>533.50300000000004</v>
      </c>
      <c r="H2126" s="413" t="s">
        <v>315</v>
      </c>
      <c r="I2126" s="413" t="s">
        <v>2976</v>
      </c>
      <c r="J2126" s="243" t="s">
        <v>96</v>
      </c>
      <c r="K2126" s="243" t="s">
        <v>1137</v>
      </c>
      <c r="L2126" s="243" t="s">
        <v>153</v>
      </c>
      <c r="M2126" s="327"/>
      <c r="N2126" s="327"/>
    </row>
    <row r="2127" spans="1:14" ht="15.6" hidden="1">
      <c r="A2127" s="420">
        <v>45905</v>
      </c>
      <c r="B2127" s="413" t="s">
        <v>4938</v>
      </c>
      <c r="C2127" s="413" t="s">
        <v>172</v>
      </c>
      <c r="D2127" s="177" t="s">
        <v>440</v>
      </c>
      <c r="E2127" s="413">
        <v>700</v>
      </c>
      <c r="F2127" s="407">
        <f t="shared" si="25"/>
        <v>1.3120825937248712</v>
      </c>
      <c r="G2127" s="408">
        <v>533.50300000000004</v>
      </c>
      <c r="H2127" s="413" t="s">
        <v>315</v>
      </c>
      <c r="I2127" s="413" t="s">
        <v>2976</v>
      </c>
      <c r="J2127" s="243" t="s">
        <v>96</v>
      </c>
      <c r="K2127" s="243" t="s">
        <v>1137</v>
      </c>
      <c r="L2127" s="243" t="s">
        <v>153</v>
      </c>
      <c r="M2127" s="327"/>
      <c r="N2127" s="327"/>
    </row>
    <row r="2128" spans="1:14" ht="15.6" hidden="1">
      <c r="A2128" s="420">
        <v>45905</v>
      </c>
      <c r="B2128" s="413" t="s">
        <v>2998</v>
      </c>
      <c r="C2128" s="413" t="s">
        <v>172</v>
      </c>
      <c r="D2128" s="413" t="s">
        <v>115</v>
      </c>
      <c r="E2128" s="414">
        <v>500</v>
      </c>
      <c r="F2128" s="407">
        <f t="shared" si="25"/>
        <v>0.93720185266062228</v>
      </c>
      <c r="G2128" s="408">
        <v>533.50300000000004</v>
      </c>
      <c r="H2128" s="413" t="s">
        <v>188</v>
      </c>
      <c r="I2128" s="413" t="s">
        <v>3016</v>
      </c>
      <c r="J2128" s="243" t="s">
        <v>96</v>
      </c>
      <c r="K2128" s="243" t="s">
        <v>1137</v>
      </c>
      <c r="L2128" s="243" t="s">
        <v>153</v>
      </c>
      <c r="M2128" s="327"/>
      <c r="N2128" s="327"/>
    </row>
    <row r="2129" spans="1:14" ht="15.6" hidden="1">
      <c r="A2129" s="420">
        <v>45905</v>
      </c>
      <c r="B2129" s="413" t="s">
        <v>3000</v>
      </c>
      <c r="C2129" s="413" t="s">
        <v>172</v>
      </c>
      <c r="D2129" s="413" t="s">
        <v>115</v>
      </c>
      <c r="E2129" s="414">
        <v>500</v>
      </c>
      <c r="F2129" s="407">
        <f t="shared" si="25"/>
        <v>0.93720185266062228</v>
      </c>
      <c r="G2129" s="408">
        <v>533.50300000000004</v>
      </c>
      <c r="H2129" s="413" t="s">
        <v>188</v>
      </c>
      <c r="I2129" s="413" t="s">
        <v>3016</v>
      </c>
      <c r="J2129" s="243" t="s">
        <v>96</v>
      </c>
      <c r="K2129" s="243" t="s">
        <v>1137</v>
      </c>
      <c r="L2129" s="243" t="s">
        <v>153</v>
      </c>
      <c r="M2129" s="327"/>
      <c r="N2129" s="327"/>
    </row>
    <row r="2130" spans="1:14" ht="15.6" hidden="1">
      <c r="A2130" s="420">
        <v>45905</v>
      </c>
      <c r="B2130" s="413" t="s">
        <v>3001</v>
      </c>
      <c r="C2130" s="413" t="s">
        <v>172</v>
      </c>
      <c r="D2130" s="413" t="s">
        <v>115</v>
      </c>
      <c r="E2130" s="414">
        <v>1000</v>
      </c>
      <c r="F2130" s="407">
        <f t="shared" si="25"/>
        <v>1.8744037053212446</v>
      </c>
      <c r="G2130" s="408">
        <v>533.50300000000004</v>
      </c>
      <c r="H2130" s="413" t="s">
        <v>188</v>
      </c>
      <c r="I2130" s="413" t="s">
        <v>3016</v>
      </c>
      <c r="J2130" s="243" t="s">
        <v>96</v>
      </c>
      <c r="K2130" s="243" t="s">
        <v>1137</v>
      </c>
      <c r="L2130" s="243" t="s">
        <v>153</v>
      </c>
      <c r="M2130" s="327"/>
      <c r="N2130" s="327"/>
    </row>
    <row r="2131" spans="1:14" ht="15.6" hidden="1">
      <c r="A2131" s="420">
        <v>45905</v>
      </c>
      <c r="B2131" s="413" t="s">
        <v>3002</v>
      </c>
      <c r="C2131" s="413" t="s">
        <v>172</v>
      </c>
      <c r="D2131" s="413" t="s">
        <v>115</v>
      </c>
      <c r="E2131" s="414">
        <v>1000</v>
      </c>
      <c r="F2131" s="407">
        <f t="shared" si="25"/>
        <v>1.8744037053212446</v>
      </c>
      <c r="G2131" s="408">
        <v>533.50300000000004</v>
      </c>
      <c r="H2131" s="413" t="s">
        <v>188</v>
      </c>
      <c r="I2131" s="413" t="s">
        <v>3016</v>
      </c>
      <c r="J2131" s="243" t="s">
        <v>96</v>
      </c>
      <c r="K2131" s="243" t="s">
        <v>1137</v>
      </c>
      <c r="L2131" s="243" t="s">
        <v>153</v>
      </c>
      <c r="M2131" s="327"/>
      <c r="N2131" s="327"/>
    </row>
    <row r="2132" spans="1:14" ht="15.6" hidden="1">
      <c r="A2132" s="415">
        <v>45905</v>
      </c>
      <c r="B2132" s="243" t="s">
        <v>3003</v>
      </c>
      <c r="C2132" s="413" t="s">
        <v>180</v>
      </c>
      <c r="D2132" s="413" t="s">
        <v>116</v>
      </c>
      <c r="E2132" s="412">
        <v>14790</v>
      </c>
      <c r="F2132" s="407">
        <f t="shared" si="25"/>
        <v>27.722430801701208</v>
      </c>
      <c r="G2132" s="408">
        <v>533.50300000000004</v>
      </c>
      <c r="H2132" s="413" t="s">
        <v>188</v>
      </c>
      <c r="I2132" s="243" t="s">
        <v>3018</v>
      </c>
      <c r="J2132" s="243" t="s">
        <v>96</v>
      </c>
      <c r="K2132" s="243" t="s">
        <v>1137</v>
      </c>
      <c r="L2132" s="243" t="s">
        <v>153</v>
      </c>
      <c r="M2132" s="327"/>
      <c r="N2132" s="327"/>
    </row>
    <row r="2133" spans="1:14" ht="15.6" hidden="1">
      <c r="A2133" s="420">
        <v>45905</v>
      </c>
      <c r="B2133" s="413" t="s">
        <v>2998</v>
      </c>
      <c r="C2133" s="413" t="s">
        <v>172</v>
      </c>
      <c r="D2133" s="413" t="s">
        <v>115</v>
      </c>
      <c r="E2133" s="414">
        <v>500</v>
      </c>
      <c r="F2133" s="407">
        <f t="shared" si="25"/>
        <v>0.93720185266062228</v>
      </c>
      <c r="G2133" s="408">
        <v>533.50300000000004</v>
      </c>
      <c r="H2133" s="413" t="s">
        <v>188</v>
      </c>
      <c r="I2133" s="413" t="s">
        <v>3016</v>
      </c>
      <c r="J2133" s="243" t="s">
        <v>96</v>
      </c>
      <c r="K2133" s="243" t="s">
        <v>1137</v>
      </c>
      <c r="L2133" s="243" t="s">
        <v>153</v>
      </c>
      <c r="M2133" s="327"/>
      <c r="N2133" s="327"/>
    </row>
    <row r="2134" spans="1:14" ht="15.6" hidden="1">
      <c r="A2134" s="420">
        <v>45905</v>
      </c>
      <c r="B2134" s="413" t="s">
        <v>3000</v>
      </c>
      <c r="C2134" s="413" t="s">
        <v>172</v>
      </c>
      <c r="D2134" s="413" t="s">
        <v>115</v>
      </c>
      <c r="E2134" s="414">
        <v>500</v>
      </c>
      <c r="F2134" s="407">
        <f t="shared" si="25"/>
        <v>0.93720185266062228</v>
      </c>
      <c r="G2134" s="408">
        <v>533.50300000000004</v>
      </c>
      <c r="H2134" s="413" t="s">
        <v>188</v>
      </c>
      <c r="I2134" s="413" t="s">
        <v>3016</v>
      </c>
      <c r="J2134" s="243" t="s">
        <v>96</v>
      </c>
      <c r="K2134" s="243" t="s">
        <v>1137</v>
      </c>
      <c r="L2134" s="243" t="s">
        <v>153</v>
      </c>
      <c r="M2134" s="327"/>
      <c r="N2134" s="327"/>
    </row>
    <row r="2135" spans="1:14" ht="15.6" hidden="1">
      <c r="A2135" s="415">
        <v>45905</v>
      </c>
      <c r="B2135" s="413" t="s">
        <v>3032</v>
      </c>
      <c r="C2135" s="413" t="s">
        <v>175</v>
      </c>
      <c r="D2135" s="413" t="s">
        <v>115</v>
      </c>
      <c r="E2135" s="414">
        <v>90000</v>
      </c>
      <c r="F2135" s="407">
        <f t="shared" si="25"/>
        <v>168.69633347891201</v>
      </c>
      <c r="G2135" s="408">
        <v>533.50300000000004</v>
      </c>
      <c r="H2135" s="243" t="s">
        <v>191</v>
      </c>
      <c r="I2135" s="413" t="s">
        <v>3056</v>
      </c>
      <c r="J2135" s="243" t="s">
        <v>96</v>
      </c>
      <c r="K2135" s="243" t="s">
        <v>1137</v>
      </c>
      <c r="L2135" s="243" t="s">
        <v>153</v>
      </c>
      <c r="M2135" s="125"/>
      <c r="N2135" s="125"/>
    </row>
    <row r="2136" spans="1:14" ht="15.6" hidden="1">
      <c r="A2136" s="415">
        <v>45905</v>
      </c>
      <c r="B2136" s="413" t="s">
        <v>3033</v>
      </c>
      <c r="C2136" s="243" t="s">
        <v>172</v>
      </c>
      <c r="D2136" s="243" t="s">
        <v>115</v>
      </c>
      <c r="E2136" s="412">
        <v>500</v>
      </c>
      <c r="F2136" s="407">
        <f t="shared" si="25"/>
        <v>0.93720185266062228</v>
      </c>
      <c r="G2136" s="408">
        <v>533.50300000000004</v>
      </c>
      <c r="H2136" s="243" t="s">
        <v>191</v>
      </c>
      <c r="I2136" s="413" t="s">
        <v>3052</v>
      </c>
      <c r="J2136" s="243" t="s">
        <v>96</v>
      </c>
      <c r="K2136" s="243" t="s">
        <v>1137</v>
      </c>
      <c r="L2136" s="243" t="s">
        <v>153</v>
      </c>
      <c r="M2136" s="125"/>
      <c r="N2136" s="125"/>
    </row>
    <row r="2137" spans="1:14" ht="15.6" hidden="1">
      <c r="A2137" s="415">
        <v>45905</v>
      </c>
      <c r="B2137" s="413" t="s">
        <v>2603</v>
      </c>
      <c r="C2137" s="424" t="s">
        <v>172</v>
      </c>
      <c r="D2137" s="243" t="s">
        <v>115</v>
      </c>
      <c r="E2137" s="412">
        <v>500</v>
      </c>
      <c r="F2137" s="407">
        <f t="shared" si="25"/>
        <v>0.93720185266062228</v>
      </c>
      <c r="G2137" s="408">
        <v>533.50300000000004</v>
      </c>
      <c r="H2137" s="243" t="s">
        <v>191</v>
      </c>
      <c r="I2137" s="413" t="s">
        <v>3052</v>
      </c>
      <c r="J2137" s="243" t="s">
        <v>96</v>
      </c>
      <c r="K2137" s="243" t="s">
        <v>1137</v>
      </c>
      <c r="L2137" s="243" t="s">
        <v>153</v>
      </c>
      <c r="M2137" s="125"/>
      <c r="N2137" s="125"/>
    </row>
    <row r="2138" spans="1:14" ht="15.6" hidden="1">
      <c r="A2138" s="405">
        <v>45905</v>
      </c>
      <c r="B2138" s="413" t="s">
        <v>2656</v>
      </c>
      <c r="C2138" s="346" t="s">
        <v>194</v>
      </c>
      <c r="D2138" s="346" t="s">
        <v>115</v>
      </c>
      <c r="E2138" s="416">
        <v>500</v>
      </c>
      <c r="F2138" s="407">
        <f t="shared" si="25"/>
        <v>0.93720185266062228</v>
      </c>
      <c r="G2138" s="408">
        <v>533.50300000000004</v>
      </c>
      <c r="H2138" s="252" t="s">
        <v>195</v>
      </c>
      <c r="I2138" s="413" t="s">
        <v>3101</v>
      </c>
      <c r="J2138" s="243" t="s">
        <v>96</v>
      </c>
      <c r="K2138" s="243" t="s">
        <v>1137</v>
      </c>
      <c r="L2138" s="243" t="s">
        <v>153</v>
      </c>
      <c r="M2138" s="76"/>
      <c r="N2138" s="76"/>
    </row>
    <row r="2139" spans="1:14" ht="15.6" hidden="1">
      <c r="A2139" s="405">
        <v>45906</v>
      </c>
      <c r="B2139" s="413" t="s">
        <v>3072</v>
      </c>
      <c r="C2139" s="346" t="s">
        <v>194</v>
      </c>
      <c r="D2139" s="346" t="s">
        <v>115</v>
      </c>
      <c r="E2139" s="416">
        <v>500</v>
      </c>
      <c r="F2139" s="407">
        <f t="shared" si="25"/>
        <v>0.93720185266062228</v>
      </c>
      <c r="G2139" s="408">
        <v>533.50300000000004</v>
      </c>
      <c r="H2139" s="252" t="s">
        <v>195</v>
      </c>
      <c r="I2139" s="413" t="s">
        <v>3101</v>
      </c>
      <c r="J2139" s="243" t="s">
        <v>96</v>
      </c>
      <c r="K2139" s="243" t="s">
        <v>1137</v>
      </c>
      <c r="L2139" s="243" t="s">
        <v>153</v>
      </c>
      <c r="M2139" s="76"/>
      <c r="N2139" s="76"/>
    </row>
    <row r="2140" spans="1:14" ht="15.6" hidden="1">
      <c r="A2140" s="420">
        <v>45905</v>
      </c>
      <c r="B2140" s="413" t="s">
        <v>3142</v>
      </c>
      <c r="C2140" s="413" t="s">
        <v>172</v>
      </c>
      <c r="D2140" s="413" t="s">
        <v>118</v>
      </c>
      <c r="E2140" s="416">
        <v>1000</v>
      </c>
      <c r="F2140" s="407">
        <f t="shared" si="25"/>
        <v>1.8744037053212446</v>
      </c>
      <c r="G2140" s="408">
        <v>533.50300000000004</v>
      </c>
      <c r="H2140" s="413" t="s">
        <v>211</v>
      </c>
      <c r="I2140" s="413" t="s">
        <v>3154</v>
      </c>
      <c r="J2140" s="243" t="s">
        <v>96</v>
      </c>
      <c r="K2140" s="243" t="s">
        <v>1137</v>
      </c>
      <c r="L2140" s="243" t="s">
        <v>153</v>
      </c>
      <c r="M2140" s="76"/>
      <c r="N2140" s="76"/>
    </row>
    <row r="2141" spans="1:14" ht="15.6" hidden="1">
      <c r="A2141" s="420">
        <v>45905</v>
      </c>
      <c r="B2141" s="413" t="s">
        <v>3143</v>
      </c>
      <c r="C2141" s="413" t="s">
        <v>172</v>
      </c>
      <c r="D2141" s="413" t="s">
        <v>118</v>
      </c>
      <c r="E2141" s="416">
        <v>1000</v>
      </c>
      <c r="F2141" s="407">
        <f t="shared" si="25"/>
        <v>1.8744037053212446</v>
      </c>
      <c r="G2141" s="408">
        <v>533.50300000000004</v>
      </c>
      <c r="H2141" s="413" t="s">
        <v>211</v>
      </c>
      <c r="I2141" s="413" t="s">
        <v>3154</v>
      </c>
      <c r="J2141" s="243" t="s">
        <v>96</v>
      </c>
      <c r="K2141" s="243" t="s">
        <v>1137</v>
      </c>
      <c r="L2141" s="243" t="s">
        <v>153</v>
      </c>
      <c r="M2141" s="76"/>
      <c r="N2141" s="76"/>
    </row>
    <row r="2142" spans="1:14" ht="15.6" hidden="1">
      <c r="A2142" s="420">
        <v>45905</v>
      </c>
      <c r="B2142" s="413" t="s">
        <v>3144</v>
      </c>
      <c r="C2142" s="413" t="s">
        <v>172</v>
      </c>
      <c r="D2142" s="413" t="s">
        <v>118</v>
      </c>
      <c r="E2142" s="416">
        <v>1000</v>
      </c>
      <c r="F2142" s="407">
        <f t="shared" si="25"/>
        <v>1.8744037053212446</v>
      </c>
      <c r="G2142" s="408">
        <v>533.50300000000004</v>
      </c>
      <c r="H2142" s="413" t="s">
        <v>211</v>
      </c>
      <c r="I2142" s="413" t="s">
        <v>3154</v>
      </c>
      <c r="J2142" s="243" t="s">
        <v>96</v>
      </c>
      <c r="K2142" s="243" t="s">
        <v>1137</v>
      </c>
      <c r="L2142" s="243" t="s">
        <v>153</v>
      </c>
      <c r="M2142" s="76"/>
      <c r="N2142" s="76"/>
    </row>
    <row r="2143" spans="1:14" ht="15.6" hidden="1">
      <c r="A2143" s="420">
        <v>45905</v>
      </c>
      <c r="B2143" s="413" t="s">
        <v>3145</v>
      </c>
      <c r="C2143" s="413" t="s">
        <v>172</v>
      </c>
      <c r="D2143" s="413" t="s">
        <v>118</v>
      </c>
      <c r="E2143" s="416">
        <v>1000</v>
      </c>
      <c r="F2143" s="407">
        <f t="shared" si="25"/>
        <v>1.8744037053212446</v>
      </c>
      <c r="G2143" s="408">
        <v>533.50300000000004</v>
      </c>
      <c r="H2143" s="413" t="s">
        <v>211</v>
      </c>
      <c r="I2143" s="413" t="s">
        <v>3154</v>
      </c>
      <c r="J2143" s="243" t="s">
        <v>96</v>
      </c>
      <c r="K2143" s="243" t="s">
        <v>1137</v>
      </c>
      <c r="L2143" s="243" t="s">
        <v>153</v>
      </c>
      <c r="M2143" s="76"/>
      <c r="N2143" s="76"/>
    </row>
    <row r="2144" spans="1:14" ht="15.6" hidden="1">
      <c r="A2144" s="418">
        <v>45906</v>
      </c>
      <c r="B2144" s="213" t="s">
        <v>2422</v>
      </c>
      <c r="C2144" s="213" t="s">
        <v>172</v>
      </c>
      <c r="D2144" s="329" t="s">
        <v>115</v>
      </c>
      <c r="E2144" s="419">
        <v>500</v>
      </c>
      <c r="F2144" s="407">
        <f t="shared" si="25"/>
        <v>0.93720185266062228</v>
      </c>
      <c r="G2144" s="408">
        <v>533.50300000000004</v>
      </c>
      <c r="H2144" s="172" t="s">
        <v>198</v>
      </c>
      <c r="I2144" s="213" t="s">
        <v>2859</v>
      </c>
      <c r="J2144" s="243" t="s">
        <v>96</v>
      </c>
      <c r="K2144" s="243" t="s">
        <v>1137</v>
      </c>
      <c r="L2144" s="243" t="s">
        <v>153</v>
      </c>
      <c r="M2144" s="395"/>
      <c r="N2144" s="395"/>
    </row>
    <row r="2145" spans="1:14" ht="15.6" hidden="1">
      <c r="A2145" s="418">
        <v>45906</v>
      </c>
      <c r="B2145" s="213" t="s">
        <v>2421</v>
      </c>
      <c r="C2145" s="213" t="s">
        <v>172</v>
      </c>
      <c r="D2145" s="329" t="s">
        <v>115</v>
      </c>
      <c r="E2145" s="419">
        <v>500</v>
      </c>
      <c r="F2145" s="407">
        <f t="shared" ref="F2145:F2208" si="26">E2145/G2145</f>
        <v>0.93720185266062228</v>
      </c>
      <c r="G2145" s="408">
        <v>533.50300000000004</v>
      </c>
      <c r="H2145" s="172" t="s">
        <v>198</v>
      </c>
      <c r="I2145" s="213" t="s">
        <v>2859</v>
      </c>
      <c r="J2145" s="243" t="s">
        <v>96</v>
      </c>
      <c r="K2145" s="243" t="s">
        <v>1137</v>
      </c>
      <c r="L2145" s="243" t="s">
        <v>153</v>
      </c>
      <c r="M2145" s="395"/>
      <c r="N2145" s="395"/>
    </row>
    <row r="2146" spans="1:14" ht="15.6" hidden="1">
      <c r="A2146" s="418">
        <v>45906</v>
      </c>
      <c r="B2146" s="419" t="s">
        <v>4917</v>
      </c>
      <c r="C2146" s="419" t="s">
        <v>172</v>
      </c>
      <c r="D2146" s="177" t="s">
        <v>440</v>
      </c>
      <c r="E2146" s="419">
        <v>1000</v>
      </c>
      <c r="F2146" s="407">
        <f t="shared" si="26"/>
        <v>1.8744037053212446</v>
      </c>
      <c r="G2146" s="408">
        <v>533.50300000000004</v>
      </c>
      <c r="H2146" s="419" t="s">
        <v>182</v>
      </c>
      <c r="I2146" s="419" t="s">
        <v>2936</v>
      </c>
      <c r="J2146" s="243" t="s">
        <v>96</v>
      </c>
      <c r="K2146" s="243" t="s">
        <v>1137</v>
      </c>
      <c r="L2146" s="243" t="s">
        <v>153</v>
      </c>
      <c r="M2146" s="327"/>
      <c r="N2146" s="327"/>
    </row>
    <row r="2147" spans="1:14" ht="15.6" hidden="1">
      <c r="A2147" s="418">
        <v>45906</v>
      </c>
      <c r="B2147" s="419" t="s">
        <v>4912</v>
      </c>
      <c r="C2147" s="419" t="s">
        <v>172</v>
      </c>
      <c r="D2147" s="177" t="s">
        <v>440</v>
      </c>
      <c r="E2147" s="419">
        <v>1000</v>
      </c>
      <c r="F2147" s="407">
        <f t="shared" si="26"/>
        <v>1.8744037053212446</v>
      </c>
      <c r="G2147" s="408">
        <v>533.50300000000004</v>
      </c>
      <c r="H2147" s="419" t="s">
        <v>182</v>
      </c>
      <c r="I2147" s="419" t="s">
        <v>2936</v>
      </c>
      <c r="J2147" s="243" t="s">
        <v>96</v>
      </c>
      <c r="K2147" s="243" t="s">
        <v>1137</v>
      </c>
      <c r="L2147" s="243" t="s">
        <v>153</v>
      </c>
      <c r="M2147" s="327"/>
      <c r="N2147" s="327"/>
    </row>
    <row r="2148" spans="1:14" ht="15.6" hidden="1">
      <c r="A2148" s="418">
        <v>45906</v>
      </c>
      <c r="B2148" s="419" t="s">
        <v>4917</v>
      </c>
      <c r="C2148" s="419" t="s">
        <v>172</v>
      </c>
      <c r="D2148" s="177" t="s">
        <v>440</v>
      </c>
      <c r="E2148" s="419">
        <v>1000</v>
      </c>
      <c r="F2148" s="407">
        <f t="shared" si="26"/>
        <v>1.8744037053212446</v>
      </c>
      <c r="G2148" s="408">
        <v>533.50300000000004</v>
      </c>
      <c r="H2148" s="419" t="s">
        <v>182</v>
      </c>
      <c r="I2148" s="419" t="s">
        <v>2936</v>
      </c>
      <c r="J2148" s="243" t="s">
        <v>96</v>
      </c>
      <c r="K2148" s="243" t="s">
        <v>1137</v>
      </c>
      <c r="L2148" s="243" t="s">
        <v>153</v>
      </c>
      <c r="M2148" s="327"/>
      <c r="N2148" s="327"/>
    </row>
    <row r="2149" spans="1:14" ht="15.6" hidden="1">
      <c r="A2149" s="418">
        <v>45906</v>
      </c>
      <c r="B2149" s="419" t="s">
        <v>4912</v>
      </c>
      <c r="C2149" s="419" t="s">
        <v>172</v>
      </c>
      <c r="D2149" s="177" t="s">
        <v>440</v>
      </c>
      <c r="E2149" s="419">
        <v>1000</v>
      </c>
      <c r="F2149" s="407">
        <f t="shared" si="26"/>
        <v>1.8744037053212446</v>
      </c>
      <c r="G2149" s="408">
        <v>533.50300000000004</v>
      </c>
      <c r="H2149" s="419" t="s">
        <v>182</v>
      </c>
      <c r="I2149" s="419" t="s">
        <v>2936</v>
      </c>
      <c r="J2149" s="243" t="s">
        <v>96</v>
      </c>
      <c r="K2149" s="243" t="s">
        <v>1137</v>
      </c>
      <c r="L2149" s="243" t="s">
        <v>153</v>
      </c>
      <c r="M2149" s="327"/>
      <c r="N2149" s="327"/>
    </row>
    <row r="2150" spans="1:14" ht="15.6" hidden="1">
      <c r="A2150" s="418">
        <v>45906</v>
      </c>
      <c r="B2150" s="419" t="s">
        <v>4917</v>
      </c>
      <c r="C2150" s="419" t="s">
        <v>172</v>
      </c>
      <c r="D2150" s="177" t="s">
        <v>440</v>
      </c>
      <c r="E2150" s="419">
        <v>1000</v>
      </c>
      <c r="F2150" s="407">
        <f t="shared" si="26"/>
        <v>1.8744037053212446</v>
      </c>
      <c r="G2150" s="408">
        <v>533.50300000000004</v>
      </c>
      <c r="H2150" s="419" t="s">
        <v>182</v>
      </c>
      <c r="I2150" s="419" t="s">
        <v>2936</v>
      </c>
      <c r="J2150" s="243" t="s">
        <v>96</v>
      </c>
      <c r="K2150" s="243" t="s">
        <v>1137</v>
      </c>
      <c r="L2150" s="243" t="s">
        <v>153</v>
      </c>
      <c r="M2150" s="327"/>
      <c r="N2150" s="327"/>
    </row>
    <row r="2151" spans="1:14" ht="15.6" hidden="1">
      <c r="A2151" s="418">
        <v>45906</v>
      </c>
      <c r="B2151" s="419" t="s">
        <v>4941</v>
      </c>
      <c r="C2151" s="419" t="s">
        <v>366</v>
      </c>
      <c r="D2151" s="177" t="s">
        <v>440</v>
      </c>
      <c r="E2151" s="419">
        <v>2000</v>
      </c>
      <c r="F2151" s="407">
        <f t="shared" si="26"/>
        <v>3.7488074106424891</v>
      </c>
      <c r="G2151" s="408">
        <v>533.50300000000004</v>
      </c>
      <c r="H2151" s="419" t="s">
        <v>182</v>
      </c>
      <c r="I2151" s="419" t="s">
        <v>2940</v>
      </c>
      <c r="J2151" s="243" t="s">
        <v>96</v>
      </c>
      <c r="K2151" s="243" t="s">
        <v>1137</v>
      </c>
      <c r="L2151" s="243" t="s">
        <v>153</v>
      </c>
      <c r="M2151" s="395"/>
      <c r="N2151" s="395"/>
    </row>
    <row r="2152" spans="1:14" ht="15.6" hidden="1">
      <c r="A2152" s="420">
        <v>45906</v>
      </c>
      <c r="B2152" s="413" t="s">
        <v>4876</v>
      </c>
      <c r="C2152" s="413" t="s">
        <v>172</v>
      </c>
      <c r="D2152" s="177" t="s">
        <v>440</v>
      </c>
      <c r="E2152" s="413">
        <v>1000</v>
      </c>
      <c r="F2152" s="407">
        <f t="shared" si="26"/>
        <v>1.8744037053212446</v>
      </c>
      <c r="G2152" s="408">
        <v>533.50300000000004</v>
      </c>
      <c r="H2152" s="413" t="s">
        <v>173</v>
      </c>
      <c r="I2152" s="413" t="s">
        <v>2959</v>
      </c>
      <c r="J2152" s="243" t="s">
        <v>96</v>
      </c>
      <c r="K2152" s="243" t="s">
        <v>1137</v>
      </c>
      <c r="L2152" s="243" t="s">
        <v>153</v>
      </c>
      <c r="M2152" s="395"/>
      <c r="N2152" s="395"/>
    </row>
    <row r="2153" spans="1:14" ht="15.6" hidden="1">
      <c r="A2153" s="420">
        <v>45906</v>
      </c>
      <c r="B2153" s="413" t="s">
        <v>4755</v>
      </c>
      <c r="C2153" s="413" t="s">
        <v>172</v>
      </c>
      <c r="D2153" s="177" t="s">
        <v>440</v>
      </c>
      <c r="E2153" s="413">
        <v>3000</v>
      </c>
      <c r="F2153" s="407">
        <f t="shared" si="26"/>
        <v>5.6232111159637332</v>
      </c>
      <c r="G2153" s="408">
        <v>533.50300000000004</v>
      </c>
      <c r="H2153" s="413" t="s">
        <v>173</v>
      </c>
      <c r="I2153" s="413" t="s">
        <v>2964</v>
      </c>
      <c r="J2153" s="243" t="s">
        <v>96</v>
      </c>
      <c r="K2153" s="243" t="s">
        <v>1137</v>
      </c>
      <c r="L2153" s="243" t="s">
        <v>153</v>
      </c>
      <c r="M2153" s="395"/>
      <c r="N2153" s="395"/>
    </row>
    <row r="2154" spans="1:14" ht="15.6" hidden="1">
      <c r="A2154" s="420">
        <v>45906</v>
      </c>
      <c r="B2154" s="413" t="s">
        <v>4888</v>
      </c>
      <c r="C2154" s="413" t="s">
        <v>172</v>
      </c>
      <c r="D2154" s="177" t="s">
        <v>440</v>
      </c>
      <c r="E2154" s="413">
        <v>1000</v>
      </c>
      <c r="F2154" s="407">
        <f t="shared" si="26"/>
        <v>1.8744037053212446</v>
      </c>
      <c r="G2154" s="408">
        <v>533.50300000000004</v>
      </c>
      <c r="H2154" s="413" t="s">
        <v>173</v>
      </c>
      <c r="I2154" s="413" t="s">
        <v>2959</v>
      </c>
      <c r="J2154" s="243" t="s">
        <v>96</v>
      </c>
      <c r="K2154" s="243" t="s">
        <v>1137</v>
      </c>
      <c r="L2154" s="243" t="s">
        <v>153</v>
      </c>
      <c r="M2154" s="395"/>
      <c r="N2154" s="395"/>
    </row>
    <row r="2155" spans="1:14" ht="15.6" hidden="1">
      <c r="A2155" s="420">
        <v>45906</v>
      </c>
      <c r="B2155" s="413" t="s">
        <v>4888</v>
      </c>
      <c r="C2155" s="413" t="s">
        <v>172</v>
      </c>
      <c r="D2155" s="177" t="s">
        <v>440</v>
      </c>
      <c r="E2155" s="413">
        <v>1000</v>
      </c>
      <c r="F2155" s="407">
        <f t="shared" si="26"/>
        <v>1.8744037053212446</v>
      </c>
      <c r="G2155" s="408">
        <v>533.50300000000004</v>
      </c>
      <c r="H2155" s="413" t="s">
        <v>173</v>
      </c>
      <c r="I2155" s="413" t="s">
        <v>2959</v>
      </c>
      <c r="J2155" s="243" t="s">
        <v>96</v>
      </c>
      <c r="K2155" s="243" t="s">
        <v>1137</v>
      </c>
      <c r="L2155" s="243" t="s">
        <v>153</v>
      </c>
      <c r="M2155" s="395"/>
      <c r="N2155" s="395"/>
    </row>
    <row r="2156" spans="1:14" ht="15.6" hidden="1">
      <c r="A2156" s="420">
        <v>45906</v>
      </c>
      <c r="B2156" s="413" t="s">
        <v>4888</v>
      </c>
      <c r="C2156" s="413" t="s">
        <v>172</v>
      </c>
      <c r="D2156" s="177" t="s">
        <v>440</v>
      </c>
      <c r="E2156" s="413">
        <v>1000</v>
      </c>
      <c r="F2156" s="407">
        <f t="shared" si="26"/>
        <v>1.8744037053212446</v>
      </c>
      <c r="G2156" s="408">
        <v>533.50300000000004</v>
      </c>
      <c r="H2156" s="413" t="s">
        <v>173</v>
      </c>
      <c r="I2156" s="413" t="s">
        <v>2959</v>
      </c>
      <c r="J2156" s="243" t="s">
        <v>96</v>
      </c>
      <c r="K2156" s="243" t="s">
        <v>1137</v>
      </c>
      <c r="L2156" s="243" t="s">
        <v>153</v>
      </c>
      <c r="M2156" s="395"/>
      <c r="N2156" s="395"/>
    </row>
    <row r="2157" spans="1:14" ht="15.6" hidden="1">
      <c r="A2157" s="420">
        <v>45906</v>
      </c>
      <c r="B2157" s="413" t="s">
        <v>4896</v>
      </c>
      <c r="C2157" s="413" t="s">
        <v>172</v>
      </c>
      <c r="D2157" s="177" t="s">
        <v>440</v>
      </c>
      <c r="E2157" s="413">
        <v>1000</v>
      </c>
      <c r="F2157" s="407">
        <f t="shared" si="26"/>
        <v>1.8744037053212446</v>
      </c>
      <c r="G2157" s="408">
        <v>533.50300000000004</v>
      </c>
      <c r="H2157" s="413" t="s">
        <v>173</v>
      </c>
      <c r="I2157" s="413" t="s">
        <v>2959</v>
      </c>
      <c r="J2157" s="243" t="s">
        <v>96</v>
      </c>
      <c r="K2157" s="243" t="s">
        <v>1137</v>
      </c>
      <c r="L2157" s="243" t="s">
        <v>153</v>
      </c>
      <c r="M2157" s="395"/>
      <c r="N2157" s="395"/>
    </row>
    <row r="2158" spans="1:14" ht="15.6" hidden="1">
      <c r="A2158" s="420">
        <v>45906</v>
      </c>
      <c r="B2158" s="413" t="s">
        <v>4942</v>
      </c>
      <c r="C2158" s="413" t="s">
        <v>172</v>
      </c>
      <c r="D2158" s="177" t="s">
        <v>440</v>
      </c>
      <c r="E2158" s="413">
        <v>3000</v>
      </c>
      <c r="F2158" s="407">
        <f t="shared" si="26"/>
        <v>5.6232111159637332</v>
      </c>
      <c r="G2158" s="408">
        <v>533.50300000000004</v>
      </c>
      <c r="H2158" s="413" t="s">
        <v>173</v>
      </c>
      <c r="I2158" s="413" t="s">
        <v>2965</v>
      </c>
      <c r="J2158" s="243" t="s">
        <v>96</v>
      </c>
      <c r="K2158" s="243" t="s">
        <v>1137</v>
      </c>
      <c r="L2158" s="243" t="s">
        <v>153</v>
      </c>
      <c r="M2158" s="395"/>
      <c r="N2158" s="395"/>
    </row>
    <row r="2159" spans="1:14" ht="15.6" hidden="1">
      <c r="A2159" s="420">
        <v>45906</v>
      </c>
      <c r="B2159" s="413" t="s">
        <v>2954</v>
      </c>
      <c r="C2159" s="413" t="s">
        <v>366</v>
      </c>
      <c r="D2159" s="177" t="s">
        <v>440</v>
      </c>
      <c r="E2159" s="413">
        <v>1500</v>
      </c>
      <c r="F2159" s="407">
        <f t="shared" si="26"/>
        <v>2.8116055579818666</v>
      </c>
      <c r="G2159" s="408">
        <v>533.50300000000004</v>
      </c>
      <c r="H2159" s="413" t="s">
        <v>173</v>
      </c>
      <c r="I2159" s="413" t="s">
        <v>2963</v>
      </c>
      <c r="J2159" s="243" t="s">
        <v>96</v>
      </c>
      <c r="K2159" s="243" t="s">
        <v>1137</v>
      </c>
      <c r="L2159" s="243" t="s">
        <v>153</v>
      </c>
      <c r="M2159" s="395"/>
      <c r="N2159" s="395"/>
    </row>
    <row r="2160" spans="1:14" ht="15.6" hidden="1">
      <c r="A2160" s="420">
        <v>45906</v>
      </c>
      <c r="B2160" s="413" t="s">
        <v>4917</v>
      </c>
      <c r="C2160" s="413" t="s">
        <v>172</v>
      </c>
      <c r="D2160" s="177" t="s">
        <v>440</v>
      </c>
      <c r="E2160" s="413">
        <v>1000</v>
      </c>
      <c r="F2160" s="407">
        <f t="shared" si="26"/>
        <v>1.8744037053212446</v>
      </c>
      <c r="G2160" s="408">
        <v>533.50300000000004</v>
      </c>
      <c r="H2160" s="413" t="s">
        <v>173</v>
      </c>
      <c r="I2160" s="413" t="s">
        <v>2959</v>
      </c>
      <c r="J2160" s="243" t="s">
        <v>96</v>
      </c>
      <c r="K2160" s="243" t="s">
        <v>1137</v>
      </c>
      <c r="L2160" s="243" t="s">
        <v>153</v>
      </c>
      <c r="M2160" s="395"/>
      <c r="N2160" s="395"/>
    </row>
    <row r="2161" spans="1:14" ht="15.6" hidden="1">
      <c r="A2161" s="420">
        <v>45906</v>
      </c>
      <c r="B2161" s="413" t="s">
        <v>4940</v>
      </c>
      <c r="C2161" s="413" t="s">
        <v>172</v>
      </c>
      <c r="D2161" s="177" t="s">
        <v>440</v>
      </c>
      <c r="E2161" s="413">
        <v>700</v>
      </c>
      <c r="F2161" s="407">
        <f t="shared" si="26"/>
        <v>1.3120825937248712</v>
      </c>
      <c r="G2161" s="408">
        <v>533.50300000000004</v>
      </c>
      <c r="H2161" s="413" t="s">
        <v>315</v>
      </c>
      <c r="I2161" s="413" t="s">
        <v>2976</v>
      </c>
      <c r="J2161" s="243" t="s">
        <v>96</v>
      </c>
      <c r="K2161" s="243" t="s">
        <v>1137</v>
      </c>
      <c r="L2161" s="243" t="s">
        <v>153</v>
      </c>
      <c r="M2161" s="327"/>
      <c r="N2161" s="327"/>
    </row>
    <row r="2162" spans="1:14" ht="15.6" hidden="1">
      <c r="A2162" s="420">
        <v>45906</v>
      </c>
      <c r="B2162" s="413" t="s">
        <v>4867</v>
      </c>
      <c r="C2162" s="413" t="s">
        <v>363</v>
      </c>
      <c r="D2162" s="177" t="s">
        <v>440</v>
      </c>
      <c r="E2162" s="413">
        <v>1500</v>
      </c>
      <c r="F2162" s="407">
        <f t="shared" si="26"/>
        <v>2.8116055579818666</v>
      </c>
      <c r="G2162" s="408">
        <v>533.50300000000004</v>
      </c>
      <c r="H2162" s="413" t="s">
        <v>315</v>
      </c>
      <c r="I2162" s="413" t="s">
        <v>2979</v>
      </c>
      <c r="J2162" s="243" t="s">
        <v>96</v>
      </c>
      <c r="K2162" s="243" t="s">
        <v>1137</v>
      </c>
      <c r="L2162" s="243" t="s">
        <v>153</v>
      </c>
      <c r="M2162" s="327"/>
      <c r="N2162" s="327"/>
    </row>
    <row r="2163" spans="1:14" ht="15.6" hidden="1">
      <c r="A2163" s="420">
        <v>45906</v>
      </c>
      <c r="B2163" s="413" t="s">
        <v>4940</v>
      </c>
      <c r="C2163" s="413" t="s">
        <v>172</v>
      </c>
      <c r="D2163" s="177" t="s">
        <v>440</v>
      </c>
      <c r="E2163" s="413">
        <v>700</v>
      </c>
      <c r="F2163" s="407">
        <f t="shared" si="26"/>
        <v>1.3120825937248712</v>
      </c>
      <c r="G2163" s="408">
        <v>533.50300000000004</v>
      </c>
      <c r="H2163" s="413" t="s">
        <v>315</v>
      </c>
      <c r="I2163" s="413" t="s">
        <v>2976</v>
      </c>
      <c r="J2163" s="243" t="s">
        <v>96</v>
      </c>
      <c r="K2163" s="243" t="s">
        <v>1137</v>
      </c>
      <c r="L2163" s="243" t="s">
        <v>153</v>
      </c>
      <c r="M2163" s="327"/>
      <c r="N2163" s="327"/>
    </row>
    <row r="2164" spans="1:14" ht="15.6" hidden="1">
      <c r="A2164" s="420">
        <v>45906</v>
      </c>
      <c r="B2164" s="413" t="s">
        <v>4940</v>
      </c>
      <c r="C2164" s="413" t="s">
        <v>172</v>
      </c>
      <c r="D2164" s="177" t="s">
        <v>440</v>
      </c>
      <c r="E2164" s="413">
        <v>700</v>
      </c>
      <c r="F2164" s="407">
        <f t="shared" si="26"/>
        <v>1.3120825937248712</v>
      </c>
      <c r="G2164" s="408">
        <v>533.50300000000004</v>
      </c>
      <c r="H2164" s="413" t="s">
        <v>315</v>
      </c>
      <c r="I2164" s="413" t="s">
        <v>2976</v>
      </c>
      <c r="J2164" s="243" t="s">
        <v>96</v>
      </c>
      <c r="K2164" s="243" t="s">
        <v>1137</v>
      </c>
      <c r="L2164" s="243" t="s">
        <v>153</v>
      </c>
      <c r="M2164" s="327"/>
      <c r="N2164" s="327"/>
    </row>
    <row r="2165" spans="1:14" ht="15.6" hidden="1">
      <c r="A2165" s="420">
        <v>45906</v>
      </c>
      <c r="B2165" s="413" t="s">
        <v>4943</v>
      </c>
      <c r="C2165" s="413" t="s">
        <v>363</v>
      </c>
      <c r="D2165" s="177" t="s">
        <v>440</v>
      </c>
      <c r="E2165" s="413">
        <v>2000</v>
      </c>
      <c r="F2165" s="407">
        <f t="shared" si="26"/>
        <v>3.7488074106424891</v>
      </c>
      <c r="G2165" s="408">
        <v>533.50300000000004</v>
      </c>
      <c r="H2165" s="413" t="s">
        <v>315</v>
      </c>
      <c r="I2165" s="413" t="s">
        <v>2979</v>
      </c>
      <c r="J2165" s="243" t="s">
        <v>96</v>
      </c>
      <c r="K2165" s="243" t="s">
        <v>1137</v>
      </c>
      <c r="L2165" s="243" t="s">
        <v>153</v>
      </c>
      <c r="M2165" s="327"/>
      <c r="N2165" s="327"/>
    </row>
    <row r="2166" spans="1:14" ht="15.6" hidden="1">
      <c r="A2166" s="420">
        <v>45906</v>
      </c>
      <c r="B2166" s="413" t="s">
        <v>4940</v>
      </c>
      <c r="C2166" s="413" t="s">
        <v>172</v>
      </c>
      <c r="D2166" s="177" t="s">
        <v>440</v>
      </c>
      <c r="E2166" s="413">
        <v>700</v>
      </c>
      <c r="F2166" s="407">
        <f t="shared" si="26"/>
        <v>1.3120825937248712</v>
      </c>
      <c r="G2166" s="408">
        <v>533.50300000000004</v>
      </c>
      <c r="H2166" s="413" t="s">
        <v>315</v>
      </c>
      <c r="I2166" s="413" t="s">
        <v>2976</v>
      </c>
      <c r="J2166" s="243" t="s">
        <v>96</v>
      </c>
      <c r="K2166" s="243" t="s">
        <v>1137</v>
      </c>
      <c r="L2166" s="243" t="s">
        <v>153</v>
      </c>
      <c r="M2166" s="327"/>
      <c r="N2166" s="327"/>
    </row>
    <row r="2167" spans="1:14" ht="15.6" hidden="1">
      <c r="A2167" s="415">
        <v>45906</v>
      </c>
      <c r="B2167" s="413" t="s">
        <v>3034</v>
      </c>
      <c r="C2167" s="243" t="s">
        <v>175</v>
      </c>
      <c r="D2167" s="243" t="s">
        <v>115</v>
      </c>
      <c r="E2167" s="412">
        <v>15000</v>
      </c>
      <c r="F2167" s="407">
        <f t="shared" si="26"/>
        <v>28.116055579818667</v>
      </c>
      <c r="G2167" s="408">
        <v>533.50300000000004</v>
      </c>
      <c r="H2167" s="243" t="s">
        <v>191</v>
      </c>
      <c r="I2167" s="413" t="s">
        <v>3057</v>
      </c>
      <c r="J2167" s="243" t="s">
        <v>96</v>
      </c>
      <c r="K2167" s="243" t="s">
        <v>1137</v>
      </c>
      <c r="L2167" s="243" t="s">
        <v>153</v>
      </c>
      <c r="M2167" s="125"/>
      <c r="N2167" s="125"/>
    </row>
    <row r="2168" spans="1:14" ht="15.6" hidden="1">
      <c r="A2168" s="415">
        <v>45906</v>
      </c>
      <c r="B2168" s="413" t="s">
        <v>2605</v>
      </c>
      <c r="C2168" s="243" t="s">
        <v>172</v>
      </c>
      <c r="D2168" s="243" t="s">
        <v>115</v>
      </c>
      <c r="E2168" s="412">
        <v>500</v>
      </c>
      <c r="F2168" s="407">
        <f t="shared" si="26"/>
        <v>0.93720185266062228</v>
      </c>
      <c r="G2168" s="408">
        <v>533.50300000000004</v>
      </c>
      <c r="H2168" s="243" t="s">
        <v>191</v>
      </c>
      <c r="I2168" s="413" t="s">
        <v>3052</v>
      </c>
      <c r="J2168" s="243" t="s">
        <v>96</v>
      </c>
      <c r="K2168" s="243" t="s">
        <v>1137</v>
      </c>
      <c r="L2168" s="243" t="s">
        <v>153</v>
      </c>
      <c r="M2168" s="125"/>
      <c r="N2168" s="125"/>
    </row>
    <row r="2169" spans="1:14" ht="15.6" hidden="1">
      <c r="A2169" s="415">
        <v>45906</v>
      </c>
      <c r="B2169" s="413" t="s">
        <v>3035</v>
      </c>
      <c r="C2169" s="243" t="s">
        <v>172</v>
      </c>
      <c r="D2169" s="243" t="s">
        <v>115</v>
      </c>
      <c r="E2169" s="412">
        <v>500</v>
      </c>
      <c r="F2169" s="407">
        <f t="shared" si="26"/>
        <v>0.93720185266062228</v>
      </c>
      <c r="G2169" s="408">
        <v>533.50300000000004</v>
      </c>
      <c r="H2169" s="243" t="s">
        <v>191</v>
      </c>
      <c r="I2169" s="413" t="s">
        <v>3052</v>
      </c>
      <c r="J2169" s="243" t="s">
        <v>96</v>
      </c>
      <c r="K2169" s="243" t="s">
        <v>1137</v>
      </c>
      <c r="L2169" s="243" t="s">
        <v>153</v>
      </c>
      <c r="M2169" s="76"/>
      <c r="N2169" s="76"/>
    </row>
    <row r="2170" spans="1:14" ht="15.6" hidden="1">
      <c r="A2170" s="405">
        <v>45906</v>
      </c>
      <c r="B2170" s="413" t="s">
        <v>3073</v>
      </c>
      <c r="C2170" s="346" t="s">
        <v>194</v>
      </c>
      <c r="D2170" s="346" t="s">
        <v>115</v>
      </c>
      <c r="E2170" s="416">
        <v>500</v>
      </c>
      <c r="F2170" s="407">
        <f t="shared" si="26"/>
        <v>0.93720185266062228</v>
      </c>
      <c r="G2170" s="408">
        <v>533.50300000000004</v>
      </c>
      <c r="H2170" s="252" t="s">
        <v>195</v>
      </c>
      <c r="I2170" s="413" t="s">
        <v>3101</v>
      </c>
      <c r="J2170" s="243" t="s">
        <v>96</v>
      </c>
      <c r="K2170" s="243" t="s">
        <v>1137</v>
      </c>
      <c r="L2170" s="243" t="s">
        <v>153</v>
      </c>
      <c r="M2170" s="76"/>
      <c r="N2170" s="76"/>
    </row>
    <row r="2171" spans="1:14" ht="15.6" hidden="1">
      <c r="A2171" s="405">
        <v>45906</v>
      </c>
      <c r="B2171" s="413" t="s">
        <v>3071</v>
      </c>
      <c r="C2171" s="346" t="s">
        <v>194</v>
      </c>
      <c r="D2171" s="346" t="s">
        <v>115</v>
      </c>
      <c r="E2171" s="416">
        <v>500</v>
      </c>
      <c r="F2171" s="407">
        <f t="shared" si="26"/>
        <v>0.93720185266062228</v>
      </c>
      <c r="G2171" s="408">
        <v>533.50300000000004</v>
      </c>
      <c r="H2171" s="252" t="s">
        <v>195</v>
      </c>
      <c r="I2171" s="413" t="s">
        <v>3101</v>
      </c>
      <c r="J2171" s="243" t="s">
        <v>96</v>
      </c>
      <c r="K2171" s="243" t="s">
        <v>1137</v>
      </c>
      <c r="L2171" s="243" t="s">
        <v>153</v>
      </c>
      <c r="M2171" s="76"/>
      <c r="N2171" s="76"/>
    </row>
    <row r="2172" spans="1:14" ht="15.6" hidden="1">
      <c r="A2172" s="405">
        <v>45906</v>
      </c>
      <c r="B2172" s="413" t="s">
        <v>3067</v>
      </c>
      <c r="C2172" s="346" t="s">
        <v>194</v>
      </c>
      <c r="D2172" s="346" t="s">
        <v>115</v>
      </c>
      <c r="E2172" s="416">
        <v>500</v>
      </c>
      <c r="F2172" s="407">
        <f t="shared" si="26"/>
        <v>0.93720185266062228</v>
      </c>
      <c r="G2172" s="408">
        <v>533.50300000000004</v>
      </c>
      <c r="H2172" s="252" t="s">
        <v>195</v>
      </c>
      <c r="I2172" s="413" t="s">
        <v>3101</v>
      </c>
      <c r="J2172" s="243" t="s">
        <v>96</v>
      </c>
      <c r="K2172" s="243" t="s">
        <v>1137</v>
      </c>
      <c r="L2172" s="243" t="s">
        <v>153</v>
      </c>
      <c r="M2172" s="76"/>
      <c r="N2172" s="76"/>
    </row>
    <row r="2173" spans="1:14" ht="15.6" hidden="1">
      <c r="A2173" s="405">
        <v>45907</v>
      </c>
      <c r="B2173" s="413" t="s">
        <v>3072</v>
      </c>
      <c r="C2173" s="346" t="s">
        <v>194</v>
      </c>
      <c r="D2173" s="346" t="s">
        <v>115</v>
      </c>
      <c r="E2173" s="416">
        <v>500</v>
      </c>
      <c r="F2173" s="407">
        <f t="shared" si="26"/>
        <v>0.93720185266062228</v>
      </c>
      <c r="G2173" s="408">
        <v>533.50300000000004</v>
      </c>
      <c r="H2173" s="252" t="s">
        <v>195</v>
      </c>
      <c r="I2173" s="413" t="s">
        <v>3101</v>
      </c>
      <c r="J2173" s="243" t="s">
        <v>96</v>
      </c>
      <c r="K2173" s="243" t="s">
        <v>1137</v>
      </c>
      <c r="L2173" s="243" t="s">
        <v>153</v>
      </c>
      <c r="M2173" s="76"/>
      <c r="N2173" s="76"/>
    </row>
    <row r="2174" spans="1:14" ht="15.6" hidden="1">
      <c r="A2174" s="420">
        <v>45907</v>
      </c>
      <c r="B2174" s="346" t="s">
        <v>2807</v>
      </c>
      <c r="C2174" s="406" t="s">
        <v>125</v>
      </c>
      <c r="D2174" s="406" t="s">
        <v>117</v>
      </c>
      <c r="E2174" s="346">
        <v>174625</v>
      </c>
      <c r="F2174" s="407">
        <f t="shared" si="26"/>
        <v>327.31774704172233</v>
      </c>
      <c r="G2174" s="408">
        <v>533.50300000000004</v>
      </c>
      <c r="H2174" s="409" t="s">
        <v>151</v>
      </c>
      <c r="I2174" s="413" t="s">
        <v>2826</v>
      </c>
      <c r="J2174" s="243" t="s">
        <v>96</v>
      </c>
      <c r="K2174" s="243" t="s">
        <v>1137</v>
      </c>
      <c r="L2174" s="243" t="s">
        <v>153</v>
      </c>
      <c r="M2174" s="327"/>
      <c r="N2174" s="327"/>
    </row>
    <row r="2175" spans="1:14" ht="15.6" hidden="1">
      <c r="A2175" s="420">
        <v>45907</v>
      </c>
      <c r="B2175" s="346" t="s">
        <v>2103</v>
      </c>
      <c r="C2175" s="406" t="s">
        <v>172</v>
      </c>
      <c r="D2175" s="406" t="s">
        <v>117</v>
      </c>
      <c r="E2175" s="346">
        <v>1000</v>
      </c>
      <c r="F2175" s="407">
        <f t="shared" si="26"/>
        <v>1.8744037053212446</v>
      </c>
      <c r="G2175" s="408">
        <v>533.50300000000004</v>
      </c>
      <c r="H2175" s="409" t="s">
        <v>151</v>
      </c>
      <c r="I2175" s="413" t="s">
        <v>2824</v>
      </c>
      <c r="J2175" s="243" t="s">
        <v>96</v>
      </c>
      <c r="K2175" s="243" t="s">
        <v>1137</v>
      </c>
      <c r="L2175" s="243" t="s">
        <v>153</v>
      </c>
      <c r="M2175" s="327"/>
      <c r="N2175" s="327"/>
    </row>
    <row r="2176" spans="1:14" ht="15.6" hidden="1">
      <c r="A2176" s="420">
        <v>45907</v>
      </c>
      <c r="B2176" s="346" t="s">
        <v>2104</v>
      </c>
      <c r="C2176" s="406" t="s">
        <v>172</v>
      </c>
      <c r="D2176" s="406" t="s">
        <v>117</v>
      </c>
      <c r="E2176" s="346">
        <v>1000</v>
      </c>
      <c r="F2176" s="407">
        <f t="shared" si="26"/>
        <v>1.8744037053212446</v>
      </c>
      <c r="G2176" s="408">
        <v>533.50300000000004</v>
      </c>
      <c r="H2176" s="409" t="s">
        <v>151</v>
      </c>
      <c r="I2176" s="413" t="s">
        <v>2824</v>
      </c>
      <c r="J2176" s="243" t="s">
        <v>96</v>
      </c>
      <c r="K2176" s="243" t="s">
        <v>1137</v>
      </c>
      <c r="L2176" s="243" t="s">
        <v>153</v>
      </c>
      <c r="M2176" s="327"/>
      <c r="N2176" s="327"/>
    </row>
    <row r="2177" spans="1:14" ht="15.6" hidden="1">
      <c r="A2177" s="418">
        <v>45907</v>
      </c>
      <c r="B2177" s="213" t="s">
        <v>2422</v>
      </c>
      <c r="C2177" s="213" t="s">
        <v>172</v>
      </c>
      <c r="D2177" s="329" t="s">
        <v>115</v>
      </c>
      <c r="E2177" s="419">
        <v>500</v>
      </c>
      <c r="F2177" s="407">
        <f t="shared" si="26"/>
        <v>0.93720185266062228</v>
      </c>
      <c r="G2177" s="408">
        <v>533.50300000000004</v>
      </c>
      <c r="H2177" s="172" t="s">
        <v>198</v>
      </c>
      <c r="I2177" s="213" t="s">
        <v>2859</v>
      </c>
      <c r="J2177" s="243" t="s">
        <v>96</v>
      </c>
      <c r="K2177" s="243" t="s">
        <v>1137</v>
      </c>
      <c r="L2177" s="243" t="s">
        <v>153</v>
      </c>
      <c r="M2177" s="395"/>
      <c r="N2177" s="395"/>
    </row>
    <row r="2178" spans="1:14" ht="15.6" hidden="1">
      <c r="A2178" s="418">
        <v>45907</v>
      </c>
      <c r="B2178" s="213" t="s">
        <v>2421</v>
      </c>
      <c r="C2178" s="213" t="s">
        <v>172</v>
      </c>
      <c r="D2178" s="329" t="s">
        <v>115</v>
      </c>
      <c r="E2178" s="419">
        <v>500</v>
      </c>
      <c r="F2178" s="407">
        <f t="shared" si="26"/>
        <v>0.93720185266062228</v>
      </c>
      <c r="G2178" s="408">
        <v>533.50300000000004</v>
      </c>
      <c r="H2178" s="172" t="s">
        <v>198</v>
      </c>
      <c r="I2178" s="213" t="s">
        <v>2859</v>
      </c>
      <c r="J2178" s="243" t="s">
        <v>96</v>
      </c>
      <c r="K2178" s="243" t="s">
        <v>1137</v>
      </c>
      <c r="L2178" s="243" t="s">
        <v>153</v>
      </c>
      <c r="M2178" s="395"/>
      <c r="N2178" s="395"/>
    </row>
    <row r="2179" spans="1:14" ht="15.6" hidden="1">
      <c r="A2179" s="418">
        <v>45907</v>
      </c>
      <c r="B2179" s="213" t="s">
        <v>2833</v>
      </c>
      <c r="C2179" s="213" t="s">
        <v>172</v>
      </c>
      <c r="D2179" s="329" t="s">
        <v>115</v>
      </c>
      <c r="E2179" s="419">
        <v>50000</v>
      </c>
      <c r="F2179" s="407">
        <f t="shared" si="26"/>
        <v>93.720185266062231</v>
      </c>
      <c r="G2179" s="408">
        <v>533.50300000000004</v>
      </c>
      <c r="H2179" s="172" t="s">
        <v>198</v>
      </c>
      <c r="I2179" s="213" t="s">
        <v>2860</v>
      </c>
      <c r="J2179" s="243" t="s">
        <v>96</v>
      </c>
      <c r="K2179" s="243" t="s">
        <v>1137</v>
      </c>
      <c r="L2179" s="243" t="s">
        <v>153</v>
      </c>
      <c r="M2179" s="395"/>
      <c r="N2179" s="395"/>
    </row>
    <row r="2180" spans="1:14" ht="15.6" hidden="1">
      <c r="A2180" s="418">
        <v>45907</v>
      </c>
      <c r="B2180" s="213" t="s">
        <v>3213</v>
      </c>
      <c r="C2180" s="213" t="s">
        <v>2394</v>
      </c>
      <c r="D2180" s="329" t="s">
        <v>115</v>
      </c>
      <c r="E2180" s="419">
        <v>24400</v>
      </c>
      <c r="F2180" s="407">
        <f t="shared" si="26"/>
        <v>45.735450409838364</v>
      </c>
      <c r="G2180" s="408">
        <v>533.50300000000004</v>
      </c>
      <c r="H2180" s="172" t="s">
        <v>198</v>
      </c>
      <c r="I2180" s="213" t="s">
        <v>2861</v>
      </c>
      <c r="J2180" s="243" t="s">
        <v>96</v>
      </c>
      <c r="K2180" s="243" t="s">
        <v>1137</v>
      </c>
      <c r="L2180" s="243" t="s">
        <v>153</v>
      </c>
      <c r="M2180" s="395"/>
      <c r="N2180" s="395"/>
    </row>
    <row r="2181" spans="1:14" ht="15.6" hidden="1">
      <c r="A2181" s="418">
        <v>45907</v>
      </c>
      <c r="B2181" s="419" t="s">
        <v>4912</v>
      </c>
      <c r="C2181" s="419" t="s">
        <v>172</v>
      </c>
      <c r="D2181" s="177" t="s">
        <v>440</v>
      </c>
      <c r="E2181" s="419">
        <v>1000</v>
      </c>
      <c r="F2181" s="407">
        <f t="shared" si="26"/>
        <v>1.8744037053212446</v>
      </c>
      <c r="G2181" s="408">
        <v>533.50300000000004</v>
      </c>
      <c r="H2181" s="419" t="s">
        <v>182</v>
      </c>
      <c r="I2181" s="419" t="s">
        <v>2936</v>
      </c>
      <c r="J2181" s="243" t="s">
        <v>96</v>
      </c>
      <c r="K2181" s="243" t="s">
        <v>1137</v>
      </c>
      <c r="L2181" s="243" t="s">
        <v>153</v>
      </c>
      <c r="M2181" s="395"/>
      <c r="N2181" s="395"/>
    </row>
    <row r="2182" spans="1:14" ht="15.6" hidden="1">
      <c r="A2182" s="418">
        <v>45907</v>
      </c>
      <c r="B2182" s="419" t="s">
        <v>4917</v>
      </c>
      <c r="C2182" s="419" t="s">
        <v>172</v>
      </c>
      <c r="D2182" s="177" t="s">
        <v>440</v>
      </c>
      <c r="E2182" s="419">
        <v>1000</v>
      </c>
      <c r="F2182" s="407">
        <f t="shared" si="26"/>
        <v>1.8744037053212446</v>
      </c>
      <c r="G2182" s="408">
        <v>533.50300000000004</v>
      </c>
      <c r="H2182" s="419" t="s">
        <v>182</v>
      </c>
      <c r="I2182" s="419" t="s">
        <v>2936</v>
      </c>
      <c r="J2182" s="243" t="s">
        <v>96</v>
      </c>
      <c r="K2182" s="243" t="s">
        <v>1137</v>
      </c>
      <c r="L2182" s="243" t="s">
        <v>153</v>
      </c>
      <c r="M2182" s="395"/>
      <c r="N2182" s="395"/>
    </row>
    <row r="2183" spans="1:14" ht="15.6" hidden="1">
      <c r="A2183" s="418">
        <v>45907</v>
      </c>
      <c r="B2183" s="419" t="s">
        <v>4912</v>
      </c>
      <c r="C2183" s="419" t="s">
        <v>172</v>
      </c>
      <c r="D2183" s="177" t="s">
        <v>440</v>
      </c>
      <c r="E2183" s="419">
        <v>1000</v>
      </c>
      <c r="F2183" s="407">
        <f t="shared" si="26"/>
        <v>1.8744037053212446</v>
      </c>
      <c r="G2183" s="408">
        <v>533.50300000000004</v>
      </c>
      <c r="H2183" s="419" t="s">
        <v>182</v>
      </c>
      <c r="I2183" s="419" t="s">
        <v>2936</v>
      </c>
      <c r="J2183" s="243" t="s">
        <v>96</v>
      </c>
      <c r="K2183" s="243" t="s">
        <v>1137</v>
      </c>
      <c r="L2183" s="243" t="s">
        <v>153</v>
      </c>
      <c r="M2183" s="395"/>
      <c r="N2183" s="395"/>
    </row>
    <row r="2184" spans="1:14" ht="15.6" hidden="1">
      <c r="A2184" s="418">
        <v>45907</v>
      </c>
      <c r="B2184" s="419" t="s">
        <v>4917</v>
      </c>
      <c r="C2184" s="419" t="s">
        <v>172</v>
      </c>
      <c r="D2184" s="177" t="s">
        <v>440</v>
      </c>
      <c r="E2184" s="419">
        <v>1000</v>
      </c>
      <c r="F2184" s="407">
        <f t="shared" si="26"/>
        <v>1.8744037053212446</v>
      </c>
      <c r="G2184" s="408">
        <v>533.50300000000004</v>
      </c>
      <c r="H2184" s="419" t="s">
        <v>182</v>
      </c>
      <c r="I2184" s="419" t="s">
        <v>2936</v>
      </c>
      <c r="J2184" s="243" t="s">
        <v>96</v>
      </c>
      <c r="K2184" s="243" t="s">
        <v>1137</v>
      </c>
      <c r="L2184" s="243" t="s">
        <v>153</v>
      </c>
      <c r="M2184" s="395"/>
      <c r="N2184" s="395"/>
    </row>
    <row r="2185" spans="1:14" ht="15.6" hidden="1">
      <c r="A2185" s="418">
        <v>45907</v>
      </c>
      <c r="B2185" s="419" t="s">
        <v>4917</v>
      </c>
      <c r="C2185" s="419" t="s">
        <v>172</v>
      </c>
      <c r="D2185" s="177" t="s">
        <v>440</v>
      </c>
      <c r="E2185" s="419">
        <v>1000</v>
      </c>
      <c r="F2185" s="407">
        <f t="shared" si="26"/>
        <v>1.8744037053212446</v>
      </c>
      <c r="G2185" s="408">
        <v>533.50300000000004</v>
      </c>
      <c r="H2185" s="419" t="s">
        <v>182</v>
      </c>
      <c r="I2185" s="419" t="s">
        <v>2936</v>
      </c>
      <c r="J2185" s="243" t="s">
        <v>96</v>
      </c>
      <c r="K2185" s="243" t="s">
        <v>1137</v>
      </c>
      <c r="L2185" s="243" t="s">
        <v>153</v>
      </c>
      <c r="M2185" s="395"/>
      <c r="N2185" s="395"/>
    </row>
    <row r="2186" spans="1:14" ht="15.6" hidden="1">
      <c r="A2186" s="418">
        <v>45907</v>
      </c>
      <c r="B2186" s="419" t="s">
        <v>4917</v>
      </c>
      <c r="C2186" s="419" t="s">
        <v>172</v>
      </c>
      <c r="D2186" s="177" t="s">
        <v>440</v>
      </c>
      <c r="E2186" s="419">
        <v>1000</v>
      </c>
      <c r="F2186" s="407">
        <f t="shared" si="26"/>
        <v>1.8744037053212446</v>
      </c>
      <c r="G2186" s="408">
        <v>533.50300000000004</v>
      </c>
      <c r="H2186" s="419" t="s">
        <v>182</v>
      </c>
      <c r="I2186" s="419" t="s">
        <v>2936</v>
      </c>
      <c r="J2186" s="243" t="s">
        <v>96</v>
      </c>
      <c r="K2186" s="243" t="s">
        <v>1137</v>
      </c>
      <c r="L2186" s="243" t="s">
        <v>153</v>
      </c>
      <c r="M2186" s="395"/>
      <c r="N2186" s="395"/>
    </row>
    <row r="2187" spans="1:14" ht="15.6" hidden="1">
      <c r="A2187" s="418">
        <v>45907</v>
      </c>
      <c r="B2187" s="419" t="s">
        <v>4941</v>
      </c>
      <c r="C2187" s="419" t="s">
        <v>366</v>
      </c>
      <c r="D2187" s="177" t="s">
        <v>440</v>
      </c>
      <c r="E2187" s="419">
        <v>2000</v>
      </c>
      <c r="F2187" s="407">
        <f t="shared" si="26"/>
        <v>3.7488074106424891</v>
      </c>
      <c r="G2187" s="408">
        <v>533.50300000000004</v>
      </c>
      <c r="H2187" s="419" t="s">
        <v>182</v>
      </c>
      <c r="I2187" s="419" t="s">
        <v>2940</v>
      </c>
      <c r="J2187" s="243" t="s">
        <v>96</v>
      </c>
      <c r="K2187" s="243" t="s">
        <v>1137</v>
      </c>
      <c r="L2187" s="243" t="s">
        <v>153</v>
      </c>
      <c r="M2187" s="395"/>
      <c r="N2187" s="395"/>
    </row>
    <row r="2188" spans="1:14" ht="15.6" hidden="1">
      <c r="A2188" s="420">
        <v>45907</v>
      </c>
      <c r="B2188" s="413" t="s">
        <v>4876</v>
      </c>
      <c r="C2188" s="413" t="s">
        <v>172</v>
      </c>
      <c r="D2188" s="177" t="s">
        <v>440</v>
      </c>
      <c r="E2188" s="413">
        <v>1000</v>
      </c>
      <c r="F2188" s="407">
        <f t="shared" si="26"/>
        <v>1.8744037053212446</v>
      </c>
      <c r="G2188" s="408">
        <v>533.50300000000004</v>
      </c>
      <c r="H2188" s="413" t="s">
        <v>173</v>
      </c>
      <c r="I2188" s="413" t="s">
        <v>2959</v>
      </c>
      <c r="J2188" s="243" t="s">
        <v>96</v>
      </c>
      <c r="K2188" s="243" t="s">
        <v>1137</v>
      </c>
      <c r="L2188" s="243" t="s">
        <v>153</v>
      </c>
      <c r="M2188" s="395"/>
      <c r="N2188" s="395"/>
    </row>
    <row r="2189" spans="1:14" ht="15.6" hidden="1">
      <c r="A2189" s="420">
        <v>45907</v>
      </c>
      <c r="B2189" s="413" t="s">
        <v>4876</v>
      </c>
      <c r="C2189" s="413" t="s">
        <v>172</v>
      </c>
      <c r="D2189" s="177" t="s">
        <v>440</v>
      </c>
      <c r="E2189" s="413">
        <v>1000</v>
      </c>
      <c r="F2189" s="407">
        <f t="shared" si="26"/>
        <v>1.8744037053212446</v>
      </c>
      <c r="G2189" s="408">
        <v>533.50300000000004</v>
      </c>
      <c r="H2189" s="413" t="s">
        <v>173</v>
      </c>
      <c r="I2189" s="413" t="s">
        <v>2959</v>
      </c>
      <c r="J2189" s="243" t="s">
        <v>96</v>
      </c>
      <c r="K2189" s="243" t="s">
        <v>1137</v>
      </c>
      <c r="L2189" s="243" t="s">
        <v>153</v>
      </c>
      <c r="M2189" s="395"/>
      <c r="N2189" s="395"/>
    </row>
    <row r="2190" spans="1:14" ht="15.6" hidden="1">
      <c r="A2190" s="420">
        <v>45907</v>
      </c>
      <c r="B2190" s="413" t="s">
        <v>4876</v>
      </c>
      <c r="C2190" s="413" t="s">
        <v>172</v>
      </c>
      <c r="D2190" s="177" t="s">
        <v>440</v>
      </c>
      <c r="E2190" s="413">
        <v>1000</v>
      </c>
      <c r="F2190" s="407">
        <f t="shared" si="26"/>
        <v>1.8744037053212446</v>
      </c>
      <c r="G2190" s="408">
        <v>533.50300000000004</v>
      </c>
      <c r="H2190" s="413" t="s">
        <v>173</v>
      </c>
      <c r="I2190" s="413" t="s">
        <v>2959</v>
      </c>
      <c r="J2190" s="243" t="s">
        <v>96</v>
      </c>
      <c r="K2190" s="243" t="s">
        <v>1137</v>
      </c>
      <c r="L2190" s="243" t="s">
        <v>153</v>
      </c>
      <c r="M2190" s="395"/>
      <c r="N2190" s="395"/>
    </row>
    <row r="2191" spans="1:14" ht="15.6" hidden="1">
      <c r="A2191" s="420">
        <v>45907</v>
      </c>
      <c r="B2191" s="413" t="s">
        <v>4876</v>
      </c>
      <c r="C2191" s="413" t="s">
        <v>172</v>
      </c>
      <c r="D2191" s="177" t="s">
        <v>440</v>
      </c>
      <c r="E2191" s="413">
        <v>1000</v>
      </c>
      <c r="F2191" s="407">
        <f t="shared" si="26"/>
        <v>1.8744037053212446</v>
      </c>
      <c r="G2191" s="408">
        <v>533.50300000000004</v>
      </c>
      <c r="H2191" s="413" t="s">
        <v>173</v>
      </c>
      <c r="I2191" s="413" t="s">
        <v>2959</v>
      </c>
      <c r="J2191" s="243" t="s">
        <v>96</v>
      </c>
      <c r="K2191" s="243" t="s">
        <v>1137</v>
      </c>
      <c r="L2191" s="243" t="s">
        <v>153</v>
      </c>
      <c r="M2191" s="395"/>
      <c r="N2191" s="395"/>
    </row>
    <row r="2192" spans="1:14" ht="15.6" hidden="1">
      <c r="A2192" s="420">
        <v>45907</v>
      </c>
      <c r="B2192" s="413" t="s">
        <v>2954</v>
      </c>
      <c r="C2192" s="413" t="s">
        <v>366</v>
      </c>
      <c r="D2192" s="177" t="s">
        <v>440</v>
      </c>
      <c r="E2192" s="413">
        <v>1000</v>
      </c>
      <c r="F2192" s="407">
        <f t="shared" si="26"/>
        <v>1.8744037053212446</v>
      </c>
      <c r="G2192" s="408">
        <v>533.50300000000004</v>
      </c>
      <c r="H2192" s="413" t="s">
        <v>173</v>
      </c>
      <c r="I2192" s="413" t="s">
        <v>2963</v>
      </c>
      <c r="J2192" s="243" t="s">
        <v>96</v>
      </c>
      <c r="K2192" s="243" t="s">
        <v>1137</v>
      </c>
      <c r="L2192" s="243" t="s">
        <v>153</v>
      </c>
      <c r="M2192" s="395"/>
      <c r="N2192" s="395"/>
    </row>
    <row r="2193" spans="1:14" ht="15.6" hidden="1">
      <c r="A2193" s="420">
        <v>45907</v>
      </c>
      <c r="B2193" s="413" t="s">
        <v>4940</v>
      </c>
      <c r="C2193" s="413" t="s">
        <v>172</v>
      </c>
      <c r="D2193" s="177" t="s">
        <v>440</v>
      </c>
      <c r="E2193" s="413">
        <v>700</v>
      </c>
      <c r="F2193" s="407">
        <f t="shared" si="26"/>
        <v>1.3120825937248712</v>
      </c>
      <c r="G2193" s="408">
        <v>533.50300000000004</v>
      </c>
      <c r="H2193" s="413" t="s">
        <v>315</v>
      </c>
      <c r="I2193" s="413" t="s">
        <v>2976</v>
      </c>
      <c r="J2193" s="243" t="s">
        <v>96</v>
      </c>
      <c r="K2193" s="243" t="s">
        <v>1137</v>
      </c>
      <c r="L2193" s="243" t="s">
        <v>153</v>
      </c>
      <c r="M2193" s="327"/>
      <c r="N2193" s="327"/>
    </row>
    <row r="2194" spans="1:14" ht="15.6" hidden="1">
      <c r="A2194" s="420">
        <v>45907</v>
      </c>
      <c r="B2194" s="413" t="s">
        <v>4749</v>
      </c>
      <c r="C2194" s="413" t="s">
        <v>172</v>
      </c>
      <c r="D2194" s="177" t="s">
        <v>440</v>
      </c>
      <c r="E2194" s="413">
        <v>5000</v>
      </c>
      <c r="F2194" s="407">
        <f t="shared" si="26"/>
        <v>9.3720185266062224</v>
      </c>
      <c r="G2194" s="408">
        <v>533.50300000000004</v>
      </c>
      <c r="H2194" s="413" t="s">
        <v>315</v>
      </c>
      <c r="I2194" s="243" t="s">
        <v>2980</v>
      </c>
      <c r="J2194" s="243" t="s">
        <v>96</v>
      </c>
      <c r="K2194" s="243" t="s">
        <v>1137</v>
      </c>
      <c r="L2194" s="243" t="s">
        <v>153</v>
      </c>
      <c r="M2194" s="327"/>
      <c r="N2194" s="327"/>
    </row>
    <row r="2195" spans="1:14" ht="15.6" hidden="1">
      <c r="A2195" s="420">
        <v>45907</v>
      </c>
      <c r="B2195" s="413" t="s">
        <v>4896</v>
      </c>
      <c r="C2195" s="413" t="s">
        <v>172</v>
      </c>
      <c r="D2195" s="177" t="s">
        <v>440</v>
      </c>
      <c r="E2195" s="413">
        <v>500</v>
      </c>
      <c r="F2195" s="407">
        <f t="shared" si="26"/>
        <v>0.93720185266062228</v>
      </c>
      <c r="G2195" s="408">
        <v>533.50300000000004</v>
      </c>
      <c r="H2195" s="413" t="s">
        <v>315</v>
      </c>
      <c r="I2195" s="413" t="s">
        <v>2976</v>
      </c>
      <c r="J2195" s="243" t="s">
        <v>96</v>
      </c>
      <c r="K2195" s="243" t="s">
        <v>1137</v>
      </c>
      <c r="L2195" s="243" t="s">
        <v>153</v>
      </c>
      <c r="M2195" s="327"/>
      <c r="N2195" s="327"/>
    </row>
    <row r="2196" spans="1:14" ht="15.6" hidden="1">
      <c r="A2196" s="420">
        <v>45907</v>
      </c>
      <c r="B2196" s="413" t="s">
        <v>4888</v>
      </c>
      <c r="C2196" s="413" t="s">
        <v>172</v>
      </c>
      <c r="D2196" s="177" t="s">
        <v>440</v>
      </c>
      <c r="E2196" s="413">
        <v>500</v>
      </c>
      <c r="F2196" s="407">
        <f t="shared" si="26"/>
        <v>0.93720185266062228</v>
      </c>
      <c r="G2196" s="408">
        <v>533.50300000000004</v>
      </c>
      <c r="H2196" s="413" t="s">
        <v>315</v>
      </c>
      <c r="I2196" s="413" t="s">
        <v>2976</v>
      </c>
      <c r="J2196" s="243" t="s">
        <v>96</v>
      </c>
      <c r="K2196" s="243" t="s">
        <v>1137</v>
      </c>
      <c r="L2196" s="243" t="s">
        <v>153</v>
      </c>
      <c r="M2196" s="327"/>
      <c r="N2196" s="327"/>
    </row>
    <row r="2197" spans="1:14" ht="15.6" hidden="1">
      <c r="A2197" s="420">
        <v>45907</v>
      </c>
      <c r="B2197" s="413" t="s">
        <v>4888</v>
      </c>
      <c r="C2197" s="413" t="s">
        <v>172</v>
      </c>
      <c r="D2197" s="177" t="s">
        <v>440</v>
      </c>
      <c r="E2197" s="413">
        <v>500</v>
      </c>
      <c r="F2197" s="407">
        <f t="shared" si="26"/>
        <v>0.93720185266062228</v>
      </c>
      <c r="G2197" s="408">
        <v>533.50300000000004</v>
      </c>
      <c r="H2197" s="413" t="s">
        <v>315</v>
      </c>
      <c r="I2197" s="413" t="s">
        <v>2976</v>
      </c>
      <c r="J2197" s="243" t="s">
        <v>96</v>
      </c>
      <c r="K2197" s="243" t="s">
        <v>1137</v>
      </c>
      <c r="L2197" s="243" t="s">
        <v>153</v>
      </c>
      <c r="M2197" s="327"/>
      <c r="N2197" s="327"/>
    </row>
    <row r="2198" spans="1:14" ht="15.6" hidden="1">
      <c r="A2198" s="420">
        <v>45907</v>
      </c>
      <c r="B2198" s="413" t="s">
        <v>4888</v>
      </c>
      <c r="C2198" s="413" t="s">
        <v>172</v>
      </c>
      <c r="D2198" s="177" t="s">
        <v>440</v>
      </c>
      <c r="E2198" s="413">
        <v>500</v>
      </c>
      <c r="F2198" s="407">
        <f t="shared" si="26"/>
        <v>0.93720185266062228</v>
      </c>
      <c r="G2198" s="408">
        <v>533.50300000000004</v>
      </c>
      <c r="H2198" s="413" t="s">
        <v>315</v>
      </c>
      <c r="I2198" s="413" t="s">
        <v>2976</v>
      </c>
      <c r="J2198" s="243" t="s">
        <v>96</v>
      </c>
      <c r="K2198" s="243" t="s">
        <v>1137</v>
      </c>
      <c r="L2198" s="243" t="s">
        <v>153</v>
      </c>
      <c r="M2198" s="327"/>
      <c r="N2198" s="327"/>
    </row>
    <row r="2199" spans="1:14" ht="15.6" hidden="1">
      <c r="A2199" s="420">
        <v>45907</v>
      </c>
      <c r="B2199" s="413" t="s">
        <v>4888</v>
      </c>
      <c r="C2199" s="413" t="s">
        <v>172</v>
      </c>
      <c r="D2199" s="177" t="s">
        <v>440</v>
      </c>
      <c r="E2199" s="413">
        <v>5000</v>
      </c>
      <c r="F2199" s="407">
        <f t="shared" si="26"/>
        <v>9.3720185266062224</v>
      </c>
      <c r="G2199" s="408">
        <v>533.50300000000004</v>
      </c>
      <c r="H2199" s="413" t="s">
        <v>315</v>
      </c>
      <c r="I2199" s="243" t="s">
        <v>2981</v>
      </c>
      <c r="J2199" s="243" t="s">
        <v>96</v>
      </c>
      <c r="K2199" s="243" t="s">
        <v>1137</v>
      </c>
      <c r="L2199" s="243" t="s">
        <v>153</v>
      </c>
      <c r="M2199" s="327"/>
      <c r="N2199" s="327"/>
    </row>
    <row r="2200" spans="1:14" ht="15.6" hidden="1">
      <c r="A2200" s="420">
        <v>45907</v>
      </c>
      <c r="B2200" s="413" t="s">
        <v>4938</v>
      </c>
      <c r="C2200" s="413" t="s">
        <v>172</v>
      </c>
      <c r="D2200" s="177" t="s">
        <v>440</v>
      </c>
      <c r="E2200" s="413">
        <v>700</v>
      </c>
      <c r="F2200" s="407">
        <f t="shared" si="26"/>
        <v>1.3120825937248712</v>
      </c>
      <c r="G2200" s="408">
        <v>533.50300000000004</v>
      </c>
      <c r="H2200" s="413" t="s">
        <v>315</v>
      </c>
      <c r="I2200" s="413" t="s">
        <v>2976</v>
      </c>
      <c r="J2200" s="243" t="s">
        <v>96</v>
      </c>
      <c r="K2200" s="243" t="s">
        <v>1137</v>
      </c>
      <c r="L2200" s="243" t="s">
        <v>153</v>
      </c>
      <c r="M2200" s="327"/>
      <c r="N2200" s="327"/>
    </row>
    <row r="2201" spans="1:14" ht="15.6" hidden="1">
      <c r="A2201" s="415">
        <v>45907</v>
      </c>
      <c r="B2201" s="413" t="s">
        <v>3036</v>
      </c>
      <c r="C2201" s="243" t="s">
        <v>175</v>
      </c>
      <c r="D2201" s="243" t="s">
        <v>115</v>
      </c>
      <c r="E2201" s="412">
        <v>15000</v>
      </c>
      <c r="F2201" s="407">
        <f t="shared" si="26"/>
        <v>28.116055579818667</v>
      </c>
      <c r="G2201" s="408">
        <v>533.50300000000004</v>
      </c>
      <c r="H2201" s="243" t="s">
        <v>191</v>
      </c>
      <c r="I2201" s="413" t="s">
        <v>3058</v>
      </c>
      <c r="J2201" s="243" t="s">
        <v>96</v>
      </c>
      <c r="K2201" s="243" t="s">
        <v>1137</v>
      </c>
      <c r="L2201" s="243" t="s">
        <v>153</v>
      </c>
      <c r="M2201" s="76"/>
      <c r="N2201" s="76"/>
    </row>
    <row r="2202" spans="1:14" ht="15.6" hidden="1">
      <c r="A2202" s="415">
        <v>45907</v>
      </c>
      <c r="B2202" s="413" t="s">
        <v>3037</v>
      </c>
      <c r="C2202" s="243" t="s">
        <v>172</v>
      </c>
      <c r="D2202" s="243" t="s">
        <v>115</v>
      </c>
      <c r="E2202" s="412">
        <v>500</v>
      </c>
      <c r="F2202" s="407">
        <f t="shared" si="26"/>
        <v>0.93720185266062228</v>
      </c>
      <c r="G2202" s="408">
        <v>533.50300000000004</v>
      </c>
      <c r="H2202" s="243" t="s">
        <v>191</v>
      </c>
      <c r="I2202" s="413" t="s">
        <v>3052</v>
      </c>
      <c r="J2202" s="243" t="s">
        <v>96</v>
      </c>
      <c r="K2202" s="243" t="s">
        <v>1137</v>
      </c>
      <c r="L2202" s="243" t="s">
        <v>153</v>
      </c>
      <c r="M2202" s="76"/>
      <c r="N2202" s="76"/>
    </row>
    <row r="2203" spans="1:14" ht="15.6" hidden="1">
      <c r="A2203" s="415">
        <v>45907</v>
      </c>
      <c r="B2203" s="413" t="s">
        <v>3038</v>
      </c>
      <c r="C2203" s="243" t="s">
        <v>172</v>
      </c>
      <c r="D2203" s="243" t="s">
        <v>115</v>
      </c>
      <c r="E2203" s="412">
        <v>1000</v>
      </c>
      <c r="F2203" s="407">
        <f t="shared" si="26"/>
        <v>1.8744037053212446</v>
      </c>
      <c r="G2203" s="408">
        <v>533.50300000000004</v>
      </c>
      <c r="H2203" s="243" t="s">
        <v>191</v>
      </c>
      <c r="I2203" s="413" t="s">
        <v>3052</v>
      </c>
      <c r="J2203" s="243" t="s">
        <v>96</v>
      </c>
      <c r="K2203" s="243" t="s">
        <v>1137</v>
      </c>
      <c r="L2203" s="243" t="s">
        <v>153</v>
      </c>
      <c r="M2203" s="76"/>
      <c r="N2203" s="76"/>
    </row>
    <row r="2204" spans="1:14" ht="15.6" hidden="1">
      <c r="A2204" s="405">
        <v>45907</v>
      </c>
      <c r="B2204" s="413" t="s">
        <v>3074</v>
      </c>
      <c r="C2204" s="346" t="s">
        <v>194</v>
      </c>
      <c r="D2204" s="346" t="s">
        <v>115</v>
      </c>
      <c r="E2204" s="416">
        <v>500</v>
      </c>
      <c r="F2204" s="407">
        <f t="shared" si="26"/>
        <v>0.93720185266062228</v>
      </c>
      <c r="G2204" s="408">
        <v>533.50300000000004</v>
      </c>
      <c r="H2204" s="252" t="s">
        <v>195</v>
      </c>
      <c r="I2204" s="413" t="s">
        <v>3101</v>
      </c>
      <c r="J2204" s="243" t="s">
        <v>96</v>
      </c>
      <c r="K2204" s="243" t="s">
        <v>1137</v>
      </c>
      <c r="L2204" s="243" t="s">
        <v>153</v>
      </c>
      <c r="M2204" s="76"/>
      <c r="N2204" s="76"/>
    </row>
    <row r="2205" spans="1:14" ht="15.6" hidden="1">
      <c r="A2205" s="405">
        <v>45907</v>
      </c>
      <c r="B2205" s="413" t="s">
        <v>3075</v>
      </c>
      <c r="C2205" s="346" t="s">
        <v>194</v>
      </c>
      <c r="D2205" s="346" t="s">
        <v>115</v>
      </c>
      <c r="E2205" s="416">
        <v>500</v>
      </c>
      <c r="F2205" s="407">
        <f t="shared" si="26"/>
        <v>0.93720185266062228</v>
      </c>
      <c r="G2205" s="408">
        <v>533.50300000000004</v>
      </c>
      <c r="H2205" s="252" t="s">
        <v>195</v>
      </c>
      <c r="I2205" s="413" t="s">
        <v>3101</v>
      </c>
      <c r="J2205" s="243" t="s">
        <v>96</v>
      </c>
      <c r="K2205" s="243" t="s">
        <v>1137</v>
      </c>
      <c r="L2205" s="243" t="s">
        <v>153</v>
      </c>
      <c r="M2205" s="76"/>
      <c r="N2205" s="76"/>
    </row>
    <row r="2206" spans="1:14" ht="15.6" hidden="1">
      <c r="A2206" s="405">
        <v>45907</v>
      </c>
      <c r="B2206" s="413" t="s">
        <v>3076</v>
      </c>
      <c r="C2206" s="346" t="s">
        <v>194</v>
      </c>
      <c r="D2206" s="346" t="s">
        <v>115</v>
      </c>
      <c r="E2206" s="416">
        <v>500</v>
      </c>
      <c r="F2206" s="407">
        <f t="shared" si="26"/>
        <v>0.93720185266062228</v>
      </c>
      <c r="G2206" s="408">
        <v>533.50300000000004</v>
      </c>
      <c r="H2206" s="252" t="s">
        <v>195</v>
      </c>
      <c r="I2206" s="413" t="s">
        <v>3101</v>
      </c>
      <c r="J2206" s="243" t="s">
        <v>96</v>
      </c>
      <c r="K2206" s="243" t="s">
        <v>1137</v>
      </c>
      <c r="L2206" s="243" t="s">
        <v>153</v>
      </c>
      <c r="M2206" s="76"/>
      <c r="N2206" s="76"/>
    </row>
    <row r="2207" spans="1:14" ht="15.6" hidden="1">
      <c r="A2207" s="405">
        <v>45908</v>
      </c>
      <c r="B2207" s="413" t="s">
        <v>3077</v>
      </c>
      <c r="C2207" s="346" t="s">
        <v>194</v>
      </c>
      <c r="D2207" s="346" t="s">
        <v>115</v>
      </c>
      <c r="E2207" s="416">
        <v>500</v>
      </c>
      <c r="F2207" s="407">
        <f t="shared" si="26"/>
        <v>0.93720185266062228</v>
      </c>
      <c r="G2207" s="408">
        <v>533.50300000000004</v>
      </c>
      <c r="H2207" s="252" t="s">
        <v>195</v>
      </c>
      <c r="I2207" s="413" t="s">
        <v>3101</v>
      </c>
      <c r="J2207" s="243" t="s">
        <v>96</v>
      </c>
      <c r="K2207" s="243" t="s">
        <v>1137</v>
      </c>
      <c r="L2207" s="243" t="s">
        <v>153</v>
      </c>
      <c r="M2207" s="76"/>
      <c r="N2207" s="76"/>
    </row>
    <row r="2208" spans="1:14" ht="15.6" hidden="1">
      <c r="A2208" s="420">
        <v>45908</v>
      </c>
      <c r="B2208" s="346" t="s">
        <v>2103</v>
      </c>
      <c r="C2208" s="406" t="s">
        <v>172</v>
      </c>
      <c r="D2208" s="406" t="s">
        <v>117</v>
      </c>
      <c r="E2208" s="346">
        <v>1000</v>
      </c>
      <c r="F2208" s="407">
        <f t="shared" si="26"/>
        <v>1.8744037053212446</v>
      </c>
      <c r="G2208" s="408">
        <v>533.50300000000004</v>
      </c>
      <c r="H2208" s="409" t="s">
        <v>151</v>
      </c>
      <c r="I2208" s="413" t="s">
        <v>2824</v>
      </c>
      <c r="J2208" s="243" t="s">
        <v>96</v>
      </c>
      <c r="K2208" s="243" t="s">
        <v>1137</v>
      </c>
      <c r="L2208" s="243" t="s">
        <v>153</v>
      </c>
      <c r="M2208" s="327"/>
      <c r="N2208" s="327"/>
    </row>
    <row r="2209" spans="1:14" ht="15.6" hidden="1">
      <c r="A2209" s="420">
        <v>45908</v>
      </c>
      <c r="B2209" s="346" t="s">
        <v>2104</v>
      </c>
      <c r="C2209" s="406" t="s">
        <v>172</v>
      </c>
      <c r="D2209" s="406" t="s">
        <v>117</v>
      </c>
      <c r="E2209" s="346">
        <v>1000</v>
      </c>
      <c r="F2209" s="407">
        <f t="shared" ref="F2209:F2272" si="27">E2209/G2209</f>
        <v>1.8744037053212446</v>
      </c>
      <c r="G2209" s="408">
        <v>533.50300000000004</v>
      </c>
      <c r="H2209" s="409" t="s">
        <v>151</v>
      </c>
      <c r="I2209" s="413" t="s">
        <v>2824</v>
      </c>
      <c r="J2209" s="243" t="s">
        <v>96</v>
      </c>
      <c r="K2209" s="243" t="s">
        <v>1137</v>
      </c>
      <c r="L2209" s="243" t="s">
        <v>153</v>
      </c>
      <c r="M2209" s="327"/>
      <c r="N2209" s="327"/>
    </row>
    <row r="2210" spans="1:14" ht="15.6" hidden="1">
      <c r="A2210" s="420">
        <v>45908</v>
      </c>
      <c r="B2210" s="346" t="s">
        <v>2808</v>
      </c>
      <c r="C2210" s="406" t="s">
        <v>150</v>
      </c>
      <c r="D2210" s="406" t="s">
        <v>117</v>
      </c>
      <c r="E2210" s="346">
        <v>12500</v>
      </c>
      <c r="F2210" s="407">
        <f t="shared" si="27"/>
        <v>23.430046316515558</v>
      </c>
      <c r="G2210" s="408">
        <v>533.50300000000004</v>
      </c>
      <c r="H2210" s="409" t="s">
        <v>151</v>
      </c>
      <c r="I2210" s="413" t="s">
        <v>2827</v>
      </c>
      <c r="J2210" s="243" t="s">
        <v>96</v>
      </c>
      <c r="K2210" s="243" t="s">
        <v>1137</v>
      </c>
      <c r="L2210" s="243" t="s">
        <v>153</v>
      </c>
      <c r="M2210" s="327"/>
      <c r="N2210" s="327"/>
    </row>
    <row r="2211" spans="1:14" ht="15.6" hidden="1">
      <c r="A2211" s="425">
        <v>45908</v>
      </c>
      <c r="B2211" s="213" t="s">
        <v>2834</v>
      </c>
      <c r="C2211" s="213" t="s">
        <v>2394</v>
      </c>
      <c r="D2211" s="329" t="s">
        <v>115</v>
      </c>
      <c r="E2211" s="213">
        <v>27500</v>
      </c>
      <c r="F2211" s="407">
        <f t="shared" si="27"/>
        <v>51.546101896334221</v>
      </c>
      <c r="G2211" s="408">
        <v>533.50300000000004</v>
      </c>
      <c r="H2211" s="172" t="s">
        <v>198</v>
      </c>
      <c r="I2211" s="213" t="s">
        <v>2862</v>
      </c>
      <c r="J2211" s="243" t="s">
        <v>96</v>
      </c>
      <c r="K2211" s="243" t="s">
        <v>1137</v>
      </c>
      <c r="L2211" s="243" t="s">
        <v>153</v>
      </c>
      <c r="M2211" s="395"/>
      <c r="N2211" s="395"/>
    </row>
    <row r="2212" spans="1:14" ht="15.6" hidden="1">
      <c r="A2212" s="425">
        <v>45908</v>
      </c>
      <c r="B2212" s="243" t="s">
        <v>2835</v>
      </c>
      <c r="C2212" s="239" t="s">
        <v>150</v>
      </c>
      <c r="D2212" s="239" t="s">
        <v>115</v>
      </c>
      <c r="E2212" s="213">
        <v>10000</v>
      </c>
      <c r="F2212" s="407">
        <f t="shared" si="27"/>
        <v>18.744037053212445</v>
      </c>
      <c r="G2212" s="408">
        <v>533.50300000000004</v>
      </c>
      <c r="H2212" s="172" t="s">
        <v>198</v>
      </c>
      <c r="I2212" s="213" t="s">
        <v>2863</v>
      </c>
      <c r="J2212" s="243" t="s">
        <v>96</v>
      </c>
      <c r="K2212" s="243" t="s">
        <v>1137</v>
      </c>
      <c r="L2212" s="243" t="s">
        <v>153</v>
      </c>
      <c r="M2212" s="435"/>
      <c r="N2212" s="395"/>
    </row>
    <row r="2213" spans="1:14" ht="15.6" hidden="1">
      <c r="A2213" s="411">
        <v>45908</v>
      </c>
      <c r="B2213" s="413" t="s">
        <v>2873</v>
      </c>
      <c r="C2213" s="413" t="s">
        <v>172</v>
      </c>
      <c r="D2213" s="413" t="s">
        <v>116</v>
      </c>
      <c r="E2213" s="414">
        <v>1000</v>
      </c>
      <c r="F2213" s="407">
        <f t="shared" si="27"/>
        <v>1.8744037053212446</v>
      </c>
      <c r="G2213" s="408">
        <v>533.50300000000004</v>
      </c>
      <c r="H2213" s="413" t="s">
        <v>581</v>
      </c>
      <c r="I2213" s="413" t="s">
        <v>2914</v>
      </c>
      <c r="J2213" s="243" t="s">
        <v>96</v>
      </c>
      <c r="K2213" s="243" t="s">
        <v>1137</v>
      </c>
      <c r="L2213" s="243" t="s">
        <v>153</v>
      </c>
      <c r="M2213" s="395"/>
      <c r="N2213" s="395"/>
    </row>
    <row r="2214" spans="1:14" ht="15.6" hidden="1">
      <c r="A2214" s="411">
        <v>45908</v>
      </c>
      <c r="B2214" s="413" t="s">
        <v>2880</v>
      </c>
      <c r="C2214" s="413" t="s">
        <v>172</v>
      </c>
      <c r="D2214" s="413" t="s">
        <v>116</v>
      </c>
      <c r="E2214" s="414">
        <v>500</v>
      </c>
      <c r="F2214" s="407">
        <f t="shared" si="27"/>
        <v>0.93720185266062228</v>
      </c>
      <c r="G2214" s="408">
        <v>533.50300000000004</v>
      </c>
      <c r="H2214" s="413" t="s">
        <v>581</v>
      </c>
      <c r="I2214" s="413" t="s">
        <v>2914</v>
      </c>
      <c r="J2214" s="243" t="s">
        <v>96</v>
      </c>
      <c r="K2214" s="243" t="s">
        <v>1137</v>
      </c>
      <c r="L2214" s="243" t="s">
        <v>153</v>
      </c>
      <c r="M2214" s="395"/>
      <c r="N2214" s="395"/>
    </row>
    <row r="2215" spans="1:14" ht="15.6" hidden="1">
      <c r="A2215" s="411">
        <v>45908</v>
      </c>
      <c r="B2215" s="413" t="s">
        <v>2881</v>
      </c>
      <c r="C2215" s="413" t="s">
        <v>172</v>
      </c>
      <c r="D2215" s="413" t="s">
        <v>116</v>
      </c>
      <c r="E2215" s="414">
        <v>1000</v>
      </c>
      <c r="F2215" s="407">
        <f t="shared" si="27"/>
        <v>1.8744037053212446</v>
      </c>
      <c r="G2215" s="408">
        <v>533.50300000000004</v>
      </c>
      <c r="H2215" s="413" t="s">
        <v>581</v>
      </c>
      <c r="I2215" s="413" t="s">
        <v>2914</v>
      </c>
      <c r="J2215" s="243" t="s">
        <v>96</v>
      </c>
      <c r="K2215" s="243" t="s">
        <v>1137</v>
      </c>
      <c r="L2215" s="243" t="s">
        <v>153</v>
      </c>
      <c r="M2215" s="327"/>
      <c r="N2215" s="327"/>
    </row>
    <row r="2216" spans="1:14" ht="15.6" hidden="1">
      <c r="A2216" s="411">
        <v>45908</v>
      </c>
      <c r="B2216" s="413" t="s">
        <v>2882</v>
      </c>
      <c r="C2216" s="416" t="s">
        <v>150</v>
      </c>
      <c r="D2216" s="413" t="s">
        <v>117</v>
      </c>
      <c r="E2216" s="414">
        <v>7500</v>
      </c>
      <c r="F2216" s="407">
        <f t="shared" si="27"/>
        <v>14.058027789909334</v>
      </c>
      <c r="G2216" s="408">
        <v>533.50300000000004</v>
      </c>
      <c r="H2216" s="413" t="s">
        <v>581</v>
      </c>
      <c r="I2216" s="413" t="s">
        <v>2920</v>
      </c>
      <c r="J2216" s="243" t="s">
        <v>96</v>
      </c>
      <c r="K2216" s="243" t="s">
        <v>1137</v>
      </c>
      <c r="L2216" s="243" t="s">
        <v>153</v>
      </c>
      <c r="M2216" s="327"/>
      <c r="N2216" s="327"/>
    </row>
    <row r="2217" spans="1:14" ht="15.6" hidden="1">
      <c r="A2217" s="418">
        <v>45908</v>
      </c>
      <c r="B2217" s="419" t="s">
        <v>4758</v>
      </c>
      <c r="C2217" s="419" t="s">
        <v>172</v>
      </c>
      <c r="D2217" s="177" t="s">
        <v>440</v>
      </c>
      <c r="E2217" s="419">
        <v>3000</v>
      </c>
      <c r="F2217" s="407">
        <f t="shared" si="27"/>
        <v>5.6232111159637332</v>
      </c>
      <c r="G2217" s="408">
        <v>533.50300000000004</v>
      </c>
      <c r="H2217" s="419" t="s">
        <v>182</v>
      </c>
      <c r="I2217" s="419" t="s">
        <v>2941</v>
      </c>
      <c r="J2217" s="243" t="s">
        <v>96</v>
      </c>
      <c r="K2217" s="243" t="s">
        <v>1137</v>
      </c>
      <c r="L2217" s="243" t="s">
        <v>153</v>
      </c>
      <c r="M2217" s="395"/>
      <c r="N2217" s="395"/>
    </row>
    <row r="2218" spans="1:14" ht="15.6" hidden="1">
      <c r="A2218" s="418">
        <v>45908</v>
      </c>
      <c r="B2218" s="419" t="s">
        <v>4917</v>
      </c>
      <c r="C2218" s="419" t="s">
        <v>172</v>
      </c>
      <c r="D2218" s="177" t="s">
        <v>440</v>
      </c>
      <c r="E2218" s="419">
        <v>1500</v>
      </c>
      <c r="F2218" s="407">
        <f t="shared" si="27"/>
        <v>2.8116055579818666</v>
      </c>
      <c r="G2218" s="408">
        <v>533.50300000000004</v>
      </c>
      <c r="H2218" s="419" t="s">
        <v>182</v>
      </c>
      <c r="I2218" s="419" t="s">
        <v>2936</v>
      </c>
      <c r="J2218" s="243" t="s">
        <v>96</v>
      </c>
      <c r="K2218" s="243" t="s">
        <v>1137</v>
      </c>
      <c r="L2218" s="243" t="s">
        <v>153</v>
      </c>
      <c r="M2218" s="395"/>
      <c r="N2218" s="395"/>
    </row>
    <row r="2219" spans="1:14" ht="15.6" hidden="1">
      <c r="A2219" s="418">
        <v>45908</v>
      </c>
      <c r="B2219" s="419" t="s">
        <v>4917</v>
      </c>
      <c r="C2219" s="419" t="s">
        <v>172</v>
      </c>
      <c r="D2219" s="177" t="s">
        <v>440</v>
      </c>
      <c r="E2219" s="419">
        <v>1000</v>
      </c>
      <c r="F2219" s="407">
        <f t="shared" si="27"/>
        <v>1.8744037053212446</v>
      </c>
      <c r="G2219" s="408">
        <v>533.50300000000004</v>
      </c>
      <c r="H2219" s="419" t="s">
        <v>182</v>
      </c>
      <c r="I2219" s="419" t="s">
        <v>2936</v>
      </c>
      <c r="J2219" s="243" t="s">
        <v>96</v>
      </c>
      <c r="K2219" s="243" t="s">
        <v>1137</v>
      </c>
      <c r="L2219" s="243" t="s">
        <v>153</v>
      </c>
      <c r="M2219" s="395"/>
      <c r="N2219" s="395"/>
    </row>
    <row r="2220" spans="1:14" ht="15.6" hidden="1">
      <c r="A2220" s="418">
        <v>45908</v>
      </c>
      <c r="B2220" s="419" t="s">
        <v>4917</v>
      </c>
      <c r="C2220" s="419" t="s">
        <v>172</v>
      </c>
      <c r="D2220" s="177" t="s">
        <v>440</v>
      </c>
      <c r="E2220" s="419">
        <v>1000</v>
      </c>
      <c r="F2220" s="407">
        <f t="shared" si="27"/>
        <v>1.8744037053212446</v>
      </c>
      <c r="G2220" s="408">
        <v>533.50300000000004</v>
      </c>
      <c r="H2220" s="419" t="s">
        <v>182</v>
      </c>
      <c r="I2220" s="419" t="s">
        <v>2936</v>
      </c>
      <c r="J2220" s="243" t="s">
        <v>96</v>
      </c>
      <c r="K2220" s="243" t="s">
        <v>1137</v>
      </c>
      <c r="L2220" s="243" t="s">
        <v>153</v>
      </c>
      <c r="M2220" s="395"/>
      <c r="N2220" s="395"/>
    </row>
    <row r="2221" spans="1:14" ht="15.6" hidden="1">
      <c r="A2221" s="418">
        <v>45908</v>
      </c>
      <c r="B2221" s="419" t="s">
        <v>4912</v>
      </c>
      <c r="C2221" s="419" t="s">
        <v>172</v>
      </c>
      <c r="D2221" s="177" t="s">
        <v>440</v>
      </c>
      <c r="E2221" s="419">
        <v>1000</v>
      </c>
      <c r="F2221" s="407">
        <f t="shared" si="27"/>
        <v>1.8744037053212446</v>
      </c>
      <c r="G2221" s="408">
        <v>533.50300000000004</v>
      </c>
      <c r="H2221" s="419" t="s">
        <v>182</v>
      </c>
      <c r="I2221" s="419" t="s">
        <v>2936</v>
      </c>
      <c r="J2221" s="243" t="s">
        <v>96</v>
      </c>
      <c r="K2221" s="243" t="s">
        <v>1137</v>
      </c>
      <c r="L2221" s="243" t="s">
        <v>153</v>
      </c>
      <c r="M2221" s="395"/>
      <c r="N2221" s="395"/>
    </row>
    <row r="2222" spans="1:14" ht="15.6" hidden="1">
      <c r="A2222" s="418">
        <v>45908</v>
      </c>
      <c r="B2222" s="419" t="s">
        <v>4917</v>
      </c>
      <c r="C2222" s="419" t="s">
        <v>172</v>
      </c>
      <c r="D2222" s="177" t="s">
        <v>440</v>
      </c>
      <c r="E2222" s="419">
        <v>1000</v>
      </c>
      <c r="F2222" s="407">
        <f t="shared" si="27"/>
        <v>1.8744037053212446</v>
      </c>
      <c r="G2222" s="408">
        <v>533.50300000000004</v>
      </c>
      <c r="H2222" s="419" t="s">
        <v>182</v>
      </c>
      <c r="I2222" s="419" t="s">
        <v>2936</v>
      </c>
      <c r="J2222" s="243" t="s">
        <v>96</v>
      </c>
      <c r="K2222" s="243" t="s">
        <v>1137</v>
      </c>
      <c r="L2222" s="243" t="s">
        <v>153</v>
      </c>
      <c r="M2222" s="395"/>
      <c r="N2222" s="395"/>
    </row>
    <row r="2223" spans="1:14" ht="15.6" hidden="1">
      <c r="A2223" s="418">
        <v>45908</v>
      </c>
      <c r="B2223" s="419" t="s">
        <v>4917</v>
      </c>
      <c r="C2223" s="419" t="s">
        <v>172</v>
      </c>
      <c r="D2223" s="177" t="s">
        <v>440</v>
      </c>
      <c r="E2223" s="419">
        <v>1000</v>
      </c>
      <c r="F2223" s="407">
        <f t="shared" si="27"/>
        <v>1.8744037053212446</v>
      </c>
      <c r="G2223" s="408">
        <v>533.50300000000004</v>
      </c>
      <c r="H2223" s="419" t="s">
        <v>182</v>
      </c>
      <c r="I2223" s="419" t="s">
        <v>2936</v>
      </c>
      <c r="J2223" s="243" t="s">
        <v>96</v>
      </c>
      <c r="K2223" s="243" t="s">
        <v>1137</v>
      </c>
      <c r="L2223" s="243" t="s">
        <v>153</v>
      </c>
      <c r="M2223" s="395"/>
      <c r="N2223" s="395"/>
    </row>
    <row r="2224" spans="1:14" ht="15.6" hidden="1">
      <c r="A2224" s="418">
        <v>45908</v>
      </c>
      <c r="B2224" s="331" t="s">
        <v>2931</v>
      </c>
      <c r="C2224" s="331" t="s">
        <v>150</v>
      </c>
      <c r="D2224" s="177" t="s">
        <v>440</v>
      </c>
      <c r="E2224" s="419">
        <v>10000</v>
      </c>
      <c r="F2224" s="407">
        <f t="shared" si="27"/>
        <v>18.744037053212445</v>
      </c>
      <c r="G2224" s="408">
        <v>533.50300000000004</v>
      </c>
      <c r="H2224" s="419" t="s">
        <v>182</v>
      </c>
      <c r="I2224" s="419" t="s">
        <v>2942</v>
      </c>
      <c r="J2224" s="243" t="s">
        <v>96</v>
      </c>
      <c r="K2224" s="243" t="s">
        <v>1137</v>
      </c>
      <c r="L2224" s="243" t="s">
        <v>153</v>
      </c>
      <c r="M2224" s="395"/>
      <c r="N2224" s="395"/>
    </row>
    <row r="2225" spans="1:14" ht="15.6" hidden="1">
      <c r="A2225" s="418">
        <v>45908</v>
      </c>
      <c r="B2225" s="419" t="s">
        <v>4942</v>
      </c>
      <c r="C2225" s="419" t="s">
        <v>172</v>
      </c>
      <c r="D2225" s="177" t="s">
        <v>440</v>
      </c>
      <c r="E2225" s="419">
        <v>3000</v>
      </c>
      <c r="F2225" s="407">
        <f t="shared" si="27"/>
        <v>5.6232111159637332</v>
      </c>
      <c r="G2225" s="408">
        <v>533.50300000000004</v>
      </c>
      <c r="H2225" s="419" t="s">
        <v>182</v>
      </c>
      <c r="I2225" s="419" t="s">
        <v>2943</v>
      </c>
      <c r="J2225" s="243" t="s">
        <v>96</v>
      </c>
      <c r="K2225" s="243" t="s">
        <v>1137</v>
      </c>
      <c r="L2225" s="243" t="s">
        <v>153</v>
      </c>
      <c r="M2225" s="395"/>
      <c r="N2225" s="395"/>
    </row>
    <row r="2226" spans="1:14" ht="15.6" hidden="1">
      <c r="A2226" s="418">
        <v>45908</v>
      </c>
      <c r="B2226" s="419" t="s">
        <v>4917</v>
      </c>
      <c r="C2226" s="419" t="s">
        <v>172</v>
      </c>
      <c r="D2226" s="177" t="s">
        <v>440</v>
      </c>
      <c r="E2226" s="419">
        <v>1500</v>
      </c>
      <c r="F2226" s="407">
        <f t="shared" si="27"/>
        <v>2.8116055579818666</v>
      </c>
      <c r="G2226" s="408">
        <v>533.50300000000004</v>
      </c>
      <c r="H2226" s="419" t="s">
        <v>182</v>
      </c>
      <c r="I2226" s="419" t="s">
        <v>2936</v>
      </c>
      <c r="J2226" s="243" t="s">
        <v>96</v>
      </c>
      <c r="K2226" s="243" t="s">
        <v>1137</v>
      </c>
      <c r="L2226" s="243" t="s">
        <v>153</v>
      </c>
      <c r="M2226" s="395"/>
      <c r="N2226" s="395"/>
    </row>
    <row r="2227" spans="1:14" ht="15.6" hidden="1">
      <c r="A2227" s="418">
        <v>45908</v>
      </c>
      <c r="B2227" s="419" t="s">
        <v>4941</v>
      </c>
      <c r="C2227" s="419" t="s">
        <v>366</v>
      </c>
      <c r="D2227" s="177" t="s">
        <v>440</v>
      </c>
      <c r="E2227" s="419">
        <v>2000</v>
      </c>
      <c r="F2227" s="407">
        <f t="shared" si="27"/>
        <v>3.7488074106424891</v>
      </c>
      <c r="G2227" s="408">
        <v>533.50300000000004</v>
      </c>
      <c r="H2227" s="419" t="s">
        <v>182</v>
      </c>
      <c r="I2227" s="419" t="s">
        <v>2940</v>
      </c>
      <c r="J2227" s="243" t="s">
        <v>96</v>
      </c>
      <c r="K2227" s="243" t="s">
        <v>1137</v>
      </c>
      <c r="L2227" s="243" t="s">
        <v>153</v>
      </c>
      <c r="M2227" s="395"/>
      <c r="N2227" s="395"/>
    </row>
    <row r="2228" spans="1:14" ht="15.6" hidden="1">
      <c r="A2228" s="420">
        <v>45908</v>
      </c>
      <c r="B2228" s="413" t="s">
        <v>4876</v>
      </c>
      <c r="C2228" s="413" t="s">
        <v>172</v>
      </c>
      <c r="D2228" s="177" t="s">
        <v>440</v>
      </c>
      <c r="E2228" s="413">
        <v>1000</v>
      </c>
      <c r="F2228" s="407">
        <f t="shared" si="27"/>
        <v>1.8744037053212446</v>
      </c>
      <c r="G2228" s="408">
        <v>533.50300000000004</v>
      </c>
      <c r="H2228" s="413" t="s">
        <v>173</v>
      </c>
      <c r="I2228" s="413" t="s">
        <v>2959</v>
      </c>
      <c r="J2228" s="243" t="s">
        <v>96</v>
      </c>
      <c r="K2228" s="243" t="s">
        <v>1137</v>
      </c>
      <c r="L2228" s="243" t="s">
        <v>153</v>
      </c>
      <c r="M2228" s="395"/>
      <c r="N2228" s="395"/>
    </row>
    <row r="2229" spans="1:14" ht="15.6" hidden="1">
      <c r="A2229" s="420">
        <v>45908</v>
      </c>
      <c r="B2229" s="413" t="s">
        <v>4917</v>
      </c>
      <c r="C2229" s="413" t="s">
        <v>172</v>
      </c>
      <c r="D2229" s="177" t="s">
        <v>440</v>
      </c>
      <c r="E2229" s="413">
        <v>1000</v>
      </c>
      <c r="F2229" s="407">
        <f t="shared" si="27"/>
        <v>1.8744037053212446</v>
      </c>
      <c r="G2229" s="408">
        <v>533.50300000000004</v>
      </c>
      <c r="H2229" s="413" t="s">
        <v>173</v>
      </c>
      <c r="I2229" s="413" t="s">
        <v>2959</v>
      </c>
      <c r="J2229" s="243" t="s">
        <v>96</v>
      </c>
      <c r="K2229" s="243" t="s">
        <v>1137</v>
      </c>
      <c r="L2229" s="243" t="s">
        <v>153</v>
      </c>
      <c r="M2229" s="395"/>
      <c r="N2229" s="395"/>
    </row>
    <row r="2230" spans="1:14" ht="15.6" hidden="1">
      <c r="A2230" s="420">
        <v>45908</v>
      </c>
      <c r="B2230" s="413" t="s">
        <v>4917</v>
      </c>
      <c r="C2230" s="413" t="s">
        <v>172</v>
      </c>
      <c r="D2230" s="177" t="s">
        <v>440</v>
      </c>
      <c r="E2230" s="413">
        <v>1000</v>
      </c>
      <c r="F2230" s="407">
        <f t="shared" si="27"/>
        <v>1.8744037053212446</v>
      </c>
      <c r="G2230" s="408">
        <v>533.50300000000004</v>
      </c>
      <c r="H2230" s="413" t="s">
        <v>173</v>
      </c>
      <c r="I2230" s="413" t="s">
        <v>2959</v>
      </c>
      <c r="J2230" s="243" t="s">
        <v>96</v>
      </c>
      <c r="K2230" s="243" t="s">
        <v>1137</v>
      </c>
      <c r="L2230" s="243" t="s">
        <v>153</v>
      </c>
      <c r="M2230" s="395"/>
      <c r="N2230" s="395"/>
    </row>
    <row r="2231" spans="1:14" ht="15.6" hidden="1">
      <c r="A2231" s="420">
        <v>45908</v>
      </c>
      <c r="B2231" s="413" t="s">
        <v>4876</v>
      </c>
      <c r="C2231" s="413" t="s">
        <v>172</v>
      </c>
      <c r="D2231" s="177" t="s">
        <v>440</v>
      </c>
      <c r="E2231" s="413">
        <v>1000</v>
      </c>
      <c r="F2231" s="407">
        <f t="shared" si="27"/>
        <v>1.8744037053212446</v>
      </c>
      <c r="G2231" s="408">
        <v>533.50300000000004</v>
      </c>
      <c r="H2231" s="413" t="s">
        <v>173</v>
      </c>
      <c r="I2231" s="413" t="s">
        <v>2959</v>
      </c>
      <c r="J2231" s="243" t="s">
        <v>96</v>
      </c>
      <c r="K2231" s="243" t="s">
        <v>1137</v>
      </c>
      <c r="L2231" s="243" t="s">
        <v>153</v>
      </c>
      <c r="M2231" s="395"/>
      <c r="N2231" s="395"/>
    </row>
    <row r="2232" spans="1:14" ht="15.6" hidden="1">
      <c r="A2232" s="420">
        <v>45908</v>
      </c>
      <c r="B2232" s="413" t="s">
        <v>4876</v>
      </c>
      <c r="C2232" s="413" t="s">
        <v>172</v>
      </c>
      <c r="D2232" s="177" t="s">
        <v>440</v>
      </c>
      <c r="E2232" s="413">
        <v>1000</v>
      </c>
      <c r="F2232" s="407">
        <f t="shared" si="27"/>
        <v>1.8744037053212446</v>
      </c>
      <c r="G2232" s="408">
        <v>533.50300000000004</v>
      </c>
      <c r="H2232" s="413" t="s">
        <v>173</v>
      </c>
      <c r="I2232" s="413" t="s">
        <v>2959</v>
      </c>
      <c r="J2232" s="243" t="s">
        <v>96</v>
      </c>
      <c r="K2232" s="243" t="s">
        <v>1137</v>
      </c>
      <c r="L2232" s="243" t="s">
        <v>153</v>
      </c>
      <c r="M2232" s="395"/>
      <c r="N2232" s="395"/>
    </row>
    <row r="2233" spans="1:14" ht="15.6" hidden="1">
      <c r="A2233" s="420">
        <v>45908</v>
      </c>
      <c r="B2233" s="413" t="s">
        <v>4876</v>
      </c>
      <c r="C2233" s="413" t="s">
        <v>172</v>
      </c>
      <c r="D2233" s="177" t="s">
        <v>440</v>
      </c>
      <c r="E2233" s="413">
        <v>1000</v>
      </c>
      <c r="F2233" s="407">
        <f t="shared" si="27"/>
        <v>1.8744037053212446</v>
      </c>
      <c r="G2233" s="408">
        <v>533.50300000000004</v>
      </c>
      <c r="H2233" s="413" t="s">
        <v>173</v>
      </c>
      <c r="I2233" s="413" t="s">
        <v>2959</v>
      </c>
      <c r="J2233" s="243" t="s">
        <v>96</v>
      </c>
      <c r="K2233" s="243" t="s">
        <v>1137</v>
      </c>
      <c r="L2233" s="243" t="s">
        <v>153</v>
      </c>
      <c r="M2233" s="395"/>
      <c r="N2233" s="395"/>
    </row>
    <row r="2234" spans="1:14" ht="15.6" hidden="1">
      <c r="A2234" s="420">
        <v>45908</v>
      </c>
      <c r="B2234" s="331" t="s">
        <v>2953</v>
      </c>
      <c r="C2234" s="331" t="s">
        <v>150</v>
      </c>
      <c r="D2234" s="177" t="s">
        <v>440</v>
      </c>
      <c r="E2234" s="413">
        <v>10000</v>
      </c>
      <c r="F2234" s="407">
        <f t="shared" si="27"/>
        <v>18.744037053212445</v>
      </c>
      <c r="G2234" s="408">
        <v>533.50300000000004</v>
      </c>
      <c r="H2234" s="413" t="s">
        <v>173</v>
      </c>
      <c r="I2234" s="413" t="s">
        <v>2966</v>
      </c>
      <c r="J2234" s="243" t="s">
        <v>96</v>
      </c>
      <c r="K2234" s="243" t="s">
        <v>1137</v>
      </c>
      <c r="L2234" s="243" t="s">
        <v>153</v>
      </c>
      <c r="M2234" s="327"/>
      <c r="N2234" s="327"/>
    </row>
    <row r="2235" spans="1:14" ht="15.6" hidden="1">
      <c r="A2235" s="415">
        <v>45908</v>
      </c>
      <c r="B2235" s="243" t="s">
        <v>3481</v>
      </c>
      <c r="C2235" s="243" t="s">
        <v>366</v>
      </c>
      <c r="D2235" s="177" t="s">
        <v>440</v>
      </c>
      <c r="E2235" s="243">
        <v>12000</v>
      </c>
      <c r="F2235" s="407">
        <f t="shared" si="27"/>
        <v>22.492844463854933</v>
      </c>
      <c r="G2235" s="408">
        <v>533.50300000000004</v>
      </c>
      <c r="H2235" s="243" t="s">
        <v>173</v>
      </c>
      <c r="I2235" s="413" t="s">
        <v>2963</v>
      </c>
      <c r="J2235" s="243" t="s">
        <v>96</v>
      </c>
      <c r="K2235" s="243" t="s">
        <v>1137</v>
      </c>
      <c r="L2235" s="243" t="s">
        <v>153</v>
      </c>
      <c r="M2235" s="327"/>
      <c r="N2235" s="327"/>
    </row>
    <row r="2236" spans="1:14" ht="15.6" hidden="1">
      <c r="A2236" s="420">
        <v>45908</v>
      </c>
      <c r="B2236" s="413" t="s">
        <v>4762</v>
      </c>
      <c r="C2236" s="413" t="s">
        <v>175</v>
      </c>
      <c r="D2236" s="177" t="s">
        <v>440</v>
      </c>
      <c r="E2236" s="413">
        <v>60000</v>
      </c>
      <c r="F2236" s="407">
        <f t="shared" si="27"/>
        <v>112.46422231927467</v>
      </c>
      <c r="G2236" s="408">
        <v>533.50300000000004</v>
      </c>
      <c r="H2236" s="413" t="s">
        <v>315</v>
      </c>
      <c r="I2236" s="243" t="s">
        <v>2982</v>
      </c>
      <c r="J2236" s="243" t="s">
        <v>96</v>
      </c>
      <c r="K2236" s="243" t="s">
        <v>1137</v>
      </c>
      <c r="L2236" s="243" t="s">
        <v>153</v>
      </c>
      <c r="M2236" s="327"/>
      <c r="N2236" s="327"/>
    </row>
    <row r="2237" spans="1:14" ht="15.6" hidden="1">
      <c r="A2237" s="420">
        <v>45908</v>
      </c>
      <c r="B2237" s="413" t="s">
        <v>4940</v>
      </c>
      <c r="C2237" s="413" t="s">
        <v>172</v>
      </c>
      <c r="D2237" s="177" t="s">
        <v>440</v>
      </c>
      <c r="E2237" s="413">
        <v>700</v>
      </c>
      <c r="F2237" s="407">
        <f t="shared" si="27"/>
        <v>1.3120825937248712</v>
      </c>
      <c r="G2237" s="408">
        <v>533.50300000000004</v>
      </c>
      <c r="H2237" s="413" t="s">
        <v>315</v>
      </c>
      <c r="I2237" s="413" t="s">
        <v>2976</v>
      </c>
      <c r="J2237" s="243" t="s">
        <v>96</v>
      </c>
      <c r="K2237" s="243" t="s">
        <v>1137</v>
      </c>
      <c r="L2237" s="243" t="s">
        <v>153</v>
      </c>
      <c r="M2237" s="327"/>
      <c r="N2237" s="327"/>
    </row>
    <row r="2238" spans="1:14" ht="15.6" hidden="1">
      <c r="A2238" s="420">
        <v>45908</v>
      </c>
      <c r="B2238" s="413" t="s">
        <v>4797</v>
      </c>
      <c r="C2238" s="413" t="s">
        <v>172</v>
      </c>
      <c r="D2238" s="177" t="s">
        <v>440</v>
      </c>
      <c r="E2238" s="413">
        <v>3000</v>
      </c>
      <c r="F2238" s="407">
        <f t="shared" si="27"/>
        <v>5.6232111159637332</v>
      </c>
      <c r="G2238" s="408">
        <v>533.50300000000004</v>
      </c>
      <c r="H2238" s="413" t="s">
        <v>315</v>
      </c>
      <c r="I2238" s="243" t="s">
        <v>2983</v>
      </c>
      <c r="J2238" s="243" t="s">
        <v>96</v>
      </c>
      <c r="K2238" s="243" t="s">
        <v>1137</v>
      </c>
      <c r="L2238" s="243" t="s">
        <v>153</v>
      </c>
      <c r="M2238" s="327"/>
      <c r="N2238" s="327"/>
    </row>
    <row r="2239" spans="1:14" ht="15.6" hidden="1">
      <c r="A2239" s="420">
        <v>45908</v>
      </c>
      <c r="B2239" s="413" t="s">
        <v>4896</v>
      </c>
      <c r="C2239" s="413" t="s">
        <v>172</v>
      </c>
      <c r="D2239" s="177" t="s">
        <v>440</v>
      </c>
      <c r="E2239" s="413">
        <v>500</v>
      </c>
      <c r="F2239" s="407">
        <f t="shared" si="27"/>
        <v>0.93720185266062228</v>
      </c>
      <c r="G2239" s="408">
        <v>533.50300000000004</v>
      </c>
      <c r="H2239" s="413" t="s">
        <v>315</v>
      </c>
      <c r="I2239" s="413" t="s">
        <v>2976</v>
      </c>
      <c r="J2239" s="243" t="s">
        <v>96</v>
      </c>
      <c r="K2239" s="243" t="s">
        <v>1137</v>
      </c>
      <c r="L2239" s="243" t="s">
        <v>153</v>
      </c>
      <c r="M2239" s="327"/>
      <c r="N2239" s="327"/>
    </row>
    <row r="2240" spans="1:14" ht="15.6" hidden="1">
      <c r="A2240" s="420">
        <v>45908</v>
      </c>
      <c r="B2240" s="413" t="s">
        <v>4896</v>
      </c>
      <c r="C2240" s="413" t="s">
        <v>172</v>
      </c>
      <c r="D2240" s="177" t="s">
        <v>440</v>
      </c>
      <c r="E2240" s="413">
        <v>600</v>
      </c>
      <c r="F2240" s="407">
        <f t="shared" si="27"/>
        <v>1.1246422231927466</v>
      </c>
      <c r="G2240" s="408">
        <v>533.50300000000004</v>
      </c>
      <c r="H2240" s="413" t="s">
        <v>315</v>
      </c>
      <c r="I2240" s="413" t="s">
        <v>2976</v>
      </c>
      <c r="J2240" s="243" t="s">
        <v>96</v>
      </c>
      <c r="K2240" s="243" t="s">
        <v>1137</v>
      </c>
      <c r="L2240" s="243" t="s">
        <v>153</v>
      </c>
      <c r="M2240" s="327"/>
      <c r="N2240" s="327"/>
    </row>
    <row r="2241" spans="1:14" ht="15.6" hidden="1">
      <c r="A2241" s="420">
        <v>45908</v>
      </c>
      <c r="B2241" s="413" t="s">
        <v>4888</v>
      </c>
      <c r="C2241" s="413" t="s">
        <v>172</v>
      </c>
      <c r="D2241" s="177" t="s">
        <v>440</v>
      </c>
      <c r="E2241" s="413">
        <v>500</v>
      </c>
      <c r="F2241" s="407">
        <f t="shared" si="27"/>
        <v>0.93720185266062228</v>
      </c>
      <c r="G2241" s="408">
        <v>533.50300000000004</v>
      </c>
      <c r="H2241" s="413" t="s">
        <v>315</v>
      </c>
      <c r="I2241" s="413" t="s">
        <v>2976</v>
      </c>
      <c r="J2241" s="243" t="s">
        <v>96</v>
      </c>
      <c r="K2241" s="243" t="s">
        <v>1137</v>
      </c>
      <c r="L2241" s="243" t="s">
        <v>153</v>
      </c>
      <c r="M2241" s="327"/>
      <c r="N2241" s="327"/>
    </row>
    <row r="2242" spans="1:14" ht="15.6" hidden="1">
      <c r="A2242" s="420">
        <v>45908</v>
      </c>
      <c r="B2242" s="413" t="s">
        <v>4888</v>
      </c>
      <c r="C2242" s="413" t="s">
        <v>172</v>
      </c>
      <c r="D2242" s="177" t="s">
        <v>440</v>
      </c>
      <c r="E2242" s="413">
        <v>500</v>
      </c>
      <c r="F2242" s="407">
        <f t="shared" si="27"/>
        <v>0.93720185266062228</v>
      </c>
      <c r="G2242" s="408">
        <v>533.50300000000004</v>
      </c>
      <c r="H2242" s="413" t="s">
        <v>315</v>
      </c>
      <c r="I2242" s="413" t="s">
        <v>2976</v>
      </c>
      <c r="J2242" s="243" t="s">
        <v>96</v>
      </c>
      <c r="K2242" s="243" t="s">
        <v>1137</v>
      </c>
      <c r="L2242" s="243" t="s">
        <v>153</v>
      </c>
      <c r="M2242" s="327"/>
      <c r="N2242" s="327"/>
    </row>
    <row r="2243" spans="1:14" ht="15.6" hidden="1">
      <c r="A2243" s="420">
        <v>45908</v>
      </c>
      <c r="B2243" s="413" t="s">
        <v>2972</v>
      </c>
      <c r="C2243" s="413" t="s">
        <v>150</v>
      </c>
      <c r="D2243" s="177" t="s">
        <v>440</v>
      </c>
      <c r="E2243" s="413">
        <v>10000</v>
      </c>
      <c r="F2243" s="407">
        <f t="shared" si="27"/>
        <v>18.744037053212445</v>
      </c>
      <c r="G2243" s="408">
        <v>533.50300000000004</v>
      </c>
      <c r="H2243" s="413" t="s">
        <v>315</v>
      </c>
      <c r="I2243" s="243" t="s">
        <v>2984</v>
      </c>
      <c r="J2243" s="243" t="s">
        <v>96</v>
      </c>
      <c r="K2243" s="243" t="s">
        <v>1137</v>
      </c>
      <c r="L2243" s="243" t="s">
        <v>153</v>
      </c>
      <c r="M2243" s="327"/>
      <c r="N2243" s="327"/>
    </row>
    <row r="2244" spans="1:14" ht="15.6" hidden="1">
      <c r="A2244" s="420">
        <v>45908</v>
      </c>
      <c r="B2244" s="413" t="s">
        <v>2989</v>
      </c>
      <c r="C2244" s="413" t="s">
        <v>150</v>
      </c>
      <c r="D2244" s="177" t="s">
        <v>440</v>
      </c>
      <c r="E2244" s="416">
        <v>10000</v>
      </c>
      <c r="F2244" s="407">
        <f t="shared" si="27"/>
        <v>18.744037053212445</v>
      </c>
      <c r="G2244" s="408">
        <v>533.50300000000004</v>
      </c>
      <c r="H2244" s="413" t="s">
        <v>321</v>
      </c>
      <c r="I2244" s="413" t="s">
        <v>2993</v>
      </c>
      <c r="J2244" s="243" t="s">
        <v>96</v>
      </c>
      <c r="K2244" s="243" t="s">
        <v>1137</v>
      </c>
      <c r="L2244" s="243" t="s">
        <v>153</v>
      </c>
      <c r="M2244" s="327"/>
      <c r="N2244" s="327"/>
    </row>
    <row r="2245" spans="1:14" ht="15.6" hidden="1">
      <c r="A2245" s="420">
        <v>45908</v>
      </c>
      <c r="B2245" s="413" t="s">
        <v>3004</v>
      </c>
      <c r="C2245" s="413" t="s">
        <v>172</v>
      </c>
      <c r="D2245" s="413" t="s">
        <v>115</v>
      </c>
      <c r="E2245" s="414">
        <v>1000</v>
      </c>
      <c r="F2245" s="407">
        <f t="shared" si="27"/>
        <v>1.8744037053212446</v>
      </c>
      <c r="G2245" s="408">
        <v>533.50300000000004</v>
      </c>
      <c r="H2245" s="413" t="s">
        <v>188</v>
      </c>
      <c r="I2245" s="413" t="s">
        <v>3016</v>
      </c>
      <c r="J2245" s="243" t="s">
        <v>96</v>
      </c>
      <c r="K2245" s="243" t="s">
        <v>1137</v>
      </c>
      <c r="L2245" s="243" t="s">
        <v>153</v>
      </c>
      <c r="M2245" s="327"/>
      <c r="N2245" s="327"/>
    </row>
    <row r="2246" spans="1:14" ht="15.6" hidden="1">
      <c r="A2246" s="420">
        <v>45908</v>
      </c>
      <c r="B2246" s="413" t="s">
        <v>3005</v>
      </c>
      <c r="C2246" s="413" t="s">
        <v>172</v>
      </c>
      <c r="D2246" s="413" t="s">
        <v>115</v>
      </c>
      <c r="E2246" s="414">
        <v>1000</v>
      </c>
      <c r="F2246" s="407">
        <f t="shared" si="27"/>
        <v>1.8744037053212446</v>
      </c>
      <c r="G2246" s="408">
        <v>533.50300000000004</v>
      </c>
      <c r="H2246" s="413" t="s">
        <v>188</v>
      </c>
      <c r="I2246" s="413" t="s">
        <v>3016</v>
      </c>
      <c r="J2246" s="243" t="s">
        <v>96</v>
      </c>
      <c r="K2246" s="243" t="s">
        <v>1137</v>
      </c>
      <c r="L2246" s="243" t="s">
        <v>153</v>
      </c>
      <c r="M2246" s="327"/>
      <c r="N2246" s="327"/>
    </row>
    <row r="2247" spans="1:14" ht="15.6" hidden="1">
      <c r="A2247" s="420">
        <v>45908</v>
      </c>
      <c r="B2247" s="413" t="s">
        <v>3006</v>
      </c>
      <c r="C2247" s="413" t="s">
        <v>150</v>
      </c>
      <c r="D2247" s="413" t="s">
        <v>115</v>
      </c>
      <c r="E2247" s="414">
        <v>7500</v>
      </c>
      <c r="F2247" s="407">
        <f t="shared" si="27"/>
        <v>14.058027789909334</v>
      </c>
      <c r="G2247" s="408">
        <v>533.50300000000004</v>
      </c>
      <c r="H2247" s="413" t="s">
        <v>188</v>
      </c>
      <c r="I2247" s="243" t="s">
        <v>3019</v>
      </c>
      <c r="J2247" s="243" t="s">
        <v>96</v>
      </c>
      <c r="K2247" s="243" t="s">
        <v>1137</v>
      </c>
      <c r="L2247" s="243" t="s">
        <v>153</v>
      </c>
      <c r="M2247" s="327"/>
      <c r="N2247" s="327"/>
    </row>
    <row r="2248" spans="1:14" ht="15.6" hidden="1">
      <c r="A2248" s="415">
        <v>45908</v>
      </c>
      <c r="B2248" s="413" t="s">
        <v>3007</v>
      </c>
      <c r="C2248" s="413" t="s">
        <v>170</v>
      </c>
      <c r="D2248" s="413" t="s">
        <v>116</v>
      </c>
      <c r="E2248" s="412">
        <v>31250</v>
      </c>
      <c r="F2248" s="407">
        <f t="shared" si="27"/>
        <v>58.575115791288894</v>
      </c>
      <c r="G2248" s="408">
        <v>533.50300000000004</v>
      </c>
      <c r="H2248" s="413" t="s">
        <v>188</v>
      </c>
      <c r="I2248" s="243" t="s">
        <v>3020</v>
      </c>
      <c r="J2248" s="243" t="s">
        <v>96</v>
      </c>
      <c r="K2248" s="243" t="s">
        <v>1137</v>
      </c>
      <c r="L2248" s="243" t="s">
        <v>153</v>
      </c>
      <c r="M2248" s="327"/>
      <c r="N2248" s="327"/>
    </row>
    <row r="2249" spans="1:14" ht="15.6" hidden="1">
      <c r="A2249" s="415">
        <v>45908</v>
      </c>
      <c r="B2249" s="413" t="s">
        <v>3039</v>
      </c>
      <c r="C2249" s="413" t="s">
        <v>150</v>
      </c>
      <c r="D2249" s="243" t="s">
        <v>115</v>
      </c>
      <c r="E2249" s="412">
        <v>7500</v>
      </c>
      <c r="F2249" s="407">
        <f t="shared" si="27"/>
        <v>14.058027789909334</v>
      </c>
      <c r="G2249" s="408">
        <v>533.50300000000004</v>
      </c>
      <c r="H2249" s="243" t="s">
        <v>191</v>
      </c>
      <c r="I2249" s="413" t="s">
        <v>3059</v>
      </c>
      <c r="J2249" s="243" t="s">
        <v>96</v>
      </c>
      <c r="K2249" s="243" t="s">
        <v>1137</v>
      </c>
      <c r="L2249" s="243" t="s">
        <v>153</v>
      </c>
      <c r="M2249" s="76"/>
      <c r="N2249" s="76"/>
    </row>
    <row r="2250" spans="1:14" ht="15.6" hidden="1">
      <c r="A2250" s="405">
        <v>45908</v>
      </c>
      <c r="B2250" s="243" t="s">
        <v>3078</v>
      </c>
      <c r="C2250" s="239" t="s">
        <v>150</v>
      </c>
      <c r="D2250" s="239" t="s">
        <v>115</v>
      </c>
      <c r="E2250" s="422">
        <v>10000</v>
      </c>
      <c r="F2250" s="407">
        <f t="shared" si="27"/>
        <v>18.744037053212445</v>
      </c>
      <c r="G2250" s="408">
        <v>533.50300000000004</v>
      </c>
      <c r="H2250" s="252" t="s">
        <v>195</v>
      </c>
      <c r="I2250" s="413" t="s">
        <v>3105</v>
      </c>
      <c r="J2250" s="243" t="s">
        <v>96</v>
      </c>
      <c r="K2250" s="243" t="s">
        <v>1137</v>
      </c>
      <c r="L2250" s="243" t="s">
        <v>153</v>
      </c>
      <c r="M2250" s="76"/>
      <c r="N2250" s="76"/>
    </row>
    <row r="2251" spans="1:14" ht="15.6" hidden="1">
      <c r="A2251" s="405">
        <v>45909</v>
      </c>
      <c r="B2251" s="413" t="s">
        <v>3079</v>
      </c>
      <c r="C2251" s="346" t="s">
        <v>194</v>
      </c>
      <c r="D2251" s="346" t="s">
        <v>115</v>
      </c>
      <c r="E2251" s="416">
        <v>500</v>
      </c>
      <c r="F2251" s="407">
        <f t="shared" si="27"/>
        <v>0.93720185266062228</v>
      </c>
      <c r="G2251" s="408">
        <v>533.50300000000004</v>
      </c>
      <c r="H2251" s="252" t="s">
        <v>195</v>
      </c>
      <c r="I2251" s="413" t="s">
        <v>3101</v>
      </c>
      <c r="J2251" s="243" t="s">
        <v>96</v>
      </c>
      <c r="K2251" s="243" t="s">
        <v>1137</v>
      </c>
      <c r="L2251" s="243" t="s">
        <v>153</v>
      </c>
      <c r="M2251" s="76"/>
      <c r="N2251" s="76"/>
    </row>
    <row r="2252" spans="1:14" ht="15.6" hidden="1">
      <c r="A2252" s="420">
        <v>45908</v>
      </c>
      <c r="B2252" s="243" t="s">
        <v>3146</v>
      </c>
      <c r="C2252" s="239" t="s">
        <v>150</v>
      </c>
      <c r="D2252" s="413" t="s">
        <v>118</v>
      </c>
      <c r="E2252" s="416">
        <v>5000</v>
      </c>
      <c r="F2252" s="407">
        <f t="shared" si="27"/>
        <v>9.3720185266062224</v>
      </c>
      <c r="G2252" s="408">
        <v>533.50300000000004</v>
      </c>
      <c r="H2252" s="413" t="s">
        <v>211</v>
      </c>
      <c r="I2252" s="413" t="s">
        <v>3161</v>
      </c>
      <c r="J2252" s="243" t="s">
        <v>96</v>
      </c>
      <c r="K2252" s="243" t="s">
        <v>1137</v>
      </c>
      <c r="L2252" s="243" t="s">
        <v>153</v>
      </c>
      <c r="M2252" s="76"/>
      <c r="N2252" s="76"/>
    </row>
    <row r="2253" spans="1:14" ht="15.6" hidden="1">
      <c r="A2253" s="420">
        <v>45908</v>
      </c>
      <c r="B2253" s="243" t="s">
        <v>3146</v>
      </c>
      <c r="C2253" s="239" t="s">
        <v>150</v>
      </c>
      <c r="D2253" s="413" t="s">
        <v>118</v>
      </c>
      <c r="E2253" s="416">
        <v>5000</v>
      </c>
      <c r="F2253" s="407">
        <f t="shared" si="27"/>
        <v>9.3720185266062224</v>
      </c>
      <c r="G2253" s="408">
        <v>533.50300000000004</v>
      </c>
      <c r="H2253" s="413" t="s">
        <v>211</v>
      </c>
      <c r="I2253" s="413" t="s">
        <v>3162</v>
      </c>
      <c r="J2253" s="243" t="s">
        <v>96</v>
      </c>
      <c r="K2253" s="243" t="s">
        <v>1137</v>
      </c>
      <c r="L2253" s="243" t="s">
        <v>153</v>
      </c>
      <c r="M2253" s="76"/>
      <c r="N2253" s="76"/>
    </row>
    <row r="2254" spans="1:14" ht="15.6" hidden="1">
      <c r="A2254" s="420">
        <v>45908</v>
      </c>
      <c r="B2254" s="413" t="s">
        <v>2716</v>
      </c>
      <c r="C2254" s="413" t="s">
        <v>172</v>
      </c>
      <c r="D2254" s="413" t="s">
        <v>115</v>
      </c>
      <c r="E2254" s="413">
        <v>500</v>
      </c>
      <c r="F2254" s="407">
        <f t="shared" si="27"/>
        <v>0.93720185266062228</v>
      </c>
      <c r="G2254" s="408">
        <v>533.50300000000004</v>
      </c>
      <c r="H2254" s="413" t="s">
        <v>185</v>
      </c>
      <c r="I2254" s="413" t="s">
        <v>3185</v>
      </c>
      <c r="J2254" s="243" t="s">
        <v>96</v>
      </c>
      <c r="K2254" s="243" t="s">
        <v>1137</v>
      </c>
      <c r="L2254" s="243" t="s">
        <v>153</v>
      </c>
      <c r="M2254" s="76"/>
      <c r="N2254" s="76"/>
    </row>
    <row r="2255" spans="1:14" ht="15.6" hidden="1">
      <c r="A2255" s="420">
        <v>45908</v>
      </c>
      <c r="B2255" s="413" t="s">
        <v>2717</v>
      </c>
      <c r="C2255" s="413" t="s">
        <v>172</v>
      </c>
      <c r="D2255" s="413" t="s">
        <v>115</v>
      </c>
      <c r="E2255" s="413">
        <v>500</v>
      </c>
      <c r="F2255" s="407">
        <f t="shared" si="27"/>
        <v>0.93720185266062228</v>
      </c>
      <c r="G2255" s="408">
        <v>533.50300000000004</v>
      </c>
      <c r="H2255" s="413" t="s">
        <v>185</v>
      </c>
      <c r="I2255" s="413" t="s">
        <v>3185</v>
      </c>
      <c r="J2255" s="243" t="s">
        <v>96</v>
      </c>
      <c r="K2255" s="243" t="s">
        <v>1137</v>
      </c>
      <c r="L2255" s="243" t="s">
        <v>153</v>
      </c>
      <c r="M2255" s="76"/>
      <c r="N2255" s="76"/>
    </row>
    <row r="2256" spans="1:14" ht="15.6" hidden="1">
      <c r="A2256" s="420">
        <v>45908</v>
      </c>
      <c r="B2256" s="413" t="s">
        <v>3169</v>
      </c>
      <c r="C2256" s="413" t="s">
        <v>150</v>
      </c>
      <c r="D2256" s="413" t="s">
        <v>115</v>
      </c>
      <c r="E2256" s="413">
        <v>7500</v>
      </c>
      <c r="F2256" s="407">
        <f t="shared" si="27"/>
        <v>14.058027789909334</v>
      </c>
      <c r="G2256" s="408">
        <v>533.50300000000004</v>
      </c>
      <c r="H2256" s="413" t="s">
        <v>185</v>
      </c>
      <c r="I2256" s="413" t="s">
        <v>3186</v>
      </c>
      <c r="J2256" s="243" t="s">
        <v>96</v>
      </c>
      <c r="K2256" s="243" t="s">
        <v>1137</v>
      </c>
      <c r="L2256" s="243" t="s">
        <v>153</v>
      </c>
      <c r="M2256" s="76"/>
      <c r="N2256" s="76"/>
    </row>
    <row r="2257" spans="1:14" ht="15.6" hidden="1">
      <c r="A2257" s="415">
        <v>45908</v>
      </c>
      <c r="B2257" s="243" t="s">
        <v>3170</v>
      </c>
      <c r="C2257" s="413" t="s">
        <v>180</v>
      </c>
      <c r="D2257" s="413" t="s">
        <v>116</v>
      </c>
      <c r="E2257" s="412">
        <v>2000</v>
      </c>
      <c r="F2257" s="407">
        <f t="shared" si="27"/>
        <v>3.7488074106424891</v>
      </c>
      <c r="G2257" s="408">
        <v>533.50300000000004</v>
      </c>
      <c r="H2257" s="413" t="s">
        <v>185</v>
      </c>
      <c r="I2257" s="243" t="s">
        <v>3187</v>
      </c>
      <c r="J2257" s="243" t="s">
        <v>96</v>
      </c>
      <c r="K2257" s="243" t="s">
        <v>1137</v>
      </c>
      <c r="L2257" s="243" t="s">
        <v>153</v>
      </c>
      <c r="M2257" s="76"/>
      <c r="N2257" s="76"/>
    </row>
    <row r="2258" spans="1:14" ht="15.6" hidden="1">
      <c r="A2258" s="420">
        <v>45909</v>
      </c>
      <c r="B2258" s="413" t="s">
        <v>2103</v>
      </c>
      <c r="C2258" s="406" t="s">
        <v>172</v>
      </c>
      <c r="D2258" s="406" t="s">
        <v>117</v>
      </c>
      <c r="E2258" s="346">
        <v>1000</v>
      </c>
      <c r="F2258" s="407">
        <f t="shared" si="27"/>
        <v>1.8744037053212446</v>
      </c>
      <c r="G2258" s="408">
        <v>533.50300000000004</v>
      </c>
      <c r="H2258" s="409" t="s">
        <v>151</v>
      </c>
      <c r="I2258" s="413" t="s">
        <v>2824</v>
      </c>
      <c r="J2258" s="243" t="s">
        <v>96</v>
      </c>
      <c r="K2258" s="243" t="s">
        <v>1137</v>
      </c>
      <c r="L2258" s="243" t="s">
        <v>153</v>
      </c>
      <c r="M2258" s="327"/>
      <c r="N2258" s="327"/>
    </row>
    <row r="2259" spans="1:14" ht="15.6" hidden="1">
      <c r="A2259" s="420">
        <v>45909</v>
      </c>
      <c r="B2259" s="413" t="s">
        <v>2809</v>
      </c>
      <c r="C2259" s="406" t="s">
        <v>172</v>
      </c>
      <c r="D2259" s="406" t="s">
        <v>117</v>
      </c>
      <c r="E2259" s="346">
        <v>1000</v>
      </c>
      <c r="F2259" s="407">
        <f t="shared" si="27"/>
        <v>1.8744037053212446</v>
      </c>
      <c r="G2259" s="408">
        <v>533.50300000000004</v>
      </c>
      <c r="H2259" s="409" t="s">
        <v>151</v>
      </c>
      <c r="I2259" s="413" t="s">
        <v>2824</v>
      </c>
      <c r="J2259" s="243" t="s">
        <v>96</v>
      </c>
      <c r="K2259" s="243" t="s">
        <v>1137</v>
      </c>
      <c r="L2259" s="243" t="s">
        <v>153</v>
      </c>
      <c r="M2259" s="351"/>
      <c r="N2259" s="351"/>
    </row>
    <row r="2260" spans="1:14" ht="15.6" hidden="1">
      <c r="A2260" s="420">
        <v>45909</v>
      </c>
      <c r="B2260" s="413" t="s">
        <v>2810</v>
      </c>
      <c r="C2260" s="406" t="s">
        <v>172</v>
      </c>
      <c r="D2260" s="406" t="s">
        <v>117</v>
      </c>
      <c r="E2260" s="346">
        <v>1000</v>
      </c>
      <c r="F2260" s="407">
        <f t="shared" si="27"/>
        <v>1.8744037053212446</v>
      </c>
      <c r="G2260" s="408">
        <v>533.50300000000004</v>
      </c>
      <c r="H2260" s="409" t="s">
        <v>151</v>
      </c>
      <c r="I2260" s="413" t="s">
        <v>2824</v>
      </c>
      <c r="J2260" s="243" t="s">
        <v>96</v>
      </c>
      <c r="K2260" s="243" t="s">
        <v>1137</v>
      </c>
      <c r="L2260" s="243" t="s">
        <v>153</v>
      </c>
      <c r="M2260" s="327"/>
      <c r="N2260" s="327"/>
    </row>
    <row r="2261" spans="1:14" ht="15.6" hidden="1">
      <c r="A2261" s="420">
        <v>45909</v>
      </c>
      <c r="B2261" s="413" t="s">
        <v>2811</v>
      </c>
      <c r="C2261" s="406" t="s">
        <v>172</v>
      </c>
      <c r="D2261" s="406" t="s">
        <v>117</v>
      </c>
      <c r="E2261" s="346">
        <v>1000</v>
      </c>
      <c r="F2261" s="407">
        <f t="shared" si="27"/>
        <v>1.8744037053212446</v>
      </c>
      <c r="G2261" s="408">
        <v>533.50300000000004</v>
      </c>
      <c r="H2261" s="409" t="s">
        <v>151</v>
      </c>
      <c r="I2261" s="413" t="s">
        <v>2824</v>
      </c>
      <c r="J2261" s="243" t="s">
        <v>96</v>
      </c>
      <c r="K2261" s="243" t="s">
        <v>1137</v>
      </c>
      <c r="L2261" s="243" t="s">
        <v>153</v>
      </c>
      <c r="M2261" s="395"/>
      <c r="N2261" s="395"/>
    </row>
    <row r="2262" spans="1:14" ht="15.6" hidden="1">
      <c r="A2262" s="420">
        <v>45909</v>
      </c>
      <c r="B2262" s="413" t="s">
        <v>2104</v>
      </c>
      <c r="C2262" s="406" t="s">
        <v>172</v>
      </c>
      <c r="D2262" s="406" t="s">
        <v>117</v>
      </c>
      <c r="E2262" s="346">
        <v>1000</v>
      </c>
      <c r="F2262" s="407">
        <f t="shared" si="27"/>
        <v>1.8744037053212446</v>
      </c>
      <c r="G2262" s="408">
        <v>533.50300000000004</v>
      </c>
      <c r="H2262" s="409" t="s">
        <v>151</v>
      </c>
      <c r="I2262" s="413" t="s">
        <v>2824</v>
      </c>
      <c r="J2262" s="243" t="s">
        <v>96</v>
      </c>
      <c r="K2262" s="243" t="s">
        <v>1137</v>
      </c>
      <c r="L2262" s="243" t="s">
        <v>153</v>
      </c>
      <c r="M2262" s="395"/>
      <c r="N2262" s="395"/>
    </row>
    <row r="2263" spans="1:14" ht="15.6" hidden="1">
      <c r="A2263" s="418">
        <v>45909</v>
      </c>
      <c r="B2263" s="213" t="s">
        <v>2836</v>
      </c>
      <c r="C2263" s="213" t="s">
        <v>172</v>
      </c>
      <c r="D2263" s="329" t="s">
        <v>115</v>
      </c>
      <c r="E2263" s="419">
        <v>500</v>
      </c>
      <c r="F2263" s="407">
        <f t="shared" si="27"/>
        <v>0.93720185266062228</v>
      </c>
      <c r="G2263" s="408">
        <v>533.50300000000004</v>
      </c>
      <c r="H2263" s="172" t="s">
        <v>198</v>
      </c>
      <c r="I2263" s="213" t="s">
        <v>2859</v>
      </c>
      <c r="J2263" s="243" t="s">
        <v>96</v>
      </c>
      <c r="K2263" s="243" t="s">
        <v>1137</v>
      </c>
      <c r="L2263" s="243" t="s">
        <v>153</v>
      </c>
      <c r="M2263" s="327"/>
      <c r="N2263" s="327"/>
    </row>
    <row r="2264" spans="1:14" ht="15.6" hidden="1">
      <c r="A2264" s="418">
        <v>45909</v>
      </c>
      <c r="B2264" s="213" t="s">
        <v>2421</v>
      </c>
      <c r="C2264" s="213" t="s">
        <v>172</v>
      </c>
      <c r="D2264" s="329" t="s">
        <v>115</v>
      </c>
      <c r="E2264" s="419">
        <v>500</v>
      </c>
      <c r="F2264" s="407">
        <f t="shared" si="27"/>
        <v>0.93720185266062228</v>
      </c>
      <c r="G2264" s="408">
        <v>533.50300000000004</v>
      </c>
      <c r="H2264" s="172" t="s">
        <v>198</v>
      </c>
      <c r="I2264" s="213" t="s">
        <v>2859</v>
      </c>
      <c r="J2264" s="243" t="s">
        <v>96</v>
      </c>
      <c r="K2264" s="243" t="s">
        <v>1137</v>
      </c>
      <c r="L2264" s="243" t="s">
        <v>153</v>
      </c>
      <c r="M2264" s="327"/>
      <c r="N2264" s="327"/>
    </row>
    <row r="2265" spans="1:14" ht="15.6" hidden="1">
      <c r="A2265" s="411">
        <v>45909</v>
      </c>
      <c r="B2265" s="413" t="s">
        <v>2883</v>
      </c>
      <c r="C2265" s="413" t="s">
        <v>172</v>
      </c>
      <c r="D2265" s="413" t="s">
        <v>116</v>
      </c>
      <c r="E2265" s="414">
        <v>1000</v>
      </c>
      <c r="F2265" s="407">
        <f t="shared" si="27"/>
        <v>1.8744037053212446</v>
      </c>
      <c r="G2265" s="408">
        <v>533.50300000000004</v>
      </c>
      <c r="H2265" s="413" t="s">
        <v>581</v>
      </c>
      <c r="I2265" s="413" t="s">
        <v>2914</v>
      </c>
      <c r="J2265" s="243" t="s">
        <v>96</v>
      </c>
      <c r="K2265" s="243" t="s">
        <v>1137</v>
      </c>
      <c r="L2265" s="243" t="s">
        <v>153</v>
      </c>
      <c r="M2265" s="327"/>
      <c r="N2265" s="327"/>
    </row>
    <row r="2266" spans="1:14" ht="15.6" hidden="1">
      <c r="A2266" s="411">
        <v>45909</v>
      </c>
      <c r="B2266" s="413" t="s">
        <v>2884</v>
      </c>
      <c r="C2266" s="413" t="s">
        <v>172</v>
      </c>
      <c r="D2266" s="413" t="s">
        <v>116</v>
      </c>
      <c r="E2266" s="414">
        <v>1000</v>
      </c>
      <c r="F2266" s="407">
        <f t="shared" si="27"/>
        <v>1.8744037053212446</v>
      </c>
      <c r="G2266" s="408">
        <v>533.50300000000004</v>
      </c>
      <c r="H2266" s="413" t="s">
        <v>581</v>
      </c>
      <c r="I2266" s="413" t="s">
        <v>2914</v>
      </c>
      <c r="J2266" s="243" t="s">
        <v>96</v>
      </c>
      <c r="K2266" s="243" t="s">
        <v>1137</v>
      </c>
      <c r="L2266" s="243" t="s">
        <v>153</v>
      </c>
      <c r="M2266" s="327"/>
      <c r="N2266" s="327"/>
    </row>
    <row r="2267" spans="1:14" ht="15.6" hidden="1">
      <c r="A2267" s="418">
        <v>45909</v>
      </c>
      <c r="B2267" s="419" t="s">
        <v>4773</v>
      </c>
      <c r="C2267" s="419" t="s">
        <v>172</v>
      </c>
      <c r="D2267" s="177" t="s">
        <v>440</v>
      </c>
      <c r="E2267" s="419">
        <v>5000</v>
      </c>
      <c r="F2267" s="407">
        <f t="shared" si="27"/>
        <v>9.3720185266062224</v>
      </c>
      <c r="G2267" s="408">
        <v>533.50300000000004</v>
      </c>
      <c r="H2267" s="419" t="s">
        <v>182</v>
      </c>
      <c r="I2267" s="419" t="s">
        <v>2944</v>
      </c>
      <c r="J2267" s="243" t="s">
        <v>96</v>
      </c>
      <c r="K2267" s="243" t="s">
        <v>1137</v>
      </c>
      <c r="L2267" s="243" t="s">
        <v>153</v>
      </c>
      <c r="M2267" s="395"/>
      <c r="N2267" s="395"/>
    </row>
    <row r="2268" spans="1:14" ht="15.6" hidden="1">
      <c r="A2268" s="418">
        <v>45909</v>
      </c>
      <c r="B2268" s="419" t="s">
        <v>4773</v>
      </c>
      <c r="C2268" s="419" t="s">
        <v>172</v>
      </c>
      <c r="D2268" s="177" t="s">
        <v>440</v>
      </c>
      <c r="E2268" s="419">
        <v>5000</v>
      </c>
      <c r="F2268" s="407">
        <f t="shared" si="27"/>
        <v>9.3720185266062224</v>
      </c>
      <c r="G2268" s="408">
        <v>533.50300000000004</v>
      </c>
      <c r="H2268" s="419" t="s">
        <v>182</v>
      </c>
      <c r="I2268" s="419" t="s">
        <v>2945</v>
      </c>
      <c r="J2268" s="243" t="s">
        <v>96</v>
      </c>
      <c r="K2268" s="243" t="s">
        <v>1137</v>
      </c>
      <c r="L2268" s="243" t="s">
        <v>153</v>
      </c>
      <c r="M2268" s="395"/>
      <c r="N2268" s="395"/>
    </row>
    <row r="2269" spans="1:14" ht="15.6" hidden="1">
      <c r="A2269" s="418">
        <v>45909</v>
      </c>
      <c r="B2269" s="419" t="s">
        <v>4917</v>
      </c>
      <c r="C2269" s="419" t="s">
        <v>172</v>
      </c>
      <c r="D2269" s="177" t="s">
        <v>440</v>
      </c>
      <c r="E2269" s="419">
        <v>1500</v>
      </c>
      <c r="F2269" s="407">
        <f t="shared" si="27"/>
        <v>2.8116055579818666</v>
      </c>
      <c r="G2269" s="408">
        <v>533.50300000000004</v>
      </c>
      <c r="H2269" s="419" t="s">
        <v>182</v>
      </c>
      <c r="I2269" s="419" t="s">
        <v>2936</v>
      </c>
      <c r="J2269" s="243" t="s">
        <v>96</v>
      </c>
      <c r="K2269" s="243" t="s">
        <v>1137</v>
      </c>
      <c r="L2269" s="243" t="s">
        <v>153</v>
      </c>
      <c r="M2269" s="395"/>
      <c r="N2269" s="395"/>
    </row>
    <row r="2270" spans="1:14" ht="15.6" hidden="1">
      <c r="A2270" s="418">
        <v>45909</v>
      </c>
      <c r="B2270" s="419" t="s">
        <v>4896</v>
      </c>
      <c r="C2270" s="419" t="s">
        <v>172</v>
      </c>
      <c r="D2270" s="177" t="s">
        <v>440</v>
      </c>
      <c r="E2270" s="419">
        <v>500</v>
      </c>
      <c r="F2270" s="407">
        <f t="shared" si="27"/>
        <v>0.93720185266062228</v>
      </c>
      <c r="G2270" s="408">
        <v>533.50300000000004</v>
      </c>
      <c r="H2270" s="419" t="s">
        <v>182</v>
      </c>
      <c r="I2270" s="419" t="s">
        <v>2936</v>
      </c>
      <c r="J2270" s="243" t="s">
        <v>96</v>
      </c>
      <c r="K2270" s="243" t="s">
        <v>1137</v>
      </c>
      <c r="L2270" s="243" t="s">
        <v>153</v>
      </c>
      <c r="M2270" s="395"/>
      <c r="N2270" s="395"/>
    </row>
    <row r="2271" spans="1:14" ht="15.6" hidden="1">
      <c r="A2271" s="418">
        <v>45909</v>
      </c>
      <c r="B2271" s="419" t="s">
        <v>4944</v>
      </c>
      <c r="C2271" s="419" t="s">
        <v>172</v>
      </c>
      <c r="D2271" s="177" t="s">
        <v>440</v>
      </c>
      <c r="E2271" s="419">
        <v>700</v>
      </c>
      <c r="F2271" s="407">
        <f t="shared" si="27"/>
        <v>1.3120825937248712</v>
      </c>
      <c r="G2271" s="408">
        <v>533.50300000000004</v>
      </c>
      <c r="H2271" s="419" t="s">
        <v>182</v>
      </c>
      <c r="I2271" s="419" t="s">
        <v>2936</v>
      </c>
      <c r="J2271" s="243" t="s">
        <v>96</v>
      </c>
      <c r="K2271" s="243" t="s">
        <v>1137</v>
      </c>
      <c r="L2271" s="243" t="s">
        <v>153</v>
      </c>
      <c r="M2271" s="395"/>
      <c r="N2271" s="395"/>
    </row>
    <row r="2272" spans="1:14" ht="15.6" hidden="1">
      <c r="A2272" s="418">
        <v>45909</v>
      </c>
      <c r="B2272" s="419" t="s">
        <v>4938</v>
      </c>
      <c r="C2272" s="419" t="s">
        <v>172</v>
      </c>
      <c r="D2272" s="177" t="s">
        <v>440</v>
      </c>
      <c r="E2272" s="419">
        <v>700</v>
      </c>
      <c r="F2272" s="407">
        <f t="shared" si="27"/>
        <v>1.3120825937248712</v>
      </c>
      <c r="G2272" s="408">
        <v>533.50300000000004</v>
      </c>
      <c r="H2272" s="419" t="s">
        <v>182</v>
      </c>
      <c r="I2272" s="419" t="s">
        <v>2936</v>
      </c>
      <c r="J2272" s="243" t="s">
        <v>96</v>
      </c>
      <c r="K2272" s="243" t="s">
        <v>1137</v>
      </c>
      <c r="L2272" s="243" t="s">
        <v>153</v>
      </c>
      <c r="M2272" s="395"/>
      <c r="N2272" s="395"/>
    </row>
    <row r="2273" spans="1:14" ht="15.6" hidden="1">
      <c r="A2273" s="418">
        <v>45909</v>
      </c>
      <c r="B2273" s="419" t="s">
        <v>4938</v>
      </c>
      <c r="C2273" s="419" t="s">
        <v>172</v>
      </c>
      <c r="D2273" s="177" t="s">
        <v>440</v>
      </c>
      <c r="E2273" s="419">
        <v>700</v>
      </c>
      <c r="F2273" s="407">
        <f t="shared" ref="F2273:F2336" si="28">E2273/G2273</f>
        <v>1.3120825937248712</v>
      </c>
      <c r="G2273" s="408">
        <v>533.50300000000004</v>
      </c>
      <c r="H2273" s="419" t="s">
        <v>182</v>
      </c>
      <c r="I2273" s="419" t="s">
        <v>2936</v>
      </c>
      <c r="J2273" s="243" t="s">
        <v>96</v>
      </c>
      <c r="K2273" s="243" t="s">
        <v>1137</v>
      </c>
      <c r="L2273" s="243" t="s">
        <v>153</v>
      </c>
      <c r="M2273" s="395"/>
      <c r="N2273" s="395"/>
    </row>
    <row r="2274" spans="1:14" ht="15.6" hidden="1">
      <c r="A2274" s="418">
        <v>45909</v>
      </c>
      <c r="B2274" s="419" t="s">
        <v>4945</v>
      </c>
      <c r="C2274" s="419" t="s">
        <v>172</v>
      </c>
      <c r="D2274" s="177" t="s">
        <v>440</v>
      </c>
      <c r="E2274" s="419">
        <v>500</v>
      </c>
      <c r="F2274" s="407">
        <f t="shared" si="28"/>
        <v>0.93720185266062228</v>
      </c>
      <c r="G2274" s="408">
        <v>533.50300000000004</v>
      </c>
      <c r="H2274" s="419" t="s">
        <v>182</v>
      </c>
      <c r="I2274" s="419" t="s">
        <v>2936</v>
      </c>
      <c r="J2274" s="243" t="s">
        <v>96</v>
      </c>
      <c r="K2274" s="243" t="s">
        <v>1137</v>
      </c>
      <c r="L2274" s="243" t="s">
        <v>153</v>
      </c>
      <c r="M2274" s="395"/>
      <c r="N2274" s="395"/>
    </row>
    <row r="2275" spans="1:14" ht="15.6" hidden="1">
      <c r="A2275" s="418">
        <v>45909</v>
      </c>
      <c r="B2275" s="419" t="s">
        <v>4917</v>
      </c>
      <c r="C2275" s="419" t="s">
        <v>172</v>
      </c>
      <c r="D2275" s="177" t="s">
        <v>440</v>
      </c>
      <c r="E2275" s="419">
        <v>1500</v>
      </c>
      <c r="F2275" s="407">
        <f t="shared" si="28"/>
        <v>2.8116055579818666</v>
      </c>
      <c r="G2275" s="408">
        <v>533.50300000000004</v>
      </c>
      <c r="H2275" s="419" t="s">
        <v>182</v>
      </c>
      <c r="I2275" s="419" t="s">
        <v>2936</v>
      </c>
      <c r="J2275" s="243" t="s">
        <v>96</v>
      </c>
      <c r="K2275" s="243" t="s">
        <v>1137</v>
      </c>
      <c r="L2275" s="243" t="s">
        <v>153</v>
      </c>
      <c r="M2275" s="395"/>
      <c r="N2275" s="395"/>
    </row>
    <row r="2276" spans="1:14" ht="15.6" hidden="1">
      <c r="A2276" s="418">
        <v>45909</v>
      </c>
      <c r="B2276" s="419" t="s">
        <v>4946</v>
      </c>
      <c r="C2276" s="419" t="s">
        <v>366</v>
      </c>
      <c r="D2276" s="177" t="s">
        <v>440</v>
      </c>
      <c r="E2276" s="419">
        <v>2000</v>
      </c>
      <c r="F2276" s="407">
        <f t="shared" si="28"/>
        <v>3.7488074106424891</v>
      </c>
      <c r="G2276" s="408">
        <v>533.50300000000004</v>
      </c>
      <c r="H2276" s="419" t="s">
        <v>182</v>
      </c>
      <c r="I2276" s="419" t="s">
        <v>2940</v>
      </c>
      <c r="J2276" s="243" t="s">
        <v>96</v>
      </c>
      <c r="K2276" s="243" t="s">
        <v>1137</v>
      </c>
      <c r="L2276" s="243" t="s">
        <v>153</v>
      </c>
      <c r="M2276" s="395"/>
      <c r="N2276" s="395"/>
    </row>
    <row r="2277" spans="1:14" ht="15.6" hidden="1">
      <c r="A2277" s="420">
        <v>45909</v>
      </c>
      <c r="B2277" s="413" t="s">
        <v>4876</v>
      </c>
      <c r="C2277" s="413" t="s">
        <v>172</v>
      </c>
      <c r="D2277" s="177" t="s">
        <v>440</v>
      </c>
      <c r="E2277" s="413">
        <v>1000</v>
      </c>
      <c r="F2277" s="407">
        <f t="shared" si="28"/>
        <v>1.8744037053212446</v>
      </c>
      <c r="G2277" s="408">
        <v>533.50300000000004</v>
      </c>
      <c r="H2277" s="413" t="s">
        <v>173</v>
      </c>
      <c r="I2277" s="413" t="s">
        <v>2959</v>
      </c>
      <c r="J2277" s="243" t="s">
        <v>96</v>
      </c>
      <c r="K2277" s="243" t="s">
        <v>1137</v>
      </c>
      <c r="L2277" s="243" t="s">
        <v>153</v>
      </c>
      <c r="M2277" s="327"/>
      <c r="N2277" s="327"/>
    </row>
    <row r="2278" spans="1:14" ht="15.6" hidden="1">
      <c r="A2278" s="420">
        <v>45909</v>
      </c>
      <c r="B2278" s="413" t="s">
        <v>4876</v>
      </c>
      <c r="C2278" s="413" t="s">
        <v>1011</v>
      </c>
      <c r="D2278" s="177" t="s">
        <v>440</v>
      </c>
      <c r="E2278" s="413">
        <v>1000</v>
      </c>
      <c r="F2278" s="407">
        <f t="shared" si="28"/>
        <v>1.8744037053212446</v>
      </c>
      <c r="G2278" s="408">
        <v>533.50300000000004</v>
      </c>
      <c r="H2278" s="413" t="s">
        <v>173</v>
      </c>
      <c r="I2278" s="413" t="s">
        <v>2959</v>
      </c>
      <c r="J2278" s="243" t="s">
        <v>96</v>
      </c>
      <c r="K2278" s="243" t="s">
        <v>1137</v>
      </c>
      <c r="L2278" s="243" t="s">
        <v>153</v>
      </c>
      <c r="M2278" s="327"/>
      <c r="N2278" s="327"/>
    </row>
    <row r="2279" spans="1:14" ht="15.6" hidden="1">
      <c r="A2279" s="420">
        <v>45909</v>
      </c>
      <c r="B2279" s="413" t="s">
        <v>4876</v>
      </c>
      <c r="C2279" s="413" t="s">
        <v>1011</v>
      </c>
      <c r="D2279" s="177" t="s">
        <v>440</v>
      </c>
      <c r="E2279" s="413">
        <v>1000</v>
      </c>
      <c r="F2279" s="407">
        <f t="shared" si="28"/>
        <v>1.8744037053212446</v>
      </c>
      <c r="G2279" s="408">
        <v>533.50300000000004</v>
      </c>
      <c r="H2279" s="413" t="s">
        <v>173</v>
      </c>
      <c r="I2279" s="413" t="s">
        <v>2959</v>
      </c>
      <c r="J2279" s="243" t="s">
        <v>96</v>
      </c>
      <c r="K2279" s="243" t="s">
        <v>1137</v>
      </c>
      <c r="L2279" s="243" t="s">
        <v>153</v>
      </c>
      <c r="M2279" s="327"/>
      <c r="N2279" s="327"/>
    </row>
    <row r="2280" spans="1:14" ht="15.6" hidden="1">
      <c r="A2280" s="420">
        <v>45909</v>
      </c>
      <c r="B2280" s="413" t="s">
        <v>4876</v>
      </c>
      <c r="C2280" s="413" t="s">
        <v>1011</v>
      </c>
      <c r="D2280" s="177" t="s">
        <v>440</v>
      </c>
      <c r="E2280" s="413">
        <v>1000</v>
      </c>
      <c r="F2280" s="407">
        <f t="shared" si="28"/>
        <v>1.8744037053212446</v>
      </c>
      <c r="G2280" s="408">
        <v>533.50300000000004</v>
      </c>
      <c r="H2280" s="413" t="s">
        <v>173</v>
      </c>
      <c r="I2280" s="413" t="s">
        <v>2959</v>
      </c>
      <c r="J2280" s="243" t="s">
        <v>96</v>
      </c>
      <c r="K2280" s="243" t="s">
        <v>1137</v>
      </c>
      <c r="L2280" s="243" t="s">
        <v>153</v>
      </c>
      <c r="M2280" s="327"/>
      <c r="N2280" s="327"/>
    </row>
    <row r="2281" spans="1:14" ht="15.6" hidden="1">
      <c r="A2281" s="420">
        <v>45909</v>
      </c>
      <c r="B2281" s="413" t="s">
        <v>4876</v>
      </c>
      <c r="C2281" s="413" t="s">
        <v>1011</v>
      </c>
      <c r="D2281" s="177" t="s">
        <v>440</v>
      </c>
      <c r="E2281" s="413">
        <v>1000</v>
      </c>
      <c r="F2281" s="407">
        <f t="shared" si="28"/>
        <v>1.8744037053212446</v>
      </c>
      <c r="G2281" s="408">
        <v>533.50300000000004</v>
      </c>
      <c r="H2281" s="413" t="s">
        <v>173</v>
      </c>
      <c r="I2281" s="413" t="s">
        <v>2959</v>
      </c>
      <c r="J2281" s="243" t="s">
        <v>96</v>
      </c>
      <c r="K2281" s="243" t="s">
        <v>1137</v>
      </c>
      <c r="L2281" s="243" t="s">
        <v>153</v>
      </c>
      <c r="M2281" s="327"/>
      <c r="N2281" s="327"/>
    </row>
    <row r="2282" spans="1:14" ht="15.6" hidden="1">
      <c r="A2282" s="420">
        <v>45909</v>
      </c>
      <c r="B2282" s="413" t="s">
        <v>4947</v>
      </c>
      <c r="C2282" s="413" t="s">
        <v>366</v>
      </c>
      <c r="D2282" s="177" t="s">
        <v>440</v>
      </c>
      <c r="E2282" s="413">
        <v>1500</v>
      </c>
      <c r="F2282" s="407">
        <f t="shared" si="28"/>
        <v>2.8116055579818666</v>
      </c>
      <c r="G2282" s="408">
        <v>533.50300000000004</v>
      </c>
      <c r="H2282" s="413" t="s">
        <v>173</v>
      </c>
      <c r="I2282" s="413" t="s">
        <v>2963</v>
      </c>
      <c r="J2282" s="243" t="s">
        <v>96</v>
      </c>
      <c r="K2282" s="243" t="s">
        <v>1137</v>
      </c>
      <c r="L2282" s="243" t="s">
        <v>153</v>
      </c>
      <c r="M2282" s="327"/>
      <c r="N2282" s="327"/>
    </row>
    <row r="2283" spans="1:14" ht="15.6" hidden="1">
      <c r="A2283" s="420">
        <v>45909</v>
      </c>
      <c r="B2283" s="413" t="s">
        <v>4896</v>
      </c>
      <c r="C2283" s="413" t="s">
        <v>172</v>
      </c>
      <c r="D2283" s="177" t="s">
        <v>440</v>
      </c>
      <c r="E2283" s="413">
        <v>600</v>
      </c>
      <c r="F2283" s="407">
        <f t="shared" si="28"/>
        <v>1.1246422231927466</v>
      </c>
      <c r="G2283" s="408">
        <v>533.50300000000004</v>
      </c>
      <c r="H2283" s="413" t="s">
        <v>315</v>
      </c>
      <c r="I2283" s="413" t="s">
        <v>2976</v>
      </c>
      <c r="J2283" s="243" t="s">
        <v>96</v>
      </c>
      <c r="K2283" s="243" t="s">
        <v>1137</v>
      </c>
      <c r="L2283" s="243" t="s">
        <v>153</v>
      </c>
      <c r="M2283" s="327"/>
      <c r="N2283" s="327"/>
    </row>
    <row r="2284" spans="1:14" ht="15.6" hidden="1">
      <c r="A2284" s="420">
        <v>45909</v>
      </c>
      <c r="B2284" s="413" t="s">
        <v>4888</v>
      </c>
      <c r="C2284" s="413" t="s">
        <v>172</v>
      </c>
      <c r="D2284" s="177" t="s">
        <v>440</v>
      </c>
      <c r="E2284" s="413">
        <v>500</v>
      </c>
      <c r="F2284" s="407">
        <f t="shared" si="28"/>
        <v>0.93720185266062228</v>
      </c>
      <c r="G2284" s="408">
        <v>533.50300000000004</v>
      </c>
      <c r="H2284" s="413" t="s">
        <v>315</v>
      </c>
      <c r="I2284" s="413" t="s">
        <v>2976</v>
      </c>
      <c r="J2284" s="243" t="s">
        <v>96</v>
      </c>
      <c r="K2284" s="243" t="s">
        <v>1137</v>
      </c>
      <c r="L2284" s="243" t="s">
        <v>153</v>
      </c>
      <c r="M2284" s="327"/>
      <c r="N2284" s="327"/>
    </row>
    <row r="2285" spans="1:14" ht="15.6" hidden="1">
      <c r="A2285" s="420">
        <v>45909</v>
      </c>
      <c r="B2285" s="413" t="s">
        <v>4896</v>
      </c>
      <c r="C2285" s="413" t="s">
        <v>172</v>
      </c>
      <c r="D2285" s="177" t="s">
        <v>440</v>
      </c>
      <c r="E2285" s="413">
        <v>500</v>
      </c>
      <c r="F2285" s="407">
        <f t="shared" si="28"/>
        <v>0.93720185266062228</v>
      </c>
      <c r="G2285" s="408">
        <v>533.50300000000004</v>
      </c>
      <c r="H2285" s="413" t="s">
        <v>315</v>
      </c>
      <c r="I2285" s="413" t="s">
        <v>2976</v>
      </c>
      <c r="J2285" s="243" t="s">
        <v>96</v>
      </c>
      <c r="K2285" s="243" t="s">
        <v>1137</v>
      </c>
      <c r="L2285" s="243" t="s">
        <v>153</v>
      </c>
      <c r="M2285" s="327"/>
      <c r="N2285" s="327"/>
    </row>
    <row r="2286" spans="1:14" ht="15.6" hidden="1">
      <c r="A2286" s="420">
        <v>45909</v>
      </c>
      <c r="B2286" s="413" t="s">
        <v>4896</v>
      </c>
      <c r="C2286" s="413" t="s">
        <v>172</v>
      </c>
      <c r="D2286" s="177" t="s">
        <v>440</v>
      </c>
      <c r="E2286" s="413">
        <v>600</v>
      </c>
      <c r="F2286" s="407">
        <f t="shared" si="28"/>
        <v>1.1246422231927466</v>
      </c>
      <c r="G2286" s="408">
        <v>533.50300000000004</v>
      </c>
      <c r="H2286" s="413" t="s">
        <v>315</v>
      </c>
      <c r="I2286" s="413" t="s">
        <v>2976</v>
      </c>
      <c r="J2286" s="243" t="s">
        <v>96</v>
      </c>
      <c r="K2286" s="243" t="s">
        <v>1137</v>
      </c>
      <c r="L2286" s="243" t="s">
        <v>153</v>
      </c>
      <c r="M2286" s="327"/>
      <c r="N2286" s="327"/>
    </row>
    <row r="2287" spans="1:14" ht="15.6" hidden="1">
      <c r="A2287" s="420">
        <v>45909</v>
      </c>
      <c r="B2287" s="413" t="s">
        <v>4888</v>
      </c>
      <c r="C2287" s="413" t="s">
        <v>172</v>
      </c>
      <c r="D2287" s="177" t="s">
        <v>440</v>
      </c>
      <c r="E2287" s="413">
        <v>500</v>
      </c>
      <c r="F2287" s="407">
        <f t="shared" si="28"/>
        <v>0.93720185266062228</v>
      </c>
      <c r="G2287" s="408">
        <v>533.50300000000004</v>
      </c>
      <c r="H2287" s="413" t="s">
        <v>315</v>
      </c>
      <c r="I2287" s="413" t="s">
        <v>2976</v>
      </c>
      <c r="J2287" s="243" t="s">
        <v>96</v>
      </c>
      <c r="K2287" s="243" t="s">
        <v>1137</v>
      </c>
      <c r="L2287" s="243" t="s">
        <v>153</v>
      </c>
      <c r="M2287" s="327"/>
      <c r="N2287" s="327"/>
    </row>
    <row r="2288" spans="1:14" ht="15.6" hidden="1">
      <c r="A2288" s="420">
        <v>45909</v>
      </c>
      <c r="B2288" s="413" t="s">
        <v>4907</v>
      </c>
      <c r="C2288" s="413" t="s">
        <v>172</v>
      </c>
      <c r="D2288" s="177" t="s">
        <v>440</v>
      </c>
      <c r="E2288" s="416">
        <v>1000</v>
      </c>
      <c r="F2288" s="407">
        <f t="shared" si="28"/>
        <v>1.8744037053212446</v>
      </c>
      <c r="G2288" s="408">
        <v>533.50300000000004</v>
      </c>
      <c r="H2288" s="413" t="s">
        <v>321</v>
      </c>
      <c r="I2288" s="413" t="s">
        <v>2994</v>
      </c>
      <c r="J2288" s="243" t="s">
        <v>96</v>
      </c>
      <c r="K2288" s="243" t="s">
        <v>1137</v>
      </c>
      <c r="L2288" s="243" t="s">
        <v>153</v>
      </c>
      <c r="M2288" s="327"/>
      <c r="N2288" s="327"/>
    </row>
    <row r="2289" spans="1:14" ht="15.6" hidden="1">
      <c r="A2289" s="420">
        <v>45909</v>
      </c>
      <c r="B2289" s="413" t="s">
        <v>4912</v>
      </c>
      <c r="C2289" s="413" t="s">
        <v>172</v>
      </c>
      <c r="D2289" s="177" t="s">
        <v>440</v>
      </c>
      <c r="E2289" s="416">
        <v>1000</v>
      </c>
      <c r="F2289" s="407">
        <f t="shared" si="28"/>
        <v>1.8744037053212446</v>
      </c>
      <c r="G2289" s="408">
        <v>533.50300000000004</v>
      </c>
      <c r="H2289" s="413" t="s">
        <v>321</v>
      </c>
      <c r="I2289" s="413" t="s">
        <v>2994</v>
      </c>
      <c r="J2289" s="243" t="s">
        <v>96</v>
      </c>
      <c r="K2289" s="243" t="s">
        <v>1137</v>
      </c>
      <c r="L2289" s="243" t="s">
        <v>153</v>
      </c>
      <c r="M2289" s="327"/>
      <c r="N2289" s="327"/>
    </row>
    <row r="2290" spans="1:14" ht="15.6" hidden="1">
      <c r="A2290" s="420">
        <v>45909</v>
      </c>
      <c r="B2290" s="413" t="s">
        <v>4948</v>
      </c>
      <c r="C2290" s="413" t="s">
        <v>172</v>
      </c>
      <c r="D2290" s="177" t="s">
        <v>440</v>
      </c>
      <c r="E2290" s="416">
        <v>1000</v>
      </c>
      <c r="F2290" s="407">
        <f t="shared" si="28"/>
        <v>1.8744037053212446</v>
      </c>
      <c r="G2290" s="408">
        <v>533.50300000000004</v>
      </c>
      <c r="H2290" s="413" t="s">
        <v>321</v>
      </c>
      <c r="I2290" s="413" t="s">
        <v>2994</v>
      </c>
      <c r="J2290" s="243" t="s">
        <v>96</v>
      </c>
      <c r="K2290" s="243" t="s">
        <v>1137</v>
      </c>
      <c r="L2290" s="243" t="s">
        <v>153</v>
      </c>
      <c r="M2290" s="327"/>
      <c r="N2290" s="327"/>
    </row>
    <row r="2291" spans="1:14" ht="15.6" hidden="1">
      <c r="A2291" s="405">
        <v>45909</v>
      </c>
      <c r="B2291" s="413" t="s">
        <v>3080</v>
      </c>
      <c r="C2291" s="346" t="s">
        <v>194</v>
      </c>
      <c r="D2291" s="346" t="s">
        <v>115</v>
      </c>
      <c r="E2291" s="416">
        <v>500</v>
      </c>
      <c r="F2291" s="407">
        <f t="shared" si="28"/>
        <v>0.93720185266062228</v>
      </c>
      <c r="G2291" s="408">
        <v>533.50300000000004</v>
      </c>
      <c r="H2291" s="252" t="s">
        <v>195</v>
      </c>
      <c r="I2291" s="413" t="s">
        <v>3101</v>
      </c>
      <c r="J2291" s="243" t="s">
        <v>96</v>
      </c>
      <c r="K2291" s="243" t="s">
        <v>1137</v>
      </c>
      <c r="L2291" s="243" t="s">
        <v>153</v>
      </c>
      <c r="M2291" s="76"/>
      <c r="N2291" s="76"/>
    </row>
    <row r="2292" spans="1:14" ht="15.6" hidden="1">
      <c r="A2292" s="405">
        <v>45909</v>
      </c>
      <c r="B2292" s="413" t="s">
        <v>2656</v>
      </c>
      <c r="C2292" s="346" t="s">
        <v>194</v>
      </c>
      <c r="D2292" s="346" t="s">
        <v>115</v>
      </c>
      <c r="E2292" s="416">
        <v>500</v>
      </c>
      <c r="F2292" s="407">
        <f t="shared" si="28"/>
        <v>0.93720185266062228</v>
      </c>
      <c r="G2292" s="408">
        <v>533.50300000000004</v>
      </c>
      <c r="H2292" s="252" t="s">
        <v>195</v>
      </c>
      <c r="I2292" s="413" t="s">
        <v>3101</v>
      </c>
      <c r="J2292" s="243" t="s">
        <v>96</v>
      </c>
      <c r="K2292" s="243" t="s">
        <v>1137</v>
      </c>
      <c r="L2292" s="243" t="s">
        <v>153</v>
      </c>
      <c r="M2292" s="76"/>
      <c r="N2292" s="76"/>
    </row>
    <row r="2293" spans="1:14" ht="15.6" hidden="1">
      <c r="A2293" s="405">
        <v>45911</v>
      </c>
      <c r="B2293" s="413" t="s">
        <v>3070</v>
      </c>
      <c r="C2293" s="346" t="s">
        <v>194</v>
      </c>
      <c r="D2293" s="346" t="s">
        <v>115</v>
      </c>
      <c r="E2293" s="416">
        <v>500</v>
      </c>
      <c r="F2293" s="407">
        <f t="shared" si="28"/>
        <v>0.93720185266062228</v>
      </c>
      <c r="G2293" s="408">
        <v>533.50300000000004</v>
      </c>
      <c r="H2293" s="252" t="s">
        <v>195</v>
      </c>
      <c r="I2293" s="413" t="s">
        <v>3101</v>
      </c>
      <c r="J2293" s="243" t="s">
        <v>96</v>
      </c>
      <c r="K2293" s="243" t="s">
        <v>1137</v>
      </c>
      <c r="L2293" s="243" t="s">
        <v>153</v>
      </c>
      <c r="M2293" s="76"/>
      <c r="N2293" s="76"/>
    </row>
    <row r="2294" spans="1:14" ht="15.6" hidden="1">
      <c r="A2294" s="415">
        <v>45909</v>
      </c>
      <c r="B2294" s="243" t="s">
        <v>3147</v>
      </c>
      <c r="C2294" s="413" t="s">
        <v>263</v>
      </c>
      <c r="D2294" s="172" t="s">
        <v>2091</v>
      </c>
      <c r="E2294" s="412">
        <v>30000</v>
      </c>
      <c r="F2294" s="407">
        <f t="shared" si="28"/>
        <v>56.232111159637334</v>
      </c>
      <c r="G2294" s="408">
        <v>533.50300000000004</v>
      </c>
      <c r="H2294" s="413" t="s">
        <v>211</v>
      </c>
      <c r="I2294" s="243" t="s">
        <v>3163</v>
      </c>
      <c r="J2294" s="243" t="s">
        <v>96</v>
      </c>
      <c r="K2294" s="243" t="s">
        <v>1137</v>
      </c>
      <c r="L2294" s="243" t="s">
        <v>153</v>
      </c>
      <c r="M2294" s="76"/>
      <c r="N2294" s="76"/>
    </row>
    <row r="2295" spans="1:14" ht="15.6" hidden="1">
      <c r="A2295" s="420">
        <v>45910</v>
      </c>
      <c r="B2295" s="413" t="s">
        <v>2812</v>
      </c>
      <c r="C2295" s="406" t="s">
        <v>172</v>
      </c>
      <c r="D2295" s="406" t="s">
        <v>117</v>
      </c>
      <c r="E2295" s="346">
        <v>1000</v>
      </c>
      <c r="F2295" s="407">
        <f t="shared" si="28"/>
        <v>1.8744037053212446</v>
      </c>
      <c r="G2295" s="408">
        <v>533.50300000000004</v>
      </c>
      <c r="H2295" s="409" t="s">
        <v>151</v>
      </c>
      <c r="I2295" s="413" t="s">
        <v>2824</v>
      </c>
      <c r="J2295" s="243" t="s">
        <v>96</v>
      </c>
      <c r="K2295" s="243" t="s">
        <v>1137</v>
      </c>
      <c r="L2295" s="243" t="s">
        <v>153</v>
      </c>
      <c r="M2295" s="395"/>
      <c r="N2295" s="395"/>
    </row>
    <row r="2296" spans="1:14" ht="15.6" hidden="1">
      <c r="A2296" s="420">
        <v>45910</v>
      </c>
      <c r="B2296" s="413" t="s">
        <v>2813</v>
      </c>
      <c r="C2296" s="406" t="s">
        <v>172</v>
      </c>
      <c r="D2296" s="406" t="s">
        <v>117</v>
      </c>
      <c r="E2296" s="346">
        <v>1000</v>
      </c>
      <c r="F2296" s="407">
        <f t="shared" si="28"/>
        <v>1.8744037053212446</v>
      </c>
      <c r="G2296" s="408">
        <v>533.50300000000004</v>
      </c>
      <c r="H2296" s="409" t="s">
        <v>151</v>
      </c>
      <c r="I2296" s="413" t="s">
        <v>2824</v>
      </c>
      <c r="J2296" s="243" t="s">
        <v>96</v>
      </c>
      <c r="K2296" s="243" t="s">
        <v>1137</v>
      </c>
      <c r="L2296" s="243" t="s">
        <v>153</v>
      </c>
      <c r="M2296" s="395"/>
      <c r="N2296" s="395"/>
    </row>
    <row r="2297" spans="1:14" ht="15.6" hidden="1">
      <c r="A2297" s="411">
        <v>45910</v>
      </c>
      <c r="B2297" s="413" t="s">
        <v>2885</v>
      </c>
      <c r="C2297" s="413" t="s">
        <v>172</v>
      </c>
      <c r="D2297" s="413" t="s">
        <v>116</v>
      </c>
      <c r="E2297" s="414">
        <v>1000</v>
      </c>
      <c r="F2297" s="407">
        <f t="shared" si="28"/>
        <v>1.8744037053212446</v>
      </c>
      <c r="G2297" s="408">
        <v>533.50300000000004</v>
      </c>
      <c r="H2297" s="413" t="s">
        <v>581</v>
      </c>
      <c r="I2297" s="413" t="s">
        <v>2914</v>
      </c>
      <c r="J2297" s="243" t="s">
        <v>96</v>
      </c>
      <c r="K2297" s="243" t="s">
        <v>1137</v>
      </c>
      <c r="L2297" s="243" t="s">
        <v>153</v>
      </c>
      <c r="M2297" s="327"/>
      <c r="N2297" s="327"/>
    </row>
    <row r="2298" spans="1:14" ht="15.6" hidden="1">
      <c r="A2298" s="411">
        <v>45910</v>
      </c>
      <c r="B2298" s="413" t="s">
        <v>2884</v>
      </c>
      <c r="C2298" s="413" t="s">
        <v>172</v>
      </c>
      <c r="D2298" s="413" t="s">
        <v>116</v>
      </c>
      <c r="E2298" s="414">
        <v>1000</v>
      </c>
      <c r="F2298" s="407">
        <f t="shared" si="28"/>
        <v>1.8744037053212446</v>
      </c>
      <c r="G2298" s="408">
        <v>533.50300000000004</v>
      </c>
      <c r="H2298" s="413" t="s">
        <v>581</v>
      </c>
      <c r="I2298" s="413" t="s">
        <v>2914</v>
      </c>
      <c r="J2298" s="243" t="s">
        <v>96</v>
      </c>
      <c r="K2298" s="243" t="s">
        <v>1137</v>
      </c>
      <c r="L2298" s="243" t="s">
        <v>153</v>
      </c>
      <c r="M2298" s="395"/>
      <c r="N2298" s="395"/>
    </row>
    <row r="2299" spans="1:14" ht="15.6" hidden="1">
      <c r="A2299" s="418">
        <v>45910</v>
      </c>
      <c r="B2299" s="419" t="s">
        <v>4917</v>
      </c>
      <c r="C2299" s="419" t="s">
        <v>172</v>
      </c>
      <c r="D2299" s="177" t="s">
        <v>440</v>
      </c>
      <c r="E2299" s="419">
        <v>1000</v>
      </c>
      <c r="F2299" s="407">
        <f t="shared" si="28"/>
        <v>1.8744037053212446</v>
      </c>
      <c r="G2299" s="408">
        <v>533.50300000000004</v>
      </c>
      <c r="H2299" s="419" t="s">
        <v>182</v>
      </c>
      <c r="I2299" s="419" t="s">
        <v>2936</v>
      </c>
      <c r="J2299" s="243" t="s">
        <v>96</v>
      </c>
      <c r="K2299" s="243" t="s">
        <v>1137</v>
      </c>
      <c r="L2299" s="243" t="s">
        <v>153</v>
      </c>
      <c r="M2299" s="395"/>
      <c r="N2299" s="395"/>
    </row>
    <row r="2300" spans="1:14" ht="15.6" hidden="1">
      <c r="A2300" s="418">
        <v>45910</v>
      </c>
      <c r="B2300" s="419" t="s">
        <v>4917</v>
      </c>
      <c r="C2300" s="419" t="s">
        <v>172</v>
      </c>
      <c r="D2300" s="177" t="s">
        <v>440</v>
      </c>
      <c r="E2300" s="419">
        <v>1000</v>
      </c>
      <c r="F2300" s="407">
        <f t="shared" si="28"/>
        <v>1.8744037053212446</v>
      </c>
      <c r="G2300" s="408">
        <v>533.50300000000004</v>
      </c>
      <c r="H2300" s="419" t="s">
        <v>182</v>
      </c>
      <c r="I2300" s="419" t="s">
        <v>2936</v>
      </c>
      <c r="J2300" s="243" t="s">
        <v>96</v>
      </c>
      <c r="K2300" s="243" t="s">
        <v>1137</v>
      </c>
      <c r="L2300" s="243" t="s">
        <v>153</v>
      </c>
      <c r="M2300" s="395"/>
      <c r="N2300" s="395"/>
    </row>
    <row r="2301" spans="1:14" ht="15.6" hidden="1">
      <c r="A2301" s="418">
        <v>45910</v>
      </c>
      <c r="B2301" s="419" t="s">
        <v>4917</v>
      </c>
      <c r="C2301" s="419" t="s">
        <v>172</v>
      </c>
      <c r="D2301" s="177" t="s">
        <v>440</v>
      </c>
      <c r="E2301" s="419">
        <v>1000</v>
      </c>
      <c r="F2301" s="407">
        <f t="shared" si="28"/>
        <v>1.8744037053212446</v>
      </c>
      <c r="G2301" s="408">
        <v>533.50300000000004</v>
      </c>
      <c r="H2301" s="419" t="s">
        <v>182</v>
      </c>
      <c r="I2301" s="419" t="s">
        <v>2936</v>
      </c>
      <c r="J2301" s="243" t="s">
        <v>96</v>
      </c>
      <c r="K2301" s="243" t="s">
        <v>1137</v>
      </c>
      <c r="L2301" s="243" t="s">
        <v>153</v>
      </c>
      <c r="M2301" s="327"/>
      <c r="N2301" s="327"/>
    </row>
    <row r="2302" spans="1:14" ht="15.6" hidden="1">
      <c r="A2302" s="418">
        <v>45910</v>
      </c>
      <c r="B2302" s="419" t="s">
        <v>4912</v>
      </c>
      <c r="C2302" s="419" t="s">
        <v>172</v>
      </c>
      <c r="D2302" s="177" t="s">
        <v>440</v>
      </c>
      <c r="E2302" s="419">
        <v>1000</v>
      </c>
      <c r="F2302" s="407">
        <f t="shared" si="28"/>
        <v>1.8744037053212446</v>
      </c>
      <c r="G2302" s="408">
        <v>533.50300000000004</v>
      </c>
      <c r="H2302" s="419" t="s">
        <v>182</v>
      </c>
      <c r="I2302" s="419" t="s">
        <v>2936</v>
      </c>
      <c r="J2302" s="243" t="s">
        <v>96</v>
      </c>
      <c r="K2302" s="243" t="s">
        <v>1137</v>
      </c>
      <c r="L2302" s="243" t="s">
        <v>153</v>
      </c>
      <c r="M2302" s="327"/>
      <c r="N2302" s="327"/>
    </row>
    <row r="2303" spans="1:14" ht="15.6" hidden="1">
      <c r="A2303" s="418">
        <v>45910</v>
      </c>
      <c r="B2303" s="419" t="s">
        <v>4912</v>
      </c>
      <c r="C2303" s="419" t="s">
        <v>172</v>
      </c>
      <c r="D2303" s="177" t="s">
        <v>440</v>
      </c>
      <c r="E2303" s="419">
        <v>1000</v>
      </c>
      <c r="F2303" s="407">
        <f t="shared" si="28"/>
        <v>1.8744037053212446</v>
      </c>
      <c r="G2303" s="408">
        <v>533.50300000000004</v>
      </c>
      <c r="H2303" s="419" t="s">
        <v>182</v>
      </c>
      <c r="I2303" s="419" t="s">
        <v>2936</v>
      </c>
      <c r="J2303" s="243" t="s">
        <v>96</v>
      </c>
      <c r="K2303" s="243" t="s">
        <v>1137</v>
      </c>
      <c r="L2303" s="243" t="s">
        <v>153</v>
      </c>
      <c r="M2303" s="327"/>
      <c r="N2303" s="327"/>
    </row>
    <row r="2304" spans="1:14" ht="15.6" hidden="1">
      <c r="A2304" s="418">
        <v>45910</v>
      </c>
      <c r="B2304" s="419" t="s">
        <v>2932</v>
      </c>
      <c r="C2304" s="419" t="s">
        <v>172</v>
      </c>
      <c r="D2304" s="177" t="s">
        <v>440</v>
      </c>
      <c r="E2304" s="419">
        <v>2000</v>
      </c>
      <c r="F2304" s="407">
        <f t="shared" si="28"/>
        <v>3.7488074106424891</v>
      </c>
      <c r="G2304" s="408">
        <v>533.50300000000004</v>
      </c>
      <c r="H2304" s="419" t="s">
        <v>182</v>
      </c>
      <c r="I2304" s="419" t="s">
        <v>2936</v>
      </c>
      <c r="J2304" s="243" t="s">
        <v>96</v>
      </c>
      <c r="K2304" s="243" t="s">
        <v>1137</v>
      </c>
      <c r="L2304" s="243" t="s">
        <v>153</v>
      </c>
      <c r="M2304" s="327"/>
      <c r="N2304" s="327"/>
    </row>
    <row r="2305" spans="1:14" ht="15.6" hidden="1">
      <c r="A2305" s="420">
        <v>45910</v>
      </c>
      <c r="B2305" s="413" t="s">
        <v>4917</v>
      </c>
      <c r="C2305" s="413" t="s">
        <v>172</v>
      </c>
      <c r="D2305" s="177" t="s">
        <v>440</v>
      </c>
      <c r="E2305" s="413">
        <v>1000</v>
      </c>
      <c r="F2305" s="407">
        <f t="shared" si="28"/>
        <v>1.8744037053212446</v>
      </c>
      <c r="G2305" s="408">
        <v>533.50300000000004</v>
      </c>
      <c r="H2305" s="413" t="s">
        <v>173</v>
      </c>
      <c r="I2305" s="413" t="s">
        <v>2959</v>
      </c>
      <c r="J2305" s="243" t="s">
        <v>96</v>
      </c>
      <c r="K2305" s="243" t="s">
        <v>1137</v>
      </c>
      <c r="L2305" s="243" t="s">
        <v>153</v>
      </c>
      <c r="M2305" s="395"/>
      <c r="N2305" s="395"/>
    </row>
    <row r="2306" spans="1:14" ht="15.6" hidden="1">
      <c r="A2306" s="420">
        <v>45910</v>
      </c>
      <c r="B2306" s="413" t="s">
        <v>4876</v>
      </c>
      <c r="C2306" s="413" t="s">
        <v>172</v>
      </c>
      <c r="D2306" s="177" t="s">
        <v>440</v>
      </c>
      <c r="E2306" s="413">
        <v>1000</v>
      </c>
      <c r="F2306" s="407">
        <f t="shared" si="28"/>
        <v>1.8744037053212446</v>
      </c>
      <c r="G2306" s="408">
        <v>533.50300000000004</v>
      </c>
      <c r="H2306" s="413" t="s">
        <v>173</v>
      </c>
      <c r="I2306" s="413" t="s">
        <v>2959</v>
      </c>
      <c r="J2306" s="243" t="s">
        <v>96</v>
      </c>
      <c r="K2306" s="243" t="s">
        <v>1137</v>
      </c>
      <c r="L2306" s="243" t="s">
        <v>153</v>
      </c>
      <c r="M2306" s="395"/>
      <c r="N2306" s="395"/>
    </row>
    <row r="2307" spans="1:14" ht="15.6" hidden="1">
      <c r="A2307" s="420">
        <v>45910</v>
      </c>
      <c r="B2307" s="413" t="s">
        <v>4917</v>
      </c>
      <c r="C2307" s="413" t="s">
        <v>172</v>
      </c>
      <c r="D2307" s="177" t="s">
        <v>440</v>
      </c>
      <c r="E2307" s="413">
        <v>1000</v>
      </c>
      <c r="F2307" s="407">
        <f t="shared" si="28"/>
        <v>1.8744037053212446</v>
      </c>
      <c r="G2307" s="408">
        <v>533.50300000000004</v>
      </c>
      <c r="H2307" s="413" t="s">
        <v>173</v>
      </c>
      <c r="I2307" s="413" t="s">
        <v>2959</v>
      </c>
      <c r="J2307" s="243" t="s">
        <v>96</v>
      </c>
      <c r="K2307" s="243" t="s">
        <v>1137</v>
      </c>
      <c r="L2307" s="243" t="s">
        <v>153</v>
      </c>
      <c r="M2307" s="395"/>
      <c r="N2307" s="395"/>
    </row>
    <row r="2308" spans="1:14" ht="15.6" hidden="1">
      <c r="A2308" s="420">
        <v>45910</v>
      </c>
      <c r="B2308" s="413" t="s">
        <v>4876</v>
      </c>
      <c r="C2308" s="413" t="s">
        <v>172</v>
      </c>
      <c r="D2308" s="177" t="s">
        <v>440</v>
      </c>
      <c r="E2308" s="413">
        <v>1000</v>
      </c>
      <c r="F2308" s="407">
        <f t="shared" si="28"/>
        <v>1.8744037053212446</v>
      </c>
      <c r="G2308" s="408">
        <v>533.50300000000004</v>
      </c>
      <c r="H2308" s="413" t="s">
        <v>173</v>
      </c>
      <c r="I2308" s="413" t="s">
        <v>2959</v>
      </c>
      <c r="J2308" s="243" t="s">
        <v>96</v>
      </c>
      <c r="K2308" s="243" t="s">
        <v>1137</v>
      </c>
      <c r="L2308" s="243" t="s">
        <v>153</v>
      </c>
      <c r="M2308" s="395"/>
      <c r="N2308" s="395"/>
    </row>
    <row r="2309" spans="1:14" ht="15.6" hidden="1">
      <c r="A2309" s="420">
        <v>45910</v>
      </c>
      <c r="B2309" s="413" t="s">
        <v>4876</v>
      </c>
      <c r="C2309" s="413" t="s">
        <v>172</v>
      </c>
      <c r="D2309" s="177" t="s">
        <v>440</v>
      </c>
      <c r="E2309" s="413">
        <v>1000</v>
      </c>
      <c r="F2309" s="407">
        <f t="shared" si="28"/>
        <v>1.8744037053212446</v>
      </c>
      <c r="G2309" s="408">
        <v>533.50300000000004</v>
      </c>
      <c r="H2309" s="413" t="s">
        <v>173</v>
      </c>
      <c r="I2309" s="413" t="s">
        <v>2959</v>
      </c>
      <c r="J2309" s="243" t="s">
        <v>96</v>
      </c>
      <c r="K2309" s="243" t="s">
        <v>1137</v>
      </c>
      <c r="L2309" s="243" t="s">
        <v>153</v>
      </c>
      <c r="M2309" s="395"/>
      <c r="N2309" s="395"/>
    </row>
    <row r="2310" spans="1:14" ht="15.6" hidden="1">
      <c r="A2310" s="420">
        <v>45910</v>
      </c>
      <c r="B2310" s="413" t="s">
        <v>4876</v>
      </c>
      <c r="C2310" s="413" t="s">
        <v>172</v>
      </c>
      <c r="D2310" s="177" t="s">
        <v>440</v>
      </c>
      <c r="E2310" s="413">
        <v>1000</v>
      </c>
      <c r="F2310" s="407">
        <f t="shared" si="28"/>
        <v>1.8744037053212446</v>
      </c>
      <c r="G2310" s="408">
        <v>533.50300000000004</v>
      </c>
      <c r="H2310" s="413" t="s">
        <v>173</v>
      </c>
      <c r="I2310" s="413" t="s">
        <v>2959</v>
      </c>
      <c r="J2310" s="243" t="s">
        <v>96</v>
      </c>
      <c r="K2310" s="243" t="s">
        <v>1137</v>
      </c>
      <c r="L2310" s="243" t="s">
        <v>153</v>
      </c>
      <c r="M2310" s="395"/>
      <c r="N2310" s="395"/>
    </row>
    <row r="2311" spans="1:14" ht="15.6" hidden="1">
      <c r="A2311" s="420">
        <v>45910</v>
      </c>
      <c r="B2311" s="413" t="s">
        <v>2954</v>
      </c>
      <c r="C2311" s="413" t="s">
        <v>366</v>
      </c>
      <c r="D2311" s="177" t="s">
        <v>440</v>
      </c>
      <c r="E2311" s="413">
        <v>2000</v>
      </c>
      <c r="F2311" s="407">
        <f t="shared" si="28"/>
        <v>3.7488074106424891</v>
      </c>
      <c r="G2311" s="408">
        <v>533.50300000000004</v>
      </c>
      <c r="H2311" s="413" t="s">
        <v>173</v>
      </c>
      <c r="I2311" s="413" t="s">
        <v>2963</v>
      </c>
      <c r="J2311" s="243" t="s">
        <v>96</v>
      </c>
      <c r="K2311" s="243" t="s">
        <v>1137</v>
      </c>
      <c r="L2311" s="243" t="s">
        <v>153</v>
      </c>
      <c r="M2311" s="395"/>
      <c r="N2311" s="395"/>
    </row>
    <row r="2312" spans="1:14" ht="15.6" hidden="1">
      <c r="A2312" s="420">
        <v>45910</v>
      </c>
      <c r="B2312" s="413" t="s">
        <v>4762</v>
      </c>
      <c r="C2312" s="413" t="s">
        <v>175</v>
      </c>
      <c r="D2312" s="177" t="s">
        <v>440</v>
      </c>
      <c r="E2312" s="413">
        <v>30000</v>
      </c>
      <c r="F2312" s="407">
        <f t="shared" si="28"/>
        <v>56.232111159637334</v>
      </c>
      <c r="G2312" s="408">
        <v>533.50300000000004</v>
      </c>
      <c r="H2312" s="413" t="s">
        <v>315</v>
      </c>
      <c r="I2312" s="243" t="s">
        <v>2985</v>
      </c>
      <c r="J2312" s="243" t="s">
        <v>96</v>
      </c>
      <c r="K2312" s="243" t="s">
        <v>1137</v>
      </c>
      <c r="L2312" s="243" t="s">
        <v>153</v>
      </c>
      <c r="M2312" s="327"/>
      <c r="N2312" s="327"/>
    </row>
    <row r="2313" spans="1:14" ht="15.6" hidden="1">
      <c r="A2313" s="420">
        <v>45910</v>
      </c>
      <c r="B2313" s="413" t="s">
        <v>4888</v>
      </c>
      <c r="C2313" s="413" t="s">
        <v>172</v>
      </c>
      <c r="D2313" s="177" t="s">
        <v>440</v>
      </c>
      <c r="E2313" s="413">
        <v>500</v>
      </c>
      <c r="F2313" s="407">
        <f t="shared" si="28"/>
        <v>0.93720185266062228</v>
      </c>
      <c r="G2313" s="408">
        <v>533.50300000000004</v>
      </c>
      <c r="H2313" s="413" t="s">
        <v>315</v>
      </c>
      <c r="I2313" s="413" t="s">
        <v>2976</v>
      </c>
      <c r="J2313" s="243" t="s">
        <v>96</v>
      </c>
      <c r="K2313" s="243" t="s">
        <v>1137</v>
      </c>
      <c r="L2313" s="243" t="s">
        <v>153</v>
      </c>
      <c r="M2313" s="327"/>
      <c r="N2313" s="327"/>
    </row>
    <row r="2314" spans="1:14" ht="15.6" hidden="1">
      <c r="A2314" s="420">
        <v>45910</v>
      </c>
      <c r="B2314" s="413" t="s">
        <v>4949</v>
      </c>
      <c r="C2314" s="413" t="s">
        <v>172</v>
      </c>
      <c r="D2314" s="177" t="s">
        <v>440</v>
      </c>
      <c r="E2314" s="413">
        <v>7000</v>
      </c>
      <c r="F2314" s="407">
        <f t="shared" si="28"/>
        <v>13.120825937248712</v>
      </c>
      <c r="G2314" s="408">
        <v>533.50300000000004</v>
      </c>
      <c r="H2314" s="413" t="s">
        <v>315</v>
      </c>
      <c r="I2314" s="243" t="s">
        <v>2985</v>
      </c>
      <c r="J2314" s="243" t="s">
        <v>96</v>
      </c>
      <c r="K2314" s="243" t="s">
        <v>1137</v>
      </c>
      <c r="L2314" s="243" t="s">
        <v>153</v>
      </c>
      <c r="M2314" s="327"/>
      <c r="N2314" s="327"/>
    </row>
    <row r="2315" spans="1:14" ht="15.6" hidden="1">
      <c r="A2315" s="420">
        <v>45910</v>
      </c>
      <c r="B2315" s="413" t="s">
        <v>4876</v>
      </c>
      <c r="C2315" s="413" t="s">
        <v>172</v>
      </c>
      <c r="D2315" s="177" t="s">
        <v>440</v>
      </c>
      <c r="E2315" s="413">
        <v>2500</v>
      </c>
      <c r="F2315" s="407">
        <f t="shared" si="28"/>
        <v>4.6860092633031112</v>
      </c>
      <c r="G2315" s="408">
        <v>533.50300000000004</v>
      </c>
      <c r="H2315" s="413" t="s">
        <v>315</v>
      </c>
      <c r="I2315" s="413" t="s">
        <v>2976</v>
      </c>
      <c r="J2315" s="243" t="s">
        <v>96</v>
      </c>
      <c r="K2315" s="243" t="s">
        <v>1137</v>
      </c>
      <c r="L2315" s="243" t="s">
        <v>153</v>
      </c>
      <c r="M2315" s="327"/>
      <c r="N2315" s="327"/>
    </row>
    <row r="2316" spans="1:14" ht="15.6" hidden="1">
      <c r="A2316" s="420">
        <v>45910</v>
      </c>
      <c r="B2316" s="413" t="s">
        <v>4950</v>
      </c>
      <c r="C2316" s="413" t="s">
        <v>172</v>
      </c>
      <c r="D2316" s="177" t="s">
        <v>440</v>
      </c>
      <c r="E2316" s="416">
        <v>1000</v>
      </c>
      <c r="F2316" s="407">
        <f t="shared" si="28"/>
        <v>1.8744037053212446</v>
      </c>
      <c r="G2316" s="408">
        <v>533.50300000000004</v>
      </c>
      <c r="H2316" s="413" t="s">
        <v>321</v>
      </c>
      <c r="I2316" s="413" t="s">
        <v>2994</v>
      </c>
      <c r="J2316" s="243" t="s">
        <v>96</v>
      </c>
      <c r="K2316" s="243" t="s">
        <v>1137</v>
      </c>
      <c r="L2316" s="243" t="s">
        <v>153</v>
      </c>
      <c r="M2316" s="327"/>
      <c r="N2316" s="327"/>
    </row>
    <row r="2317" spans="1:14" ht="15.6" hidden="1">
      <c r="A2317" s="420">
        <v>45910</v>
      </c>
      <c r="B2317" s="413" t="s">
        <v>4951</v>
      </c>
      <c r="C2317" s="413" t="s">
        <v>172</v>
      </c>
      <c r="D2317" s="177" t="s">
        <v>440</v>
      </c>
      <c r="E2317" s="416">
        <v>1000</v>
      </c>
      <c r="F2317" s="407">
        <f t="shared" si="28"/>
        <v>1.8744037053212446</v>
      </c>
      <c r="G2317" s="408">
        <v>533.50300000000004</v>
      </c>
      <c r="H2317" s="413" t="s">
        <v>321</v>
      </c>
      <c r="I2317" s="413" t="s">
        <v>2994</v>
      </c>
      <c r="J2317" s="243" t="s">
        <v>96</v>
      </c>
      <c r="K2317" s="243" t="s">
        <v>1137</v>
      </c>
      <c r="L2317" s="243" t="s">
        <v>153</v>
      </c>
      <c r="M2317" s="327"/>
      <c r="N2317" s="327"/>
    </row>
    <row r="2318" spans="1:14" ht="15.6" hidden="1">
      <c r="A2318" s="420">
        <v>45910</v>
      </c>
      <c r="B2318" s="413" t="s">
        <v>4907</v>
      </c>
      <c r="C2318" s="413" t="s">
        <v>172</v>
      </c>
      <c r="D2318" s="177" t="s">
        <v>440</v>
      </c>
      <c r="E2318" s="416">
        <v>1000</v>
      </c>
      <c r="F2318" s="407">
        <f t="shared" si="28"/>
        <v>1.8744037053212446</v>
      </c>
      <c r="G2318" s="408">
        <v>533.50300000000004</v>
      </c>
      <c r="H2318" s="413" t="s">
        <v>321</v>
      </c>
      <c r="I2318" s="413" t="s">
        <v>2994</v>
      </c>
      <c r="J2318" s="243" t="s">
        <v>96</v>
      </c>
      <c r="K2318" s="243" t="s">
        <v>1137</v>
      </c>
      <c r="L2318" s="243" t="s">
        <v>153</v>
      </c>
      <c r="M2318" s="327"/>
      <c r="N2318" s="327"/>
    </row>
    <row r="2319" spans="1:14" ht="15.6" hidden="1">
      <c r="A2319" s="415">
        <v>45910</v>
      </c>
      <c r="B2319" s="413" t="s">
        <v>3040</v>
      </c>
      <c r="C2319" s="243" t="s">
        <v>172</v>
      </c>
      <c r="D2319" s="243" t="s">
        <v>115</v>
      </c>
      <c r="E2319" s="412">
        <v>1000</v>
      </c>
      <c r="F2319" s="407">
        <f t="shared" si="28"/>
        <v>1.8744037053212446</v>
      </c>
      <c r="G2319" s="408">
        <v>533.50300000000004</v>
      </c>
      <c r="H2319" s="243" t="s">
        <v>191</v>
      </c>
      <c r="I2319" s="413" t="s">
        <v>3052</v>
      </c>
      <c r="J2319" s="243" t="s">
        <v>96</v>
      </c>
      <c r="K2319" s="243" t="s">
        <v>1137</v>
      </c>
      <c r="L2319" s="243" t="s">
        <v>153</v>
      </c>
      <c r="M2319" s="76"/>
      <c r="N2319" s="76"/>
    </row>
    <row r="2320" spans="1:14" ht="15.6" hidden="1">
      <c r="A2320" s="415">
        <v>45910</v>
      </c>
      <c r="B2320" s="413" t="s">
        <v>2597</v>
      </c>
      <c r="C2320" s="243" t="s">
        <v>172</v>
      </c>
      <c r="D2320" s="243" t="s">
        <v>115</v>
      </c>
      <c r="E2320" s="412">
        <v>1000</v>
      </c>
      <c r="F2320" s="407">
        <f t="shared" si="28"/>
        <v>1.8744037053212446</v>
      </c>
      <c r="G2320" s="408">
        <v>533.50300000000004</v>
      </c>
      <c r="H2320" s="243" t="s">
        <v>191</v>
      </c>
      <c r="I2320" s="413" t="s">
        <v>3052</v>
      </c>
      <c r="J2320" s="243" t="s">
        <v>96</v>
      </c>
      <c r="K2320" s="243" t="s">
        <v>1137</v>
      </c>
      <c r="L2320" s="243" t="s">
        <v>153</v>
      </c>
      <c r="M2320" s="76"/>
      <c r="N2320" s="76"/>
    </row>
    <row r="2321" spans="1:14" ht="15.6" hidden="1">
      <c r="A2321" s="420">
        <v>45910</v>
      </c>
      <c r="B2321" s="413" t="s">
        <v>3171</v>
      </c>
      <c r="C2321" s="413" t="s">
        <v>172</v>
      </c>
      <c r="D2321" s="413" t="s">
        <v>115</v>
      </c>
      <c r="E2321" s="413">
        <v>500</v>
      </c>
      <c r="F2321" s="407">
        <f t="shared" si="28"/>
        <v>0.93720185266062228</v>
      </c>
      <c r="G2321" s="408">
        <v>533.50300000000004</v>
      </c>
      <c r="H2321" s="413" t="s">
        <v>185</v>
      </c>
      <c r="I2321" s="413" t="s">
        <v>3185</v>
      </c>
      <c r="J2321" s="243" t="s">
        <v>96</v>
      </c>
      <c r="K2321" s="243" t="s">
        <v>1137</v>
      </c>
      <c r="L2321" s="243" t="s">
        <v>153</v>
      </c>
      <c r="M2321" s="76"/>
      <c r="N2321" s="76"/>
    </row>
    <row r="2322" spans="1:14" ht="15.6" hidden="1">
      <c r="A2322" s="420">
        <v>45910</v>
      </c>
      <c r="B2322" s="413" t="s">
        <v>2717</v>
      </c>
      <c r="C2322" s="413" t="s">
        <v>172</v>
      </c>
      <c r="D2322" s="413" t="s">
        <v>115</v>
      </c>
      <c r="E2322" s="413">
        <v>500</v>
      </c>
      <c r="F2322" s="407">
        <f t="shared" si="28"/>
        <v>0.93720185266062228</v>
      </c>
      <c r="G2322" s="408">
        <v>533.50300000000004</v>
      </c>
      <c r="H2322" s="413" t="s">
        <v>185</v>
      </c>
      <c r="I2322" s="413" t="s">
        <v>3185</v>
      </c>
      <c r="J2322" s="243" t="s">
        <v>96</v>
      </c>
      <c r="K2322" s="243" t="s">
        <v>1137</v>
      </c>
      <c r="L2322" s="243" t="s">
        <v>153</v>
      </c>
      <c r="M2322" s="76"/>
      <c r="N2322" s="76"/>
    </row>
    <row r="2323" spans="1:14" ht="15.6" hidden="1">
      <c r="A2323" s="420">
        <v>45910</v>
      </c>
      <c r="B2323" s="413" t="s">
        <v>3172</v>
      </c>
      <c r="C2323" s="413" t="s">
        <v>172</v>
      </c>
      <c r="D2323" s="413" t="s">
        <v>115</v>
      </c>
      <c r="E2323" s="413">
        <v>1000</v>
      </c>
      <c r="F2323" s="407">
        <f t="shared" si="28"/>
        <v>1.8744037053212446</v>
      </c>
      <c r="G2323" s="408">
        <v>533.50300000000004</v>
      </c>
      <c r="H2323" s="413" t="s">
        <v>185</v>
      </c>
      <c r="I2323" s="413" t="s">
        <v>3185</v>
      </c>
      <c r="J2323" s="243" t="s">
        <v>96</v>
      </c>
      <c r="K2323" s="243" t="s">
        <v>1137</v>
      </c>
      <c r="L2323" s="243" t="s">
        <v>153</v>
      </c>
      <c r="M2323" s="76"/>
      <c r="N2323" s="76"/>
    </row>
    <row r="2324" spans="1:14" ht="15.6" hidden="1">
      <c r="A2324" s="420">
        <v>45910</v>
      </c>
      <c r="B2324" s="413" t="s">
        <v>3173</v>
      </c>
      <c r="C2324" s="413" t="s">
        <v>172</v>
      </c>
      <c r="D2324" s="413" t="s">
        <v>115</v>
      </c>
      <c r="E2324" s="413">
        <v>1000</v>
      </c>
      <c r="F2324" s="407">
        <f t="shared" si="28"/>
        <v>1.8744037053212446</v>
      </c>
      <c r="G2324" s="408">
        <v>533.50300000000004</v>
      </c>
      <c r="H2324" s="413" t="s">
        <v>185</v>
      </c>
      <c r="I2324" s="413" t="s">
        <v>3185</v>
      </c>
      <c r="J2324" s="243" t="s">
        <v>96</v>
      </c>
      <c r="K2324" s="243" t="s">
        <v>1137</v>
      </c>
      <c r="L2324" s="243" t="s">
        <v>153</v>
      </c>
      <c r="M2324" s="76"/>
      <c r="N2324" s="76"/>
    </row>
    <row r="2325" spans="1:14" ht="15.6" hidden="1">
      <c r="A2325" s="420">
        <v>45910</v>
      </c>
      <c r="B2325" s="413" t="s">
        <v>3174</v>
      </c>
      <c r="C2325" s="413" t="s">
        <v>172</v>
      </c>
      <c r="D2325" s="413" t="s">
        <v>115</v>
      </c>
      <c r="E2325" s="413">
        <v>500</v>
      </c>
      <c r="F2325" s="407">
        <f t="shared" si="28"/>
        <v>0.93720185266062228</v>
      </c>
      <c r="G2325" s="408">
        <v>533.50300000000004</v>
      </c>
      <c r="H2325" s="413" t="s">
        <v>185</v>
      </c>
      <c r="I2325" s="413" t="s">
        <v>3185</v>
      </c>
      <c r="J2325" s="243" t="s">
        <v>96</v>
      </c>
      <c r="K2325" s="243" t="s">
        <v>1137</v>
      </c>
      <c r="L2325" s="243" t="s">
        <v>153</v>
      </c>
      <c r="M2325" s="76"/>
      <c r="N2325" s="76"/>
    </row>
    <row r="2326" spans="1:14" ht="15.6" hidden="1">
      <c r="A2326" s="420">
        <v>45910</v>
      </c>
      <c r="B2326" s="413" t="s">
        <v>2717</v>
      </c>
      <c r="C2326" s="413" t="s">
        <v>172</v>
      </c>
      <c r="D2326" s="413" t="s">
        <v>115</v>
      </c>
      <c r="E2326" s="413">
        <v>500</v>
      </c>
      <c r="F2326" s="407">
        <f t="shared" si="28"/>
        <v>0.93720185266062228</v>
      </c>
      <c r="G2326" s="408">
        <v>533.50300000000004</v>
      </c>
      <c r="H2326" s="413" t="s">
        <v>185</v>
      </c>
      <c r="I2326" s="413" t="s">
        <v>3185</v>
      </c>
      <c r="J2326" s="243" t="s">
        <v>96</v>
      </c>
      <c r="K2326" s="243" t="s">
        <v>1137</v>
      </c>
      <c r="L2326" s="243" t="s">
        <v>153</v>
      </c>
      <c r="M2326" s="76"/>
      <c r="N2326" s="76"/>
    </row>
    <row r="2327" spans="1:14" ht="15.6" hidden="1">
      <c r="A2327" s="415">
        <v>45910</v>
      </c>
      <c r="B2327" s="243" t="s">
        <v>3175</v>
      </c>
      <c r="C2327" s="413" t="s">
        <v>180</v>
      </c>
      <c r="D2327" s="413" t="s">
        <v>116</v>
      </c>
      <c r="E2327" s="412">
        <v>7860</v>
      </c>
      <c r="F2327" s="407">
        <f t="shared" si="28"/>
        <v>14.732813123824982</v>
      </c>
      <c r="G2327" s="408">
        <v>533.50300000000004</v>
      </c>
      <c r="H2327" s="413" t="s">
        <v>185</v>
      </c>
      <c r="I2327" s="243" t="s">
        <v>3188</v>
      </c>
      <c r="J2327" s="243" t="s">
        <v>96</v>
      </c>
      <c r="K2327" s="243" t="s">
        <v>1137</v>
      </c>
      <c r="L2327" s="243" t="s">
        <v>153</v>
      </c>
      <c r="M2327" s="76"/>
      <c r="N2327" s="76"/>
    </row>
    <row r="2328" spans="1:14" ht="15.6" hidden="1">
      <c r="A2328" s="420">
        <v>45911</v>
      </c>
      <c r="B2328" s="413" t="s">
        <v>2103</v>
      </c>
      <c r="C2328" s="406" t="s">
        <v>172</v>
      </c>
      <c r="D2328" s="406" t="s">
        <v>117</v>
      </c>
      <c r="E2328" s="346">
        <v>1000</v>
      </c>
      <c r="F2328" s="407">
        <f t="shared" si="28"/>
        <v>1.8744037053212446</v>
      </c>
      <c r="G2328" s="408">
        <v>533.50300000000004</v>
      </c>
      <c r="H2328" s="409" t="s">
        <v>151</v>
      </c>
      <c r="I2328" s="413" t="s">
        <v>2824</v>
      </c>
      <c r="J2328" s="243" t="s">
        <v>96</v>
      </c>
      <c r="K2328" s="243" t="s">
        <v>1137</v>
      </c>
      <c r="L2328" s="243" t="s">
        <v>153</v>
      </c>
      <c r="M2328" s="327"/>
      <c r="N2328" s="327"/>
    </row>
    <row r="2329" spans="1:14" ht="15.6" hidden="1">
      <c r="A2329" s="420">
        <v>45911</v>
      </c>
      <c r="B2329" s="413" t="s">
        <v>2387</v>
      </c>
      <c r="C2329" s="406" t="s">
        <v>172</v>
      </c>
      <c r="D2329" s="406" t="s">
        <v>117</v>
      </c>
      <c r="E2329" s="346">
        <v>1000</v>
      </c>
      <c r="F2329" s="407">
        <f t="shared" si="28"/>
        <v>1.8744037053212446</v>
      </c>
      <c r="G2329" s="408">
        <v>533.50300000000004</v>
      </c>
      <c r="H2329" s="409" t="s">
        <v>151</v>
      </c>
      <c r="I2329" s="413" t="s">
        <v>2824</v>
      </c>
      <c r="J2329" s="243" t="s">
        <v>96</v>
      </c>
      <c r="K2329" s="243" t="s">
        <v>1137</v>
      </c>
      <c r="L2329" s="243" t="s">
        <v>153</v>
      </c>
      <c r="M2329" s="327"/>
      <c r="N2329" s="327"/>
    </row>
    <row r="2330" spans="1:14" ht="15.6" hidden="1">
      <c r="A2330" s="418">
        <v>45911</v>
      </c>
      <c r="B2330" s="213" t="s">
        <v>2837</v>
      </c>
      <c r="C2330" s="213" t="s">
        <v>172</v>
      </c>
      <c r="D2330" s="329" t="s">
        <v>115</v>
      </c>
      <c r="E2330" s="419">
        <v>500</v>
      </c>
      <c r="F2330" s="407">
        <f t="shared" si="28"/>
        <v>0.93720185266062228</v>
      </c>
      <c r="G2330" s="408">
        <v>533.50300000000004</v>
      </c>
      <c r="H2330" s="172" t="s">
        <v>198</v>
      </c>
      <c r="I2330" s="213" t="s">
        <v>2859</v>
      </c>
      <c r="J2330" s="243" t="s">
        <v>96</v>
      </c>
      <c r="K2330" s="243" t="s">
        <v>1137</v>
      </c>
      <c r="L2330" s="243" t="s">
        <v>153</v>
      </c>
      <c r="M2330" s="327"/>
      <c r="N2330" s="327"/>
    </row>
    <row r="2331" spans="1:14" ht="15.6" hidden="1">
      <c r="A2331" s="418">
        <v>45911</v>
      </c>
      <c r="B2331" s="213" t="s">
        <v>2838</v>
      </c>
      <c r="C2331" s="213" t="s">
        <v>172</v>
      </c>
      <c r="D2331" s="329" t="s">
        <v>115</v>
      </c>
      <c r="E2331" s="419">
        <v>500</v>
      </c>
      <c r="F2331" s="407">
        <f t="shared" si="28"/>
        <v>0.93720185266062228</v>
      </c>
      <c r="G2331" s="408">
        <v>533.50300000000004</v>
      </c>
      <c r="H2331" s="172" t="s">
        <v>198</v>
      </c>
      <c r="I2331" s="213" t="s">
        <v>2859</v>
      </c>
      <c r="J2331" s="243" t="s">
        <v>96</v>
      </c>
      <c r="K2331" s="243" t="s">
        <v>1137</v>
      </c>
      <c r="L2331" s="243" t="s">
        <v>153</v>
      </c>
      <c r="M2331" s="327"/>
      <c r="N2331" s="327"/>
    </row>
    <row r="2332" spans="1:14" ht="15.6" hidden="1">
      <c r="A2332" s="418">
        <v>45911</v>
      </c>
      <c r="B2332" s="419" t="s">
        <v>4917</v>
      </c>
      <c r="C2332" s="419" t="s">
        <v>172</v>
      </c>
      <c r="D2332" s="177" t="s">
        <v>440</v>
      </c>
      <c r="E2332" s="419">
        <v>1000</v>
      </c>
      <c r="F2332" s="407">
        <f t="shared" si="28"/>
        <v>1.8744037053212446</v>
      </c>
      <c r="G2332" s="408">
        <v>533.50300000000004</v>
      </c>
      <c r="H2332" s="419" t="s">
        <v>182</v>
      </c>
      <c r="I2332" s="419" t="s">
        <v>2936</v>
      </c>
      <c r="J2332" s="243" t="s">
        <v>96</v>
      </c>
      <c r="K2332" s="243" t="s">
        <v>1137</v>
      </c>
      <c r="L2332" s="243" t="s">
        <v>153</v>
      </c>
      <c r="M2332" s="395"/>
      <c r="N2332" s="395"/>
    </row>
    <row r="2333" spans="1:14" ht="15.6" hidden="1">
      <c r="A2333" s="418">
        <v>45911</v>
      </c>
      <c r="B2333" s="419" t="s">
        <v>4917</v>
      </c>
      <c r="C2333" s="419" t="s">
        <v>172</v>
      </c>
      <c r="D2333" s="177" t="s">
        <v>440</v>
      </c>
      <c r="E2333" s="419">
        <v>1000</v>
      </c>
      <c r="F2333" s="407">
        <f t="shared" si="28"/>
        <v>1.8744037053212446</v>
      </c>
      <c r="G2333" s="408">
        <v>533.50300000000004</v>
      </c>
      <c r="H2333" s="419" t="s">
        <v>182</v>
      </c>
      <c r="I2333" s="419" t="s">
        <v>2936</v>
      </c>
      <c r="J2333" s="243" t="s">
        <v>96</v>
      </c>
      <c r="K2333" s="243" t="s">
        <v>1137</v>
      </c>
      <c r="L2333" s="243" t="s">
        <v>153</v>
      </c>
      <c r="M2333" s="395"/>
      <c r="N2333" s="395"/>
    </row>
    <row r="2334" spans="1:14" ht="15.6" hidden="1">
      <c r="A2334" s="418">
        <v>45911</v>
      </c>
      <c r="B2334" s="419" t="s">
        <v>4917</v>
      </c>
      <c r="C2334" s="419" t="s">
        <v>172</v>
      </c>
      <c r="D2334" s="177" t="s">
        <v>440</v>
      </c>
      <c r="E2334" s="419">
        <v>1000</v>
      </c>
      <c r="F2334" s="407">
        <f t="shared" si="28"/>
        <v>1.8744037053212446</v>
      </c>
      <c r="G2334" s="408">
        <v>533.50300000000004</v>
      </c>
      <c r="H2334" s="419" t="s">
        <v>182</v>
      </c>
      <c r="I2334" s="419" t="s">
        <v>2936</v>
      </c>
      <c r="J2334" s="243" t="s">
        <v>96</v>
      </c>
      <c r="K2334" s="243" t="s">
        <v>1137</v>
      </c>
      <c r="L2334" s="243" t="s">
        <v>153</v>
      </c>
      <c r="M2334" s="395"/>
      <c r="N2334" s="395"/>
    </row>
    <row r="2335" spans="1:14" ht="15.6" hidden="1">
      <c r="A2335" s="418">
        <v>45911</v>
      </c>
      <c r="B2335" s="419" t="s">
        <v>4917</v>
      </c>
      <c r="C2335" s="419" t="s">
        <v>172</v>
      </c>
      <c r="D2335" s="177" t="s">
        <v>440</v>
      </c>
      <c r="E2335" s="419">
        <v>1000</v>
      </c>
      <c r="F2335" s="407">
        <f t="shared" si="28"/>
        <v>1.8744037053212446</v>
      </c>
      <c r="G2335" s="408">
        <v>533.50300000000004</v>
      </c>
      <c r="H2335" s="419" t="s">
        <v>182</v>
      </c>
      <c r="I2335" s="419" t="s">
        <v>2936</v>
      </c>
      <c r="J2335" s="243" t="s">
        <v>96</v>
      </c>
      <c r="K2335" s="243" t="s">
        <v>1137</v>
      </c>
      <c r="L2335" s="243" t="s">
        <v>153</v>
      </c>
      <c r="M2335" s="395"/>
      <c r="N2335" s="395"/>
    </row>
    <row r="2336" spans="1:14" ht="15.6" hidden="1">
      <c r="A2336" s="418">
        <v>45911</v>
      </c>
      <c r="B2336" s="419" t="s">
        <v>4917</v>
      </c>
      <c r="C2336" s="419" t="s">
        <v>172</v>
      </c>
      <c r="D2336" s="177" t="s">
        <v>440</v>
      </c>
      <c r="E2336" s="419">
        <v>1000</v>
      </c>
      <c r="F2336" s="407">
        <f t="shared" si="28"/>
        <v>1.8744037053212446</v>
      </c>
      <c r="G2336" s="408">
        <v>533.50300000000004</v>
      </c>
      <c r="H2336" s="419" t="s">
        <v>182</v>
      </c>
      <c r="I2336" s="419" t="s">
        <v>2936</v>
      </c>
      <c r="J2336" s="243" t="s">
        <v>96</v>
      </c>
      <c r="K2336" s="243" t="s">
        <v>1137</v>
      </c>
      <c r="L2336" s="243" t="s">
        <v>153</v>
      </c>
      <c r="M2336" s="395"/>
      <c r="N2336" s="395"/>
    </row>
    <row r="2337" spans="1:14" ht="15.6" hidden="1">
      <c r="A2337" s="418">
        <v>45911</v>
      </c>
      <c r="B2337" s="419" t="s">
        <v>4917</v>
      </c>
      <c r="C2337" s="419" t="s">
        <v>172</v>
      </c>
      <c r="D2337" s="177" t="s">
        <v>440</v>
      </c>
      <c r="E2337" s="419">
        <v>1000</v>
      </c>
      <c r="F2337" s="407">
        <f t="shared" ref="F2337:F2400" si="29">E2337/G2337</f>
        <v>1.8744037053212446</v>
      </c>
      <c r="G2337" s="408">
        <v>533.50300000000004</v>
      </c>
      <c r="H2337" s="419" t="s">
        <v>182</v>
      </c>
      <c r="I2337" s="419" t="s">
        <v>2936</v>
      </c>
      <c r="J2337" s="243" t="s">
        <v>96</v>
      </c>
      <c r="K2337" s="243" t="s">
        <v>1137</v>
      </c>
      <c r="L2337" s="243" t="s">
        <v>153</v>
      </c>
      <c r="M2337" s="395"/>
      <c r="N2337" s="395"/>
    </row>
    <row r="2338" spans="1:14" ht="15.6" hidden="1">
      <c r="A2338" s="418">
        <v>45911</v>
      </c>
      <c r="B2338" s="419" t="s">
        <v>4917</v>
      </c>
      <c r="C2338" s="419" t="s">
        <v>172</v>
      </c>
      <c r="D2338" s="177" t="s">
        <v>440</v>
      </c>
      <c r="E2338" s="419">
        <v>1000</v>
      </c>
      <c r="F2338" s="407">
        <f t="shared" si="29"/>
        <v>1.8744037053212446</v>
      </c>
      <c r="G2338" s="408">
        <v>533.50300000000004</v>
      </c>
      <c r="H2338" s="419" t="s">
        <v>182</v>
      </c>
      <c r="I2338" s="419" t="s">
        <v>2936</v>
      </c>
      <c r="J2338" s="243" t="s">
        <v>96</v>
      </c>
      <c r="K2338" s="243" t="s">
        <v>1137</v>
      </c>
      <c r="L2338" s="243" t="s">
        <v>153</v>
      </c>
      <c r="M2338" s="395"/>
      <c r="N2338" s="395"/>
    </row>
    <row r="2339" spans="1:14" ht="15.6" hidden="1">
      <c r="A2339" s="420">
        <v>45911</v>
      </c>
      <c r="B2339" s="413" t="s">
        <v>4876</v>
      </c>
      <c r="C2339" s="413" t="s">
        <v>172</v>
      </c>
      <c r="D2339" s="177" t="s">
        <v>440</v>
      </c>
      <c r="E2339" s="413">
        <v>1000</v>
      </c>
      <c r="F2339" s="407">
        <f t="shared" si="29"/>
        <v>1.8744037053212446</v>
      </c>
      <c r="G2339" s="408">
        <v>533.50300000000004</v>
      </c>
      <c r="H2339" s="413" t="s">
        <v>173</v>
      </c>
      <c r="I2339" s="413" t="s">
        <v>2959</v>
      </c>
      <c r="J2339" s="243" t="s">
        <v>96</v>
      </c>
      <c r="K2339" s="243" t="s">
        <v>1137</v>
      </c>
      <c r="L2339" s="243" t="s">
        <v>153</v>
      </c>
      <c r="M2339" s="395"/>
      <c r="N2339" s="395"/>
    </row>
    <row r="2340" spans="1:14" ht="15.6" hidden="1">
      <c r="A2340" s="420">
        <v>45911</v>
      </c>
      <c r="B2340" s="413" t="s">
        <v>4876</v>
      </c>
      <c r="C2340" s="413" t="s">
        <v>172</v>
      </c>
      <c r="D2340" s="177" t="s">
        <v>440</v>
      </c>
      <c r="E2340" s="413">
        <v>1000</v>
      </c>
      <c r="F2340" s="407">
        <f t="shared" si="29"/>
        <v>1.8744037053212446</v>
      </c>
      <c r="G2340" s="408">
        <v>533.50300000000004</v>
      </c>
      <c r="H2340" s="413" t="s">
        <v>173</v>
      </c>
      <c r="I2340" s="413" t="s">
        <v>2959</v>
      </c>
      <c r="J2340" s="243" t="s">
        <v>96</v>
      </c>
      <c r="K2340" s="243" t="s">
        <v>1137</v>
      </c>
      <c r="L2340" s="243" t="s">
        <v>153</v>
      </c>
      <c r="M2340" s="395"/>
      <c r="N2340" s="395"/>
    </row>
    <row r="2341" spans="1:14" ht="15.6" hidden="1">
      <c r="A2341" s="420">
        <v>45911</v>
      </c>
      <c r="B2341" s="413" t="s">
        <v>4917</v>
      </c>
      <c r="C2341" s="413" t="s">
        <v>172</v>
      </c>
      <c r="D2341" s="177" t="s">
        <v>440</v>
      </c>
      <c r="E2341" s="413">
        <v>1000</v>
      </c>
      <c r="F2341" s="407">
        <f t="shared" si="29"/>
        <v>1.8744037053212446</v>
      </c>
      <c r="G2341" s="408">
        <v>533.50300000000004</v>
      </c>
      <c r="H2341" s="413" t="s">
        <v>173</v>
      </c>
      <c r="I2341" s="413" t="s">
        <v>2959</v>
      </c>
      <c r="J2341" s="243" t="s">
        <v>96</v>
      </c>
      <c r="K2341" s="243" t="s">
        <v>1137</v>
      </c>
      <c r="L2341" s="243" t="s">
        <v>153</v>
      </c>
      <c r="M2341" s="395"/>
      <c r="N2341" s="395"/>
    </row>
    <row r="2342" spans="1:14" ht="15.6" hidden="1">
      <c r="A2342" s="420">
        <v>45911</v>
      </c>
      <c r="B2342" s="413" t="s">
        <v>4876</v>
      </c>
      <c r="C2342" s="413" t="s">
        <v>172</v>
      </c>
      <c r="D2342" s="177" t="s">
        <v>440</v>
      </c>
      <c r="E2342" s="413">
        <v>1000</v>
      </c>
      <c r="F2342" s="407">
        <f t="shared" si="29"/>
        <v>1.8744037053212446</v>
      </c>
      <c r="G2342" s="408">
        <v>533.50300000000004</v>
      </c>
      <c r="H2342" s="413" t="s">
        <v>173</v>
      </c>
      <c r="I2342" s="413" t="s">
        <v>2959</v>
      </c>
      <c r="J2342" s="243" t="s">
        <v>96</v>
      </c>
      <c r="K2342" s="243" t="s">
        <v>1137</v>
      </c>
      <c r="L2342" s="243" t="s">
        <v>153</v>
      </c>
      <c r="M2342" s="395"/>
      <c r="N2342" s="395"/>
    </row>
    <row r="2343" spans="1:14" ht="15.6" hidden="1">
      <c r="A2343" s="420">
        <v>45911</v>
      </c>
      <c r="B2343" s="413" t="s">
        <v>4876</v>
      </c>
      <c r="C2343" s="413" t="s">
        <v>172</v>
      </c>
      <c r="D2343" s="177" t="s">
        <v>440</v>
      </c>
      <c r="E2343" s="413">
        <v>1000</v>
      </c>
      <c r="F2343" s="407">
        <f t="shared" si="29"/>
        <v>1.8744037053212446</v>
      </c>
      <c r="G2343" s="408">
        <v>533.50300000000004</v>
      </c>
      <c r="H2343" s="413" t="s">
        <v>173</v>
      </c>
      <c r="I2343" s="413" t="s">
        <v>2959</v>
      </c>
      <c r="J2343" s="243" t="s">
        <v>96</v>
      </c>
      <c r="K2343" s="243" t="s">
        <v>1137</v>
      </c>
      <c r="L2343" s="243" t="s">
        <v>153</v>
      </c>
      <c r="M2343" s="395"/>
      <c r="N2343" s="395"/>
    </row>
    <row r="2344" spans="1:14" ht="15.6" hidden="1">
      <c r="A2344" s="420">
        <v>45911</v>
      </c>
      <c r="B2344" s="413" t="s">
        <v>4876</v>
      </c>
      <c r="C2344" s="413" t="s">
        <v>172</v>
      </c>
      <c r="D2344" s="177" t="s">
        <v>440</v>
      </c>
      <c r="E2344" s="413">
        <v>1000</v>
      </c>
      <c r="F2344" s="407">
        <f t="shared" si="29"/>
        <v>1.8744037053212446</v>
      </c>
      <c r="G2344" s="408">
        <v>533.50300000000004</v>
      </c>
      <c r="H2344" s="413" t="s">
        <v>173</v>
      </c>
      <c r="I2344" s="413" t="s">
        <v>2959</v>
      </c>
      <c r="J2344" s="243" t="s">
        <v>96</v>
      </c>
      <c r="K2344" s="243" t="s">
        <v>1137</v>
      </c>
      <c r="L2344" s="243" t="s">
        <v>153</v>
      </c>
      <c r="M2344" s="395"/>
      <c r="N2344" s="395"/>
    </row>
    <row r="2345" spans="1:14" ht="15.6" hidden="1">
      <c r="A2345" s="420">
        <v>45911</v>
      </c>
      <c r="B2345" s="413" t="s">
        <v>4876</v>
      </c>
      <c r="C2345" s="413" t="s">
        <v>172</v>
      </c>
      <c r="D2345" s="177" t="s">
        <v>440</v>
      </c>
      <c r="E2345" s="413">
        <v>1000</v>
      </c>
      <c r="F2345" s="407">
        <f t="shared" si="29"/>
        <v>1.8744037053212446</v>
      </c>
      <c r="G2345" s="408">
        <v>533.50300000000004</v>
      </c>
      <c r="H2345" s="413" t="s">
        <v>173</v>
      </c>
      <c r="I2345" s="413" t="s">
        <v>2959</v>
      </c>
      <c r="J2345" s="243" t="s">
        <v>96</v>
      </c>
      <c r="K2345" s="243" t="s">
        <v>1137</v>
      </c>
      <c r="L2345" s="243" t="s">
        <v>153</v>
      </c>
      <c r="M2345" s="395"/>
      <c r="N2345" s="395"/>
    </row>
    <row r="2346" spans="1:14" ht="15.6" hidden="1">
      <c r="A2346" s="420">
        <v>45911</v>
      </c>
      <c r="B2346" s="413" t="s">
        <v>4876</v>
      </c>
      <c r="C2346" s="413" t="s">
        <v>172</v>
      </c>
      <c r="D2346" s="177" t="s">
        <v>440</v>
      </c>
      <c r="E2346" s="413">
        <v>1000</v>
      </c>
      <c r="F2346" s="407">
        <f t="shared" si="29"/>
        <v>1.8744037053212446</v>
      </c>
      <c r="G2346" s="408">
        <v>533.50300000000004</v>
      </c>
      <c r="H2346" s="413" t="s">
        <v>173</v>
      </c>
      <c r="I2346" s="413" t="s">
        <v>2959</v>
      </c>
      <c r="J2346" s="243" t="s">
        <v>96</v>
      </c>
      <c r="K2346" s="243" t="s">
        <v>1137</v>
      </c>
      <c r="L2346" s="243" t="s">
        <v>153</v>
      </c>
      <c r="M2346" s="395"/>
      <c r="N2346" s="395"/>
    </row>
    <row r="2347" spans="1:14" ht="15.6" hidden="1">
      <c r="A2347" s="415">
        <v>45911</v>
      </c>
      <c r="B2347" s="243" t="s">
        <v>4952</v>
      </c>
      <c r="C2347" s="243" t="s">
        <v>366</v>
      </c>
      <c r="D2347" s="177" t="s">
        <v>440</v>
      </c>
      <c r="E2347" s="243">
        <v>10500</v>
      </c>
      <c r="F2347" s="407">
        <f t="shared" si="29"/>
        <v>19.681238905873066</v>
      </c>
      <c r="G2347" s="408">
        <v>533.50300000000004</v>
      </c>
      <c r="H2347" s="243" t="s">
        <v>173</v>
      </c>
      <c r="I2347" s="413" t="s">
        <v>2963</v>
      </c>
      <c r="J2347" s="243" t="s">
        <v>96</v>
      </c>
      <c r="K2347" s="243" t="s">
        <v>1137</v>
      </c>
      <c r="L2347" s="243" t="s">
        <v>153</v>
      </c>
      <c r="M2347" s="395"/>
      <c r="N2347" s="395"/>
    </row>
    <row r="2348" spans="1:14" ht="15.6" hidden="1">
      <c r="A2348" s="415">
        <v>45911</v>
      </c>
      <c r="B2348" s="413" t="s">
        <v>3041</v>
      </c>
      <c r="C2348" s="243" t="s">
        <v>172</v>
      </c>
      <c r="D2348" s="243" t="s">
        <v>115</v>
      </c>
      <c r="E2348" s="412">
        <v>1000</v>
      </c>
      <c r="F2348" s="407">
        <f t="shared" si="29"/>
        <v>1.8744037053212446</v>
      </c>
      <c r="G2348" s="408">
        <v>533.50300000000004</v>
      </c>
      <c r="H2348" s="243" t="s">
        <v>191</v>
      </c>
      <c r="I2348" s="413" t="s">
        <v>3052</v>
      </c>
      <c r="J2348" s="243" t="s">
        <v>96</v>
      </c>
      <c r="K2348" s="243" t="s">
        <v>1137</v>
      </c>
      <c r="L2348" s="243" t="s">
        <v>153</v>
      </c>
      <c r="M2348" s="76"/>
      <c r="N2348" s="76"/>
    </row>
    <row r="2349" spans="1:14" ht="15.6" hidden="1">
      <c r="A2349" s="415">
        <v>45911</v>
      </c>
      <c r="B2349" s="413" t="s">
        <v>2597</v>
      </c>
      <c r="C2349" s="243" t="s">
        <v>172</v>
      </c>
      <c r="D2349" s="243" t="s">
        <v>115</v>
      </c>
      <c r="E2349" s="412">
        <v>1000</v>
      </c>
      <c r="F2349" s="407">
        <f t="shared" si="29"/>
        <v>1.8744037053212446</v>
      </c>
      <c r="G2349" s="408">
        <v>533.50300000000004</v>
      </c>
      <c r="H2349" s="243" t="s">
        <v>191</v>
      </c>
      <c r="I2349" s="413" t="s">
        <v>3052</v>
      </c>
      <c r="J2349" s="243" t="s">
        <v>96</v>
      </c>
      <c r="K2349" s="243" t="s">
        <v>1137</v>
      </c>
      <c r="L2349" s="243" t="s">
        <v>153</v>
      </c>
      <c r="M2349" s="76"/>
      <c r="N2349" s="76"/>
    </row>
    <row r="2350" spans="1:14" ht="15.6" hidden="1">
      <c r="A2350" s="405">
        <v>45911</v>
      </c>
      <c r="B2350" s="413" t="s">
        <v>3081</v>
      </c>
      <c r="C2350" s="346" t="s">
        <v>194</v>
      </c>
      <c r="D2350" s="346" t="s">
        <v>115</v>
      </c>
      <c r="E2350" s="416">
        <v>500</v>
      </c>
      <c r="F2350" s="407">
        <f t="shared" si="29"/>
        <v>0.93720185266062228</v>
      </c>
      <c r="G2350" s="408">
        <v>533.50300000000004</v>
      </c>
      <c r="H2350" s="252" t="s">
        <v>195</v>
      </c>
      <c r="I2350" s="413" t="s">
        <v>3101</v>
      </c>
      <c r="J2350" s="243" t="s">
        <v>96</v>
      </c>
      <c r="K2350" s="243" t="s">
        <v>1137</v>
      </c>
      <c r="L2350" s="243" t="s">
        <v>153</v>
      </c>
      <c r="M2350" s="76"/>
      <c r="N2350" s="76"/>
    </row>
    <row r="2351" spans="1:14" ht="15.6" hidden="1">
      <c r="A2351" s="405">
        <v>45911</v>
      </c>
      <c r="B2351" s="413" t="s">
        <v>3067</v>
      </c>
      <c r="C2351" s="346" t="s">
        <v>194</v>
      </c>
      <c r="D2351" s="346" t="s">
        <v>115</v>
      </c>
      <c r="E2351" s="416">
        <v>500</v>
      </c>
      <c r="F2351" s="407">
        <f t="shared" si="29"/>
        <v>0.93720185266062228</v>
      </c>
      <c r="G2351" s="408">
        <v>533.50300000000004</v>
      </c>
      <c r="H2351" s="252" t="s">
        <v>195</v>
      </c>
      <c r="I2351" s="413" t="s">
        <v>3101</v>
      </c>
      <c r="J2351" s="243" t="s">
        <v>96</v>
      </c>
      <c r="K2351" s="243" t="s">
        <v>1137</v>
      </c>
      <c r="L2351" s="243" t="s">
        <v>153</v>
      </c>
      <c r="M2351" s="76"/>
      <c r="N2351" s="76"/>
    </row>
    <row r="2352" spans="1:14" ht="15.6" hidden="1">
      <c r="A2352" s="405">
        <v>45911</v>
      </c>
      <c r="B2352" s="413" t="s">
        <v>3082</v>
      </c>
      <c r="C2352" s="346" t="s">
        <v>194</v>
      </c>
      <c r="D2352" s="346" t="s">
        <v>115</v>
      </c>
      <c r="E2352" s="416">
        <v>500</v>
      </c>
      <c r="F2352" s="407">
        <f t="shared" si="29"/>
        <v>0.93720185266062228</v>
      </c>
      <c r="G2352" s="408">
        <v>533.50300000000004</v>
      </c>
      <c r="H2352" s="252" t="s">
        <v>195</v>
      </c>
      <c r="I2352" s="413" t="s">
        <v>3101</v>
      </c>
      <c r="J2352" s="243" t="s">
        <v>96</v>
      </c>
      <c r="K2352" s="243" t="s">
        <v>1137</v>
      </c>
      <c r="L2352" s="243" t="s">
        <v>153</v>
      </c>
      <c r="M2352" s="76"/>
      <c r="N2352" s="76"/>
    </row>
    <row r="2353" spans="1:14" ht="15.6" hidden="1">
      <c r="A2353" s="405">
        <v>45911</v>
      </c>
      <c r="B2353" s="413" t="s">
        <v>3067</v>
      </c>
      <c r="C2353" s="346" t="s">
        <v>194</v>
      </c>
      <c r="D2353" s="346" t="s">
        <v>115</v>
      </c>
      <c r="E2353" s="416">
        <v>500</v>
      </c>
      <c r="F2353" s="407">
        <f t="shared" si="29"/>
        <v>0.93720185266062228</v>
      </c>
      <c r="G2353" s="408">
        <v>533.50300000000004</v>
      </c>
      <c r="H2353" s="252" t="s">
        <v>195</v>
      </c>
      <c r="I2353" s="413" t="s">
        <v>3101</v>
      </c>
      <c r="J2353" s="243" t="s">
        <v>96</v>
      </c>
      <c r="K2353" s="243" t="s">
        <v>1137</v>
      </c>
      <c r="L2353" s="243" t="s">
        <v>153</v>
      </c>
      <c r="M2353" s="76"/>
      <c r="N2353" s="76"/>
    </row>
    <row r="2354" spans="1:14" ht="15.6" hidden="1">
      <c r="A2354" s="405">
        <v>45912</v>
      </c>
      <c r="B2354" s="243" t="s">
        <v>3068</v>
      </c>
      <c r="C2354" s="239" t="s">
        <v>194</v>
      </c>
      <c r="D2354" s="239" t="s">
        <v>115</v>
      </c>
      <c r="E2354" s="422">
        <v>37000</v>
      </c>
      <c r="F2354" s="407">
        <f t="shared" si="29"/>
        <v>65.960473631854981</v>
      </c>
      <c r="G2354" s="408">
        <v>560.94200000000001</v>
      </c>
      <c r="H2354" s="252" t="s">
        <v>195</v>
      </c>
      <c r="I2354" s="413" t="s">
        <v>3103</v>
      </c>
      <c r="J2354" s="243" t="s">
        <v>96</v>
      </c>
      <c r="K2354" s="243" t="s">
        <v>1906</v>
      </c>
      <c r="L2354" s="243" t="s">
        <v>153</v>
      </c>
      <c r="M2354" s="76"/>
      <c r="N2354" s="76"/>
    </row>
    <row r="2355" spans="1:14" ht="15.6" hidden="1">
      <c r="A2355" s="420">
        <v>45911</v>
      </c>
      <c r="B2355" s="413" t="s">
        <v>3174</v>
      </c>
      <c r="C2355" s="413" t="s">
        <v>172</v>
      </c>
      <c r="D2355" s="413" t="s">
        <v>115</v>
      </c>
      <c r="E2355" s="413">
        <v>500</v>
      </c>
      <c r="F2355" s="407">
        <f t="shared" si="29"/>
        <v>0.93720185266062228</v>
      </c>
      <c r="G2355" s="408">
        <v>533.50300000000004</v>
      </c>
      <c r="H2355" s="413" t="s">
        <v>185</v>
      </c>
      <c r="I2355" s="413" t="s">
        <v>3185</v>
      </c>
      <c r="J2355" s="243" t="s">
        <v>96</v>
      </c>
      <c r="K2355" s="243" t="s">
        <v>1137</v>
      </c>
      <c r="L2355" s="243" t="s">
        <v>153</v>
      </c>
      <c r="M2355" s="76"/>
      <c r="N2355" s="76"/>
    </row>
    <row r="2356" spans="1:14" ht="15.6" hidden="1">
      <c r="A2356" s="420">
        <v>45911</v>
      </c>
      <c r="B2356" s="413" t="s">
        <v>2717</v>
      </c>
      <c r="C2356" s="413" t="s">
        <v>172</v>
      </c>
      <c r="D2356" s="413" t="s">
        <v>115</v>
      </c>
      <c r="E2356" s="413">
        <v>500</v>
      </c>
      <c r="F2356" s="407">
        <f t="shared" si="29"/>
        <v>0.93720185266062228</v>
      </c>
      <c r="G2356" s="408">
        <v>533.50300000000004</v>
      </c>
      <c r="H2356" s="413" t="s">
        <v>185</v>
      </c>
      <c r="I2356" s="413" t="s">
        <v>3185</v>
      </c>
      <c r="J2356" s="243" t="s">
        <v>96</v>
      </c>
      <c r="K2356" s="243" t="s">
        <v>1137</v>
      </c>
      <c r="L2356" s="243" t="s">
        <v>153</v>
      </c>
      <c r="M2356" s="76"/>
      <c r="N2356" s="76"/>
    </row>
    <row r="2357" spans="1:14" ht="15.6" hidden="1">
      <c r="A2357" s="415">
        <v>45911</v>
      </c>
      <c r="B2357" s="243" t="s">
        <v>2361</v>
      </c>
      <c r="C2357" s="413" t="s">
        <v>180</v>
      </c>
      <c r="D2357" s="413" t="s">
        <v>116</v>
      </c>
      <c r="E2357" s="412">
        <v>7200</v>
      </c>
      <c r="F2357" s="407">
        <f t="shared" si="29"/>
        <v>13.49570667831296</v>
      </c>
      <c r="G2357" s="408">
        <v>533.50300000000004</v>
      </c>
      <c r="H2357" s="413" t="s">
        <v>185</v>
      </c>
      <c r="I2357" s="243" t="s">
        <v>3189</v>
      </c>
      <c r="J2357" s="243" t="s">
        <v>96</v>
      </c>
      <c r="K2357" s="243" t="s">
        <v>1137</v>
      </c>
      <c r="L2357" s="243" t="s">
        <v>153</v>
      </c>
      <c r="M2357" s="76"/>
      <c r="N2357" s="76"/>
    </row>
    <row r="2358" spans="1:14" ht="15.6" hidden="1">
      <c r="A2358" s="420">
        <v>45912</v>
      </c>
      <c r="B2358" s="413" t="s">
        <v>2103</v>
      </c>
      <c r="C2358" s="406" t="s">
        <v>172</v>
      </c>
      <c r="D2358" s="406" t="s">
        <v>117</v>
      </c>
      <c r="E2358" s="346">
        <v>1000</v>
      </c>
      <c r="F2358" s="407">
        <f t="shared" si="29"/>
        <v>1.8744037053212446</v>
      </c>
      <c r="G2358" s="408">
        <v>533.50300000000004</v>
      </c>
      <c r="H2358" s="409" t="s">
        <v>151</v>
      </c>
      <c r="I2358" s="413" t="s">
        <v>2824</v>
      </c>
      <c r="J2358" s="243" t="s">
        <v>96</v>
      </c>
      <c r="K2358" s="243" t="s">
        <v>1137</v>
      </c>
      <c r="L2358" s="243" t="s">
        <v>153</v>
      </c>
      <c r="M2358" s="327"/>
      <c r="N2358" s="327"/>
    </row>
    <row r="2359" spans="1:14" ht="15.6" hidden="1">
      <c r="A2359" s="420">
        <v>45912</v>
      </c>
      <c r="B2359" s="413" t="s">
        <v>2814</v>
      </c>
      <c r="C2359" s="406" t="s">
        <v>172</v>
      </c>
      <c r="D2359" s="406" t="s">
        <v>117</v>
      </c>
      <c r="E2359" s="346">
        <v>1000</v>
      </c>
      <c r="F2359" s="407">
        <f t="shared" si="29"/>
        <v>1.8744037053212446</v>
      </c>
      <c r="G2359" s="408">
        <v>533.50300000000004</v>
      </c>
      <c r="H2359" s="409" t="s">
        <v>151</v>
      </c>
      <c r="I2359" s="413" t="s">
        <v>2824</v>
      </c>
      <c r="J2359" s="243" t="s">
        <v>96</v>
      </c>
      <c r="K2359" s="243" t="s">
        <v>1137</v>
      </c>
      <c r="L2359" s="243" t="s">
        <v>153</v>
      </c>
      <c r="M2359" s="327"/>
      <c r="N2359" s="327"/>
    </row>
    <row r="2360" spans="1:14" ht="15.6" hidden="1">
      <c r="A2360" s="420">
        <v>45912</v>
      </c>
      <c r="B2360" s="413" t="s">
        <v>2104</v>
      </c>
      <c r="C2360" s="406" t="s">
        <v>172</v>
      </c>
      <c r="D2360" s="406" t="s">
        <v>117</v>
      </c>
      <c r="E2360" s="346">
        <v>1000</v>
      </c>
      <c r="F2360" s="407">
        <f t="shared" si="29"/>
        <v>1.8744037053212446</v>
      </c>
      <c r="G2360" s="408">
        <v>533.50300000000004</v>
      </c>
      <c r="H2360" s="409" t="s">
        <v>151</v>
      </c>
      <c r="I2360" s="413" t="s">
        <v>2824</v>
      </c>
      <c r="J2360" s="243" t="s">
        <v>96</v>
      </c>
      <c r="K2360" s="243" t="s">
        <v>1137</v>
      </c>
      <c r="L2360" s="243" t="s">
        <v>153</v>
      </c>
      <c r="M2360" s="327"/>
      <c r="N2360" s="327"/>
    </row>
    <row r="2361" spans="1:14" ht="15.6" hidden="1">
      <c r="A2361" s="418">
        <v>45912</v>
      </c>
      <c r="B2361" s="213" t="s">
        <v>3214</v>
      </c>
      <c r="C2361" s="213" t="s">
        <v>2394</v>
      </c>
      <c r="D2361" s="329" t="s">
        <v>115</v>
      </c>
      <c r="E2361" s="419">
        <v>270000</v>
      </c>
      <c r="F2361" s="407">
        <f t="shared" si="29"/>
        <v>506.089000436736</v>
      </c>
      <c r="G2361" s="408">
        <v>533.50300000000004</v>
      </c>
      <c r="H2361" s="172" t="s">
        <v>198</v>
      </c>
      <c r="I2361" s="213" t="s">
        <v>2864</v>
      </c>
      <c r="J2361" s="243" t="s">
        <v>96</v>
      </c>
      <c r="K2361" s="243" t="s">
        <v>1137</v>
      </c>
      <c r="L2361" s="243" t="s">
        <v>153</v>
      </c>
      <c r="M2361" s="327"/>
      <c r="N2361" s="327"/>
    </row>
    <row r="2362" spans="1:14" ht="15.6" hidden="1">
      <c r="A2362" s="418">
        <v>45912</v>
      </c>
      <c r="B2362" s="213" t="s">
        <v>2839</v>
      </c>
      <c r="C2362" s="213" t="s">
        <v>172</v>
      </c>
      <c r="D2362" s="329" t="s">
        <v>115</v>
      </c>
      <c r="E2362" s="419">
        <v>500</v>
      </c>
      <c r="F2362" s="407">
        <f t="shared" si="29"/>
        <v>0.93720185266062228</v>
      </c>
      <c r="G2362" s="408">
        <v>533.50300000000004</v>
      </c>
      <c r="H2362" s="172" t="s">
        <v>198</v>
      </c>
      <c r="I2362" s="213" t="s">
        <v>2859</v>
      </c>
      <c r="J2362" s="243" t="s">
        <v>96</v>
      </c>
      <c r="K2362" s="243" t="s">
        <v>1137</v>
      </c>
      <c r="L2362" s="243" t="s">
        <v>153</v>
      </c>
      <c r="M2362" s="327"/>
      <c r="N2362" s="327"/>
    </row>
    <row r="2363" spans="1:14" ht="15.6" hidden="1">
      <c r="A2363" s="418">
        <v>45912</v>
      </c>
      <c r="B2363" s="213" t="s">
        <v>2840</v>
      </c>
      <c r="C2363" s="213" t="s">
        <v>172</v>
      </c>
      <c r="D2363" s="329" t="s">
        <v>115</v>
      </c>
      <c r="E2363" s="419">
        <v>37000</v>
      </c>
      <c r="F2363" s="407">
        <f t="shared" si="29"/>
        <v>69.352937096886052</v>
      </c>
      <c r="G2363" s="408">
        <v>533.50300000000004</v>
      </c>
      <c r="H2363" s="172" t="s">
        <v>198</v>
      </c>
      <c r="I2363" s="213" t="s">
        <v>2865</v>
      </c>
      <c r="J2363" s="243" t="s">
        <v>96</v>
      </c>
      <c r="K2363" s="243" t="s">
        <v>1137</v>
      </c>
      <c r="L2363" s="243" t="s">
        <v>153</v>
      </c>
      <c r="M2363" s="327"/>
      <c r="N2363" s="327"/>
    </row>
    <row r="2364" spans="1:14" ht="15.6" hidden="1">
      <c r="A2364" s="418">
        <v>45912</v>
      </c>
      <c r="B2364" s="419" t="s">
        <v>4917</v>
      </c>
      <c r="C2364" s="419" t="s">
        <v>172</v>
      </c>
      <c r="D2364" s="177" t="s">
        <v>440</v>
      </c>
      <c r="E2364" s="419">
        <v>1000</v>
      </c>
      <c r="F2364" s="407">
        <f t="shared" si="29"/>
        <v>1.8744037053212446</v>
      </c>
      <c r="G2364" s="408">
        <v>533.50300000000004</v>
      </c>
      <c r="H2364" s="419" t="s">
        <v>182</v>
      </c>
      <c r="I2364" s="419" t="s">
        <v>2936</v>
      </c>
      <c r="J2364" s="243" t="s">
        <v>96</v>
      </c>
      <c r="K2364" s="243" t="s">
        <v>1137</v>
      </c>
      <c r="L2364" s="243" t="s">
        <v>153</v>
      </c>
      <c r="M2364" s="395"/>
      <c r="N2364" s="395"/>
    </row>
    <row r="2365" spans="1:14" ht="15.6" hidden="1">
      <c r="A2365" s="418">
        <v>45912</v>
      </c>
      <c r="B2365" s="419" t="s">
        <v>4917</v>
      </c>
      <c r="C2365" s="419" t="s">
        <v>172</v>
      </c>
      <c r="D2365" s="177" t="s">
        <v>440</v>
      </c>
      <c r="E2365" s="419">
        <v>1500</v>
      </c>
      <c r="F2365" s="407">
        <f t="shared" si="29"/>
        <v>2.8116055579818666</v>
      </c>
      <c r="G2365" s="408">
        <v>533.50300000000004</v>
      </c>
      <c r="H2365" s="419" t="s">
        <v>182</v>
      </c>
      <c r="I2365" s="419" t="s">
        <v>2936</v>
      </c>
      <c r="J2365" s="243" t="s">
        <v>96</v>
      </c>
      <c r="K2365" s="243" t="s">
        <v>1137</v>
      </c>
      <c r="L2365" s="243" t="s">
        <v>153</v>
      </c>
      <c r="M2365" s="395"/>
      <c r="N2365" s="395"/>
    </row>
    <row r="2366" spans="1:14" ht="15.6" hidden="1">
      <c r="A2366" s="418">
        <v>45912</v>
      </c>
      <c r="B2366" s="419" t="s">
        <v>4912</v>
      </c>
      <c r="C2366" s="419" t="s">
        <v>172</v>
      </c>
      <c r="D2366" s="177" t="s">
        <v>440</v>
      </c>
      <c r="E2366" s="419">
        <v>1000</v>
      </c>
      <c r="F2366" s="407">
        <f t="shared" si="29"/>
        <v>1.8744037053212446</v>
      </c>
      <c r="G2366" s="408">
        <v>533.50300000000004</v>
      </c>
      <c r="H2366" s="419" t="s">
        <v>182</v>
      </c>
      <c r="I2366" s="419" t="s">
        <v>2936</v>
      </c>
      <c r="J2366" s="243" t="s">
        <v>96</v>
      </c>
      <c r="K2366" s="243" t="s">
        <v>1137</v>
      </c>
      <c r="L2366" s="243" t="s">
        <v>153</v>
      </c>
      <c r="M2366" s="395"/>
      <c r="N2366" s="395"/>
    </row>
    <row r="2367" spans="1:14" ht="15.6" hidden="1">
      <c r="A2367" s="418">
        <v>45912</v>
      </c>
      <c r="B2367" s="419" t="s">
        <v>4917</v>
      </c>
      <c r="C2367" s="419" t="s">
        <v>172</v>
      </c>
      <c r="D2367" s="177" t="s">
        <v>440</v>
      </c>
      <c r="E2367" s="419">
        <v>1000</v>
      </c>
      <c r="F2367" s="407">
        <f t="shared" si="29"/>
        <v>1.8744037053212446</v>
      </c>
      <c r="G2367" s="408">
        <v>533.50300000000004</v>
      </c>
      <c r="H2367" s="419" t="s">
        <v>182</v>
      </c>
      <c r="I2367" s="419" t="s">
        <v>2936</v>
      </c>
      <c r="J2367" s="243" t="s">
        <v>96</v>
      </c>
      <c r="K2367" s="243" t="s">
        <v>1137</v>
      </c>
      <c r="L2367" s="243" t="s">
        <v>153</v>
      </c>
      <c r="M2367" s="395"/>
      <c r="N2367" s="395"/>
    </row>
    <row r="2368" spans="1:14" ht="15.6" hidden="1">
      <c r="A2368" s="418">
        <v>45912</v>
      </c>
      <c r="B2368" s="419" t="s">
        <v>4917</v>
      </c>
      <c r="C2368" s="419" t="s">
        <v>172</v>
      </c>
      <c r="D2368" s="177" t="s">
        <v>440</v>
      </c>
      <c r="E2368" s="419">
        <v>1000</v>
      </c>
      <c r="F2368" s="407">
        <f t="shared" si="29"/>
        <v>1.8744037053212446</v>
      </c>
      <c r="G2368" s="408">
        <v>533.50300000000004</v>
      </c>
      <c r="H2368" s="419" t="s">
        <v>182</v>
      </c>
      <c r="I2368" s="419" t="s">
        <v>2936</v>
      </c>
      <c r="J2368" s="243" t="s">
        <v>96</v>
      </c>
      <c r="K2368" s="243" t="s">
        <v>1137</v>
      </c>
      <c r="L2368" s="243" t="s">
        <v>153</v>
      </c>
      <c r="M2368" s="395"/>
      <c r="N2368" s="395"/>
    </row>
    <row r="2369" spans="1:14" ht="15.6" hidden="1">
      <c r="A2369" s="418">
        <v>45912</v>
      </c>
      <c r="B2369" s="419" t="s">
        <v>4917</v>
      </c>
      <c r="C2369" s="419" t="s">
        <v>172</v>
      </c>
      <c r="D2369" s="177" t="s">
        <v>440</v>
      </c>
      <c r="E2369" s="419">
        <v>1000</v>
      </c>
      <c r="F2369" s="407">
        <f t="shared" si="29"/>
        <v>1.8744037053212446</v>
      </c>
      <c r="G2369" s="408">
        <v>533.50300000000004</v>
      </c>
      <c r="H2369" s="419" t="s">
        <v>182</v>
      </c>
      <c r="I2369" s="419" t="s">
        <v>2936</v>
      </c>
      <c r="J2369" s="243" t="s">
        <v>96</v>
      </c>
      <c r="K2369" s="243" t="s">
        <v>1137</v>
      </c>
      <c r="L2369" s="243" t="s">
        <v>153</v>
      </c>
      <c r="M2369" s="395"/>
      <c r="N2369" s="395"/>
    </row>
    <row r="2370" spans="1:14" ht="15.6" hidden="1">
      <c r="A2370" s="420">
        <v>45912</v>
      </c>
      <c r="B2370" s="413" t="s">
        <v>4917</v>
      </c>
      <c r="C2370" s="413" t="s">
        <v>172</v>
      </c>
      <c r="D2370" s="177" t="s">
        <v>440</v>
      </c>
      <c r="E2370" s="413">
        <v>1000</v>
      </c>
      <c r="F2370" s="407">
        <f t="shared" si="29"/>
        <v>1.8744037053212446</v>
      </c>
      <c r="G2370" s="408">
        <v>533.50300000000004</v>
      </c>
      <c r="H2370" s="413" t="s">
        <v>173</v>
      </c>
      <c r="I2370" s="413" t="s">
        <v>2959</v>
      </c>
      <c r="J2370" s="243" t="s">
        <v>96</v>
      </c>
      <c r="K2370" s="243" t="s">
        <v>1137</v>
      </c>
      <c r="L2370" s="243" t="s">
        <v>153</v>
      </c>
      <c r="M2370" s="395"/>
      <c r="N2370" s="395"/>
    </row>
    <row r="2371" spans="1:14" ht="15.6" hidden="1">
      <c r="A2371" s="420">
        <v>45912</v>
      </c>
      <c r="B2371" s="413" t="s">
        <v>4917</v>
      </c>
      <c r="C2371" s="413" t="s">
        <v>172</v>
      </c>
      <c r="D2371" s="177" t="s">
        <v>440</v>
      </c>
      <c r="E2371" s="413">
        <v>1000</v>
      </c>
      <c r="F2371" s="407">
        <f t="shared" si="29"/>
        <v>1.8744037053212446</v>
      </c>
      <c r="G2371" s="408">
        <v>533.50300000000004</v>
      </c>
      <c r="H2371" s="413" t="s">
        <v>173</v>
      </c>
      <c r="I2371" s="413" t="s">
        <v>2959</v>
      </c>
      <c r="J2371" s="243" t="s">
        <v>96</v>
      </c>
      <c r="K2371" s="243" t="s">
        <v>1137</v>
      </c>
      <c r="L2371" s="243" t="s">
        <v>153</v>
      </c>
      <c r="M2371" s="395"/>
      <c r="N2371" s="395"/>
    </row>
    <row r="2372" spans="1:14" ht="15.6" hidden="1">
      <c r="A2372" s="420">
        <v>45912</v>
      </c>
      <c r="B2372" s="413" t="s">
        <v>4876</v>
      </c>
      <c r="C2372" s="413" t="s">
        <v>172</v>
      </c>
      <c r="D2372" s="177" t="s">
        <v>440</v>
      </c>
      <c r="E2372" s="413">
        <v>1000</v>
      </c>
      <c r="F2372" s="407">
        <f t="shared" si="29"/>
        <v>1.8744037053212446</v>
      </c>
      <c r="G2372" s="408">
        <v>533.50300000000004</v>
      </c>
      <c r="H2372" s="413" t="s">
        <v>173</v>
      </c>
      <c r="I2372" s="413" t="s">
        <v>2959</v>
      </c>
      <c r="J2372" s="243" t="s">
        <v>96</v>
      </c>
      <c r="K2372" s="243" t="s">
        <v>1137</v>
      </c>
      <c r="L2372" s="243" t="s">
        <v>153</v>
      </c>
      <c r="M2372" s="395"/>
      <c r="N2372" s="395"/>
    </row>
    <row r="2373" spans="1:14" ht="15.6" hidden="1">
      <c r="A2373" s="420">
        <v>45912</v>
      </c>
      <c r="B2373" s="413" t="s">
        <v>4876</v>
      </c>
      <c r="C2373" s="413" t="s">
        <v>172</v>
      </c>
      <c r="D2373" s="177" t="s">
        <v>440</v>
      </c>
      <c r="E2373" s="413">
        <v>1000</v>
      </c>
      <c r="F2373" s="407">
        <f t="shared" si="29"/>
        <v>1.8744037053212446</v>
      </c>
      <c r="G2373" s="408">
        <v>533.50300000000004</v>
      </c>
      <c r="H2373" s="413" t="s">
        <v>173</v>
      </c>
      <c r="I2373" s="413" t="s">
        <v>2959</v>
      </c>
      <c r="J2373" s="243" t="s">
        <v>96</v>
      </c>
      <c r="K2373" s="243" t="s">
        <v>1137</v>
      </c>
      <c r="L2373" s="243" t="s">
        <v>153</v>
      </c>
      <c r="M2373" s="395"/>
      <c r="N2373" s="395"/>
    </row>
    <row r="2374" spans="1:14" ht="15.6" hidden="1">
      <c r="A2374" s="415">
        <v>45912</v>
      </c>
      <c r="B2374" s="413" t="s">
        <v>3042</v>
      </c>
      <c r="C2374" s="243" t="s">
        <v>172</v>
      </c>
      <c r="D2374" s="243" t="s">
        <v>115</v>
      </c>
      <c r="E2374" s="412">
        <v>1000</v>
      </c>
      <c r="F2374" s="407">
        <f t="shared" si="29"/>
        <v>1.8744037053212446</v>
      </c>
      <c r="G2374" s="408">
        <v>533.50300000000004</v>
      </c>
      <c r="H2374" s="243" t="s">
        <v>191</v>
      </c>
      <c r="I2374" s="413" t="s">
        <v>3052</v>
      </c>
      <c r="J2374" s="243" t="s">
        <v>96</v>
      </c>
      <c r="K2374" s="243" t="s">
        <v>1137</v>
      </c>
      <c r="L2374" s="243" t="s">
        <v>153</v>
      </c>
      <c r="M2374" s="76"/>
      <c r="N2374" s="76"/>
    </row>
    <row r="2375" spans="1:14" ht="15.6" hidden="1">
      <c r="A2375" s="415">
        <v>45912</v>
      </c>
      <c r="B2375" s="413" t="s">
        <v>3043</v>
      </c>
      <c r="C2375" s="243" t="s">
        <v>172</v>
      </c>
      <c r="D2375" s="243" t="s">
        <v>115</v>
      </c>
      <c r="E2375" s="412">
        <v>1000</v>
      </c>
      <c r="F2375" s="407">
        <f t="shared" si="29"/>
        <v>1.8744037053212446</v>
      </c>
      <c r="G2375" s="408">
        <v>533.50300000000004</v>
      </c>
      <c r="H2375" s="243" t="s">
        <v>191</v>
      </c>
      <c r="I2375" s="413" t="s">
        <v>3052</v>
      </c>
      <c r="J2375" s="243" t="s">
        <v>96</v>
      </c>
      <c r="K2375" s="243" t="s">
        <v>1137</v>
      </c>
      <c r="L2375" s="243" t="s">
        <v>153</v>
      </c>
      <c r="M2375" s="76"/>
      <c r="N2375" s="76"/>
    </row>
    <row r="2376" spans="1:14" ht="15.6" hidden="1">
      <c r="A2376" s="415">
        <v>45912</v>
      </c>
      <c r="B2376" s="413" t="s">
        <v>3044</v>
      </c>
      <c r="C2376" s="413" t="s">
        <v>124</v>
      </c>
      <c r="D2376" s="413" t="s">
        <v>116</v>
      </c>
      <c r="E2376" s="412">
        <v>55270</v>
      </c>
      <c r="F2376" s="407">
        <f t="shared" si="29"/>
        <v>103.59829279310519</v>
      </c>
      <c r="G2376" s="408">
        <v>533.50300000000004</v>
      </c>
      <c r="H2376" s="413" t="s">
        <v>191</v>
      </c>
      <c r="I2376" s="243" t="s">
        <v>3060</v>
      </c>
      <c r="J2376" s="243" t="s">
        <v>96</v>
      </c>
      <c r="K2376" s="243" t="s">
        <v>1137</v>
      </c>
      <c r="L2376" s="243" t="s">
        <v>153</v>
      </c>
      <c r="M2376" s="76"/>
      <c r="N2376" s="76"/>
    </row>
    <row r="2377" spans="1:14" ht="15.6" hidden="1">
      <c r="A2377" s="405">
        <v>45912</v>
      </c>
      <c r="B2377" s="243" t="s">
        <v>3083</v>
      </c>
      <c r="C2377" s="243" t="s">
        <v>175</v>
      </c>
      <c r="D2377" s="243" t="s">
        <v>115</v>
      </c>
      <c r="E2377" s="422">
        <v>405000</v>
      </c>
      <c r="F2377" s="407">
        <f t="shared" si="29"/>
        <v>759.13350065510406</v>
      </c>
      <c r="G2377" s="408">
        <v>533.50300000000004</v>
      </c>
      <c r="H2377" s="252" t="s">
        <v>195</v>
      </c>
      <c r="I2377" s="413" t="s">
        <v>3106</v>
      </c>
      <c r="J2377" s="243" t="s">
        <v>96</v>
      </c>
      <c r="K2377" s="243" t="s">
        <v>1137</v>
      </c>
      <c r="L2377" s="243" t="s">
        <v>153</v>
      </c>
      <c r="M2377" s="76"/>
      <c r="N2377" s="76"/>
    </row>
    <row r="2378" spans="1:14" ht="15.6" hidden="1">
      <c r="A2378" s="405">
        <v>45912</v>
      </c>
      <c r="B2378" s="413" t="s">
        <v>3084</v>
      </c>
      <c r="C2378" s="346" t="s">
        <v>194</v>
      </c>
      <c r="D2378" s="346" t="s">
        <v>115</v>
      </c>
      <c r="E2378" s="416">
        <v>500</v>
      </c>
      <c r="F2378" s="407">
        <f t="shared" si="29"/>
        <v>0.93720185266062228</v>
      </c>
      <c r="G2378" s="408">
        <v>533.50300000000004</v>
      </c>
      <c r="H2378" s="252" t="s">
        <v>195</v>
      </c>
      <c r="I2378" s="413" t="s">
        <v>3101</v>
      </c>
      <c r="J2378" s="243" t="s">
        <v>96</v>
      </c>
      <c r="K2378" s="243" t="s">
        <v>1137</v>
      </c>
      <c r="L2378" s="243" t="s">
        <v>153</v>
      </c>
      <c r="M2378" s="76"/>
      <c r="N2378" s="76"/>
    </row>
    <row r="2379" spans="1:14" ht="15.6" hidden="1">
      <c r="A2379" s="405">
        <v>45912</v>
      </c>
      <c r="B2379" s="413" t="s">
        <v>3085</v>
      </c>
      <c r="C2379" s="346" t="s">
        <v>194</v>
      </c>
      <c r="D2379" s="346" t="s">
        <v>115</v>
      </c>
      <c r="E2379" s="416">
        <v>500</v>
      </c>
      <c r="F2379" s="407">
        <f t="shared" si="29"/>
        <v>0.93720185266062228</v>
      </c>
      <c r="G2379" s="408">
        <v>533.50300000000004</v>
      </c>
      <c r="H2379" s="252" t="s">
        <v>195</v>
      </c>
      <c r="I2379" s="413" t="s">
        <v>3101</v>
      </c>
      <c r="J2379" s="243" t="s">
        <v>96</v>
      </c>
      <c r="K2379" s="243" t="s">
        <v>1137</v>
      </c>
      <c r="L2379" s="243" t="s">
        <v>153</v>
      </c>
      <c r="M2379" s="76"/>
      <c r="N2379" s="76"/>
    </row>
    <row r="2380" spans="1:14" ht="15.6" hidden="1">
      <c r="A2380" s="418">
        <v>45913</v>
      </c>
      <c r="B2380" s="213" t="s">
        <v>3215</v>
      </c>
      <c r="C2380" s="213" t="s">
        <v>2394</v>
      </c>
      <c r="D2380" s="329" t="s">
        <v>115</v>
      </c>
      <c r="E2380" s="419">
        <v>15000</v>
      </c>
      <c r="F2380" s="407">
        <f t="shared" si="29"/>
        <v>28.116055579818667</v>
      </c>
      <c r="G2380" s="408">
        <v>533.50300000000004</v>
      </c>
      <c r="H2380" s="172" t="s">
        <v>198</v>
      </c>
      <c r="I2380" s="213" t="s">
        <v>2866</v>
      </c>
      <c r="J2380" s="243" t="s">
        <v>96</v>
      </c>
      <c r="K2380" s="243" t="s">
        <v>1137</v>
      </c>
      <c r="L2380" s="243" t="s">
        <v>153</v>
      </c>
      <c r="M2380" s="327"/>
      <c r="N2380" s="327"/>
    </row>
    <row r="2381" spans="1:14" ht="15.6" hidden="1">
      <c r="A2381" s="418">
        <v>45913</v>
      </c>
      <c r="B2381" s="419" t="s">
        <v>4912</v>
      </c>
      <c r="C2381" s="419" t="s">
        <v>172</v>
      </c>
      <c r="D2381" s="177" t="s">
        <v>440</v>
      </c>
      <c r="E2381" s="419">
        <v>1000</v>
      </c>
      <c r="F2381" s="407">
        <f t="shared" si="29"/>
        <v>1.8744037053212446</v>
      </c>
      <c r="G2381" s="408">
        <v>533.50300000000004</v>
      </c>
      <c r="H2381" s="419" t="s">
        <v>182</v>
      </c>
      <c r="I2381" s="419" t="s">
        <v>2936</v>
      </c>
      <c r="J2381" s="243" t="s">
        <v>96</v>
      </c>
      <c r="K2381" s="243" t="s">
        <v>1137</v>
      </c>
      <c r="L2381" s="243" t="s">
        <v>153</v>
      </c>
      <c r="M2381" s="395"/>
      <c r="N2381" s="395"/>
    </row>
    <row r="2382" spans="1:14" ht="15.6" hidden="1">
      <c r="A2382" s="418">
        <v>45913</v>
      </c>
      <c r="B2382" s="419" t="s">
        <v>4912</v>
      </c>
      <c r="C2382" s="419" t="s">
        <v>172</v>
      </c>
      <c r="D2382" s="177" t="s">
        <v>440</v>
      </c>
      <c r="E2382" s="419">
        <v>1000</v>
      </c>
      <c r="F2382" s="407">
        <f t="shared" si="29"/>
        <v>1.8744037053212446</v>
      </c>
      <c r="G2382" s="408">
        <v>533.50300000000004</v>
      </c>
      <c r="H2382" s="419" t="s">
        <v>182</v>
      </c>
      <c r="I2382" s="419" t="s">
        <v>2936</v>
      </c>
      <c r="J2382" s="243" t="s">
        <v>96</v>
      </c>
      <c r="K2382" s="243" t="s">
        <v>1137</v>
      </c>
      <c r="L2382" s="243" t="s">
        <v>153</v>
      </c>
      <c r="M2382" s="395"/>
      <c r="N2382" s="395"/>
    </row>
    <row r="2383" spans="1:14" ht="15.6" hidden="1">
      <c r="A2383" s="418">
        <v>45913</v>
      </c>
      <c r="B2383" s="419" t="s">
        <v>4917</v>
      </c>
      <c r="C2383" s="419" t="s">
        <v>172</v>
      </c>
      <c r="D2383" s="177" t="s">
        <v>440</v>
      </c>
      <c r="E2383" s="419">
        <v>1000</v>
      </c>
      <c r="F2383" s="407">
        <f t="shared" si="29"/>
        <v>1.8744037053212446</v>
      </c>
      <c r="G2383" s="408">
        <v>533.50300000000004</v>
      </c>
      <c r="H2383" s="419" t="s">
        <v>182</v>
      </c>
      <c r="I2383" s="419" t="s">
        <v>2936</v>
      </c>
      <c r="J2383" s="243" t="s">
        <v>96</v>
      </c>
      <c r="K2383" s="243" t="s">
        <v>1137</v>
      </c>
      <c r="L2383" s="243" t="s">
        <v>153</v>
      </c>
      <c r="M2383" s="395"/>
      <c r="N2383" s="395"/>
    </row>
    <row r="2384" spans="1:14" ht="15.6" hidden="1">
      <c r="A2384" s="418">
        <v>45913</v>
      </c>
      <c r="B2384" s="419" t="s">
        <v>4912</v>
      </c>
      <c r="C2384" s="419" t="s">
        <v>172</v>
      </c>
      <c r="D2384" s="177" t="s">
        <v>440</v>
      </c>
      <c r="E2384" s="419">
        <v>1000</v>
      </c>
      <c r="F2384" s="407">
        <f t="shared" si="29"/>
        <v>1.8744037053212446</v>
      </c>
      <c r="G2384" s="408">
        <v>533.50300000000004</v>
      </c>
      <c r="H2384" s="419" t="s">
        <v>182</v>
      </c>
      <c r="I2384" s="419" t="s">
        <v>2936</v>
      </c>
      <c r="J2384" s="243" t="s">
        <v>96</v>
      </c>
      <c r="K2384" s="243" t="s">
        <v>1137</v>
      </c>
      <c r="L2384" s="243" t="s">
        <v>153</v>
      </c>
      <c r="M2384" s="395"/>
      <c r="N2384" s="395"/>
    </row>
    <row r="2385" spans="1:14" ht="15.6" hidden="1">
      <c r="A2385" s="420">
        <v>45913</v>
      </c>
      <c r="B2385" s="413" t="s">
        <v>4876</v>
      </c>
      <c r="C2385" s="413" t="s">
        <v>172</v>
      </c>
      <c r="D2385" s="177" t="s">
        <v>440</v>
      </c>
      <c r="E2385" s="413">
        <v>1000</v>
      </c>
      <c r="F2385" s="407">
        <f t="shared" si="29"/>
        <v>1.8744037053212446</v>
      </c>
      <c r="G2385" s="408">
        <v>533.50300000000004</v>
      </c>
      <c r="H2385" s="413" t="s">
        <v>173</v>
      </c>
      <c r="I2385" s="413" t="s">
        <v>2959</v>
      </c>
      <c r="J2385" s="243" t="s">
        <v>96</v>
      </c>
      <c r="K2385" s="243" t="s">
        <v>1137</v>
      </c>
      <c r="L2385" s="243" t="s">
        <v>153</v>
      </c>
      <c r="M2385" s="395"/>
      <c r="N2385" s="395"/>
    </row>
    <row r="2386" spans="1:14" ht="15.6" hidden="1">
      <c r="A2386" s="420">
        <v>45913</v>
      </c>
      <c r="B2386" s="413" t="s">
        <v>4876</v>
      </c>
      <c r="C2386" s="413" t="s">
        <v>172</v>
      </c>
      <c r="D2386" s="177" t="s">
        <v>440</v>
      </c>
      <c r="E2386" s="413">
        <v>1000</v>
      </c>
      <c r="F2386" s="407">
        <f t="shared" si="29"/>
        <v>1.8744037053212446</v>
      </c>
      <c r="G2386" s="408">
        <v>533.50300000000004</v>
      </c>
      <c r="H2386" s="413" t="s">
        <v>173</v>
      </c>
      <c r="I2386" s="413" t="s">
        <v>2959</v>
      </c>
      <c r="J2386" s="243" t="s">
        <v>96</v>
      </c>
      <c r="K2386" s="243" t="s">
        <v>1137</v>
      </c>
      <c r="L2386" s="243" t="s">
        <v>153</v>
      </c>
      <c r="M2386" s="395"/>
      <c r="N2386" s="395"/>
    </row>
    <row r="2387" spans="1:14" ht="15.6" hidden="1">
      <c r="A2387" s="405">
        <v>45913</v>
      </c>
      <c r="B2387" s="243" t="s">
        <v>3086</v>
      </c>
      <c r="C2387" s="243" t="s">
        <v>175</v>
      </c>
      <c r="D2387" s="243" t="s">
        <v>115</v>
      </c>
      <c r="E2387" s="422">
        <v>15000</v>
      </c>
      <c r="F2387" s="407">
        <f t="shared" si="29"/>
        <v>28.116055579818667</v>
      </c>
      <c r="G2387" s="408">
        <v>533.50300000000004</v>
      </c>
      <c r="H2387" s="252" t="s">
        <v>195</v>
      </c>
      <c r="I2387" s="413" t="s">
        <v>3107</v>
      </c>
      <c r="J2387" s="243" t="s">
        <v>96</v>
      </c>
      <c r="K2387" s="243" t="s">
        <v>1137</v>
      </c>
      <c r="L2387" s="243" t="s">
        <v>153</v>
      </c>
      <c r="M2387" s="76"/>
      <c r="N2387" s="76"/>
    </row>
    <row r="2388" spans="1:14" ht="15.6" hidden="1">
      <c r="A2388" s="405">
        <v>45913</v>
      </c>
      <c r="B2388" s="413" t="s">
        <v>3087</v>
      </c>
      <c r="C2388" s="346" t="s">
        <v>194</v>
      </c>
      <c r="D2388" s="346" t="s">
        <v>115</v>
      </c>
      <c r="E2388" s="416">
        <v>500</v>
      </c>
      <c r="F2388" s="407">
        <f t="shared" si="29"/>
        <v>0.93720185266062228</v>
      </c>
      <c r="G2388" s="408">
        <v>533.50300000000004</v>
      </c>
      <c r="H2388" s="252" t="s">
        <v>195</v>
      </c>
      <c r="I2388" s="413" t="s">
        <v>3101</v>
      </c>
      <c r="J2388" s="243" t="s">
        <v>96</v>
      </c>
      <c r="K2388" s="243" t="s">
        <v>1137</v>
      </c>
      <c r="L2388" s="243" t="s">
        <v>153</v>
      </c>
      <c r="M2388" s="76"/>
      <c r="N2388" s="76"/>
    </row>
    <row r="2389" spans="1:14" ht="15.6" hidden="1">
      <c r="A2389" s="405">
        <v>45913</v>
      </c>
      <c r="B2389" s="413" t="s">
        <v>3088</v>
      </c>
      <c r="C2389" s="346" t="s">
        <v>194</v>
      </c>
      <c r="D2389" s="346" t="s">
        <v>115</v>
      </c>
      <c r="E2389" s="416">
        <v>500</v>
      </c>
      <c r="F2389" s="407">
        <f t="shared" si="29"/>
        <v>0.93720185266062228</v>
      </c>
      <c r="G2389" s="408">
        <v>533.50300000000004</v>
      </c>
      <c r="H2389" s="252" t="s">
        <v>195</v>
      </c>
      <c r="I2389" s="413" t="s">
        <v>3101</v>
      </c>
      <c r="J2389" s="243" t="s">
        <v>96</v>
      </c>
      <c r="K2389" s="243" t="s">
        <v>1137</v>
      </c>
      <c r="L2389" s="243" t="s">
        <v>153</v>
      </c>
      <c r="M2389" s="76"/>
      <c r="N2389" s="76"/>
    </row>
    <row r="2390" spans="1:14" ht="15.6" hidden="1">
      <c r="A2390" s="418">
        <v>45914</v>
      </c>
      <c r="B2390" s="213" t="s">
        <v>3216</v>
      </c>
      <c r="C2390" s="213" t="s">
        <v>2394</v>
      </c>
      <c r="D2390" s="329" t="s">
        <v>115</v>
      </c>
      <c r="E2390" s="419">
        <v>15000</v>
      </c>
      <c r="F2390" s="407">
        <f t="shared" si="29"/>
        <v>28.116055579818667</v>
      </c>
      <c r="G2390" s="408">
        <v>533.50300000000004</v>
      </c>
      <c r="H2390" s="172" t="s">
        <v>198</v>
      </c>
      <c r="I2390" s="213" t="s">
        <v>2867</v>
      </c>
      <c r="J2390" s="243" t="s">
        <v>96</v>
      </c>
      <c r="K2390" s="243" t="s">
        <v>1137</v>
      </c>
      <c r="L2390" s="243" t="s">
        <v>153</v>
      </c>
      <c r="M2390" s="327"/>
      <c r="N2390" s="327"/>
    </row>
    <row r="2391" spans="1:14" ht="15.6" hidden="1">
      <c r="A2391" s="418">
        <v>45914</v>
      </c>
      <c r="B2391" s="213" t="s">
        <v>2841</v>
      </c>
      <c r="C2391" s="213" t="s">
        <v>172</v>
      </c>
      <c r="D2391" s="329" t="s">
        <v>115</v>
      </c>
      <c r="E2391" s="419">
        <v>3500</v>
      </c>
      <c r="F2391" s="407">
        <f t="shared" si="29"/>
        <v>6.5604129686243562</v>
      </c>
      <c r="G2391" s="408">
        <v>533.50300000000004</v>
      </c>
      <c r="H2391" s="172" t="s">
        <v>198</v>
      </c>
      <c r="I2391" s="213" t="s">
        <v>2859</v>
      </c>
      <c r="J2391" s="243" t="s">
        <v>96</v>
      </c>
      <c r="K2391" s="243" t="s">
        <v>1137</v>
      </c>
      <c r="L2391" s="243" t="s">
        <v>153</v>
      </c>
      <c r="M2391" s="327"/>
      <c r="N2391" s="327"/>
    </row>
    <row r="2392" spans="1:14" ht="15.6" hidden="1">
      <c r="A2392" s="418">
        <v>45914</v>
      </c>
      <c r="B2392" s="419" t="s">
        <v>4912</v>
      </c>
      <c r="C2392" s="419" t="s">
        <v>172</v>
      </c>
      <c r="D2392" s="177" t="s">
        <v>440</v>
      </c>
      <c r="E2392" s="419">
        <v>1000</v>
      </c>
      <c r="F2392" s="407">
        <f t="shared" si="29"/>
        <v>1.8744037053212446</v>
      </c>
      <c r="G2392" s="408">
        <v>533.50300000000004</v>
      </c>
      <c r="H2392" s="419" t="s">
        <v>182</v>
      </c>
      <c r="I2392" s="419" t="s">
        <v>2936</v>
      </c>
      <c r="J2392" s="243" t="s">
        <v>96</v>
      </c>
      <c r="K2392" s="243" t="s">
        <v>1137</v>
      </c>
      <c r="L2392" s="243" t="s">
        <v>153</v>
      </c>
      <c r="M2392" s="395"/>
      <c r="N2392" s="395"/>
    </row>
    <row r="2393" spans="1:14" ht="15.6" hidden="1">
      <c r="A2393" s="418">
        <v>45914</v>
      </c>
      <c r="B2393" s="419" t="s">
        <v>4917</v>
      </c>
      <c r="C2393" s="419" t="s">
        <v>172</v>
      </c>
      <c r="D2393" s="177" t="s">
        <v>440</v>
      </c>
      <c r="E2393" s="419">
        <v>1000</v>
      </c>
      <c r="F2393" s="407">
        <f t="shared" si="29"/>
        <v>1.8744037053212446</v>
      </c>
      <c r="G2393" s="408">
        <v>533.50300000000004</v>
      </c>
      <c r="H2393" s="419" t="s">
        <v>182</v>
      </c>
      <c r="I2393" s="419" t="s">
        <v>2936</v>
      </c>
      <c r="J2393" s="243" t="s">
        <v>96</v>
      </c>
      <c r="K2393" s="243" t="s">
        <v>1137</v>
      </c>
      <c r="L2393" s="243" t="s">
        <v>153</v>
      </c>
      <c r="M2393" s="395"/>
      <c r="N2393" s="395"/>
    </row>
    <row r="2394" spans="1:14" ht="15.6" hidden="1">
      <c r="A2394" s="418">
        <v>45914</v>
      </c>
      <c r="B2394" s="419" t="s">
        <v>4912</v>
      </c>
      <c r="C2394" s="419" t="s">
        <v>172</v>
      </c>
      <c r="D2394" s="177" t="s">
        <v>440</v>
      </c>
      <c r="E2394" s="419">
        <v>1000</v>
      </c>
      <c r="F2394" s="407">
        <f t="shared" si="29"/>
        <v>1.8744037053212446</v>
      </c>
      <c r="G2394" s="408">
        <v>533.50300000000004</v>
      </c>
      <c r="H2394" s="419" t="s">
        <v>182</v>
      </c>
      <c r="I2394" s="419" t="s">
        <v>2936</v>
      </c>
      <c r="J2394" s="243" t="s">
        <v>96</v>
      </c>
      <c r="K2394" s="243" t="s">
        <v>1137</v>
      </c>
      <c r="L2394" s="243" t="s">
        <v>153</v>
      </c>
      <c r="M2394" s="395"/>
      <c r="N2394" s="395"/>
    </row>
    <row r="2395" spans="1:14" ht="15.6" hidden="1">
      <c r="A2395" s="418">
        <v>45914</v>
      </c>
      <c r="B2395" s="419" t="s">
        <v>4912</v>
      </c>
      <c r="C2395" s="419" t="s">
        <v>172</v>
      </c>
      <c r="D2395" s="177" t="s">
        <v>440</v>
      </c>
      <c r="E2395" s="419">
        <v>1000</v>
      </c>
      <c r="F2395" s="407">
        <f t="shared" si="29"/>
        <v>1.8744037053212446</v>
      </c>
      <c r="G2395" s="408">
        <v>533.50300000000004</v>
      </c>
      <c r="H2395" s="419" t="s">
        <v>182</v>
      </c>
      <c r="I2395" s="419" t="s">
        <v>2936</v>
      </c>
      <c r="J2395" s="243" t="s">
        <v>96</v>
      </c>
      <c r="K2395" s="243" t="s">
        <v>1137</v>
      </c>
      <c r="L2395" s="243" t="s">
        <v>153</v>
      </c>
      <c r="M2395" s="395"/>
      <c r="N2395" s="395"/>
    </row>
    <row r="2396" spans="1:14" ht="15.6" hidden="1">
      <c r="A2396" s="420">
        <v>45914</v>
      </c>
      <c r="B2396" s="413" t="s">
        <v>4876</v>
      </c>
      <c r="C2396" s="413" t="s">
        <v>172</v>
      </c>
      <c r="D2396" s="177" t="s">
        <v>440</v>
      </c>
      <c r="E2396" s="413">
        <v>1000</v>
      </c>
      <c r="F2396" s="407">
        <f t="shared" si="29"/>
        <v>1.8744037053212446</v>
      </c>
      <c r="G2396" s="408">
        <v>533.50300000000004</v>
      </c>
      <c r="H2396" s="413" t="s">
        <v>173</v>
      </c>
      <c r="I2396" s="413" t="s">
        <v>2959</v>
      </c>
      <c r="J2396" s="243" t="s">
        <v>96</v>
      </c>
      <c r="K2396" s="243" t="s">
        <v>1137</v>
      </c>
      <c r="L2396" s="243" t="s">
        <v>153</v>
      </c>
      <c r="M2396" s="395"/>
      <c r="N2396" s="395"/>
    </row>
    <row r="2397" spans="1:14" ht="15.6" hidden="1">
      <c r="A2397" s="420">
        <v>45914</v>
      </c>
      <c r="B2397" s="413" t="s">
        <v>4876</v>
      </c>
      <c r="C2397" s="413" t="s">
        <v>172</v>
      </c>
      <c r="D2397" s="177" t="s">
        <v>440</v>
      </c>
      <c r="E2397" s="413">
        <v>1000</v>
      </c>
      <c r="F2397" s="407">
        <f t="shared" si="29"/>
        <v>1.8744037053212446</v>
      </c>
      <c r="G2397" s="408">
        <v>533.50300000000004</v>
      </c>
      <c r="H2397" s="413" t="s">
        <v>173</v>
      </c>
      <c r="I2397" s="413" t="s">
        <v>2959</v>
      </c>
      <c r="J2397" s="243" t="s">
        <v>96</v>
      </c>
      <c r="K2397" s="243" t="s">
        <v>1137</v>
      </c>
      <c r="L2397" s="243" t="s">
        <v>153</v>
      </c>
      <c r="M2397" s="395"/>
      <c r="N2397" s="395"/>
    </row>
    <row r="2398" spans="1:14" ht="15.6" hidden="1">
      <c r="A2398" s="420">
        <v>45914</v>
      </c>
      <c r="B2398" s="413" t="s">
        <v>4876</v>
      </c>
      <c r="C2398" s="413" t="s">
        <v>172</v>
      </c>
      <c r="D2398" s="177" t="s">
        <v>440</v>
      </c>
      <c r="E2398" s="413">
        <v>1000</v>
      </c>
      <c r="F2398" s="407">
        <f t="shared" si="29"/>
        <v>1.8744037053212446</v>
      </c>
      <c r="G2398" s="408">
        <v>533.50300000000004</v>
      </c>
      <c r="H2398" s="413" t="s">
        <v>173</v>
      </c>
      <c r="I2398" s="413" t="s">
        <v>2959</v>
      </c>
      <c r="J2398" s="243" t="s">
        <v>96</v>
      </c>
      <c r="K2398" s="243" t="s">
        <v>1137</v>
      </c>
      <c r="L2398" s="243" t="s">
        <v>153</v>
      </c>
      <c r="M2398" s="395"/>
      <c r="N2398" s="395"/>
    </row>
    <row r="2399" spans="1:14" ht="15.6" hidden="1">
      <c r="A2399" s="420">
        <v>45914</v>
      </c>
      <c r="B2399" s="413" t="s">
        <v>4876</v>
      </c>
      <c r="C2399" s="413" t="s">
        <v>172</v>
      </c>
      <c r="D2399" s="177" t="s">
        <v>440</v>
      </c>
      <c r="E2399" s="413">
        <v>1000</v>
      </c>
      <c r="F2399" s="407">
        <f t="shared" si="29"/>
        <v>1.8744037053212446</v>
      </c>
      <c r="G2399" s="408">
        <v>533.50300000000004</v>
      </c>
      <c r="H2399" s="413" t="s">
        <v>173</v>
      </c>
      <c r="I2399" s="413" t="s">
        <v>2959</v>
      </c>
      <c r="J2399" s="243" t="s">
        <v>96</v>
      </c>
      <c r="K2399" s="243" t="s">
        <v>1137</v>
      </c>
      <c r="L2399" s="243" t="s">
        <v>153</v>
      </c>
      <c r="M2399" s="395"/>
      <c r="N2399" s="395"/>
    </row>
    <row r="2400" spans="1:14" ht="15.6" hidden="1">
      <c r="A2400" s="420">
        <v>45914</v>
      </c>
      <c r="B2400" s="413" t="s">
        <v>4876</v>
      </c>
      <c r="C2400" s="413" t="s">
        <v>172</v>
      </c>
      <c r="D2400" s="177" t="s">
        <v>440</v>
      </c>
      <c r="E2400" s="413">
        <v>1000</v>
      </c>
      <c r="F2400" s="407">
        <f t="shared" si="29"/>
        <v>1.8744037053212446</v>
      </c>
      <c r="G2400" s="408">
        <v>533.50300000000004</v>
      </c>
      <c r="H2400" s="413" t="s">
        <v>173</v>
      </c>
      <c r="I2400" s="413" t="s">
        <v>2959</v>
      </c>
      <c r="J2400" s="243" t="s">
        <v>96</v>
      </c>
      <c r="K2400" s="243" t="s">
        <v>1137</v>
      </c>
      <c r="L2400" s="243" t="s">
        <v>153</v>
      </c>
      <c r="M2400" s="395"/>
      <c r="N2400" s="395"/>
    </row>
    <row r="2401" spans="1:14" ht="15.6" hidden="1">
      <c r="A2401" s="420">
        <v>45914</v>
      </c>
      <c r="B2401" s="413" t="s">
        <v>4876</v>
      </c>
      <c r="C2401" s="413" t="s">
        <v>172</v>
      </c>
      <c r="D2401" s="177" t="s">
        <v>440</v>
      </c>
      <c r="E2401" s="413">
        <v>1000</v>
      </c>
      <c r="F2401" s="407">
        <f t="shared" ref="F2401:F2464" si="30">E2401/G2401</f>
        <v>1.8744037053212446</v>
      </c>
      <c r="G2401" s="408">
        <v>533.50300000000004</v>
      </c>
      <c r="H2401" s="413" t="s">
        <v>173</v>
      </c>
      <c r="I2401" s="413" t="s">
        <v>2959</v>
      </c>
      <c r="J2401" s="243" t="s">
        <v>96</v>
      </c>
      <c r="K2401" s="243" t="s">
        <v>1137</v>
      </c>
      <c r="L2401" s="243" t="s">
        <v>153</v>
      </c>
      <c r="M2401" s="395"/>
      <c r="N2401" s="395"/>
    </row>
    <row r="2402" spans="1:14" ht="15.6" hidden="1">
      <c r="A2402" s="420">
        <v>45914</v>
      </c>
      <c r="B2402" s="413" t="s">
        <v>4876</v>
      </c>
      <c r="C2402" s="413" t="s">
        <v>172</v>
      </c>
      <c r="D2402" s="177" t="s">
        <v>440</v>
      </c>
      <c r="E2402" s="413">
        <v>1000</v>
      </c>
      <c r="F2402" s="407">
        <f t="shared" si="30"/>
        <v>1.8744037053212446</v>
      </c>
      <c r="G2402" s="408">
        <v>533.50300000000004</v>
      </c>
      <c r="H2402" s="413" t="s">
        <v>173</v>
      </c>
      <c r="I2402" s="413" t="s">
        <v>2959</v>
      </c>
      <c r="J2402" s="243" t="s">
        <v>96</v>
      </c>
      <c r="K2402" s="243" t="s">
        <v>1137</v>
      </c>
      <c r="L2402" s="243" t="s">
        <v>153</v>
      </c>
      <c r="M2402" s="395"/>
      <c r="N2402" s="395"/>
    </row>
    <row r="2403" spans="1:14" ht="15.6" hidden="1">
      <c r="A2403" s="405">
        <v>45914</v>
      </c>
      <c r="B2403" s="243" t="s">
        <v>3089</v>
      </c>
      <c r="C2403" s="243" t="s">
        <v>175</v>
      </c>
      <c r="D2403" s="243" t="s">
        <v>115</v>
      </c>
      <c r="E2403" s="422">
        <v>15000</v>
      </c>
      <c r="F2403" s="407">
        <f t="shared" si="30"/>
        <v>28.116055579818667</v>
      </c>
      <c r="G2403" s="408">
        <v>533.50300000000004</v>
      </c>
      <c r="H2403" s="252" t="s">
        <v>195</v>
      </c>
      <c r="I2403" s="413" t="s">
        <v>3108</v>
      </c>
      <c r="J2403" s="243" t="s">
        <v>96</v>
      </c>
      <c r="K2403" s="243" t="s">
        <v>1137</v>
      </c>
      <c r="L2403" s="243" t="s">
        <v>153</v>
      </c>
      <c r="M2403" s="76"/>
      <c r="N2403" s="76"/>
    </row>
    <row r="2404" spans="1:14" ht="15.6" hidden="1">
      <c r="A2404" s="405">
        <v>45914</v>
      </c>
      <c r="B2404" s="413" t="s">
        <v>3090</v>
      </c>
      <c r="C2404" s="346" t="s">
        <v>194</v>
      </c>
      <c r="D2404" s="346" t="s">
        <v>115</v>
      </c>
      <c r="E2404" s="416">
        <v>500</v>
      </c>
      <c r="F2404" s="407">
        <f t="shared" si="30"/>
        <v>0.93720185266062228</v>
      </c>
      <c r="G2404" s="408">
        <v>533.50300000000004</v>
      </c>
      <c r="H2404" s="252" t="s">
        <v>195</v>
      </c>
      <c r="I2404" s="413" t="s">
        <v>3101</v>
      </c>
      <c r="J2404" s="243" t="s">
        <v>96</v>
      </c>
      <c r="K2404" s="243" t="s">
        <v>1137</v>
      </c>
      <c r="L2404" s="243" t="s">
        <v>153</v>
      </c>
      <c r="M2404" s="76"/>
      <c r="N2404" s="76"/>
    </row>
    <row r="2405" spans="1:14" ht="15.6" hidden="1">
      <c r="A2405" s="405">
        <v>45914</v>
      </c>
      <c r="B2405" s="243" t="s">
        <v>3091</v>
      </c>
      <c r="C2405" s="239" t="s">
        <v>194</v>
      </c>
      <c r="D2405" s="239" t="s">
        <v>115</v>
      </c>
      <c r="E2405" s="422">
        <v>2500</v>
      </c>
      <c r="F2405" s="407">
        <f t="shared" si="30"/>
        <v>4.6860092633031112</v>
      </c>
      <c r="G2405" s="408">
        <v>533.50300000000004</v>
      </c>
      <c r="H2405" s="252" t="s">
        <v>195</v>
      </c>
      <c r="I2405" s="413" t="s">
        <v>3101</v>
      </c>
      <c r="J2405" s="243" t="s">
        <v>96</v>
      </c>
      <c r="K2405" s="243" t="s">
        <v>1137</v>
      </c>
      <c r="L2405" s="243" t="s">
        <v>153</v>
      </c>
      <c r="M2405" s="76"/>
      <c r="N2405" s="76"/>
    </row>
    <row r="2406" spans="1:14" ht="15.6" hidden="1">
      <c r="A2406" s="420">
        <v>45915</v>
      </c>
      <c r="B2406" s="413" t="s">
        <v>2103</v>
      </c>
      <c r="C2406" s="406" t="s">
        <v>172</v>
      </c>
      <c r="D2406" s="406" t="s">
        <v>117</v>
      </c>
      <c r="E2406" s="346">
        <v>1000</v>
      </c>
      <c r="F2406" s="407">
        <f t="shared" si="30"/>
        <v>1.8744037053212446</v>
      </c>
      <c r="G2406" s="408">
        <v>533.50300000000004</v>
      </c>
      <c r="H2406" s="409" t="s">
        <v>151</v>
      </c>
      <c r="I2406" s="413" t="s">
        <v>2824</v>
      </c>
      <c r="J2406" s="243" t="s">
        <v>96</v>
      </c>
      <c r="K2406" s="243" t="s">
        <v>1137</v>
      </c>
      <c r="L2406" s="243" t="s">
        <v>153</v>
      </c>
      <c r="M2406" s="327"/>
      <c r="N2406" s="327"/>
    </row>
    <row r="2407" spans="1:14" ht="15.6" hidden="1">
      <c r="A2407" s="420">
        <v>45915</v>
      </c>
      <c r="B2407" s="413" t="s">
        <v>2104</v>
      </c>
      <c r="C2407" s="406" t="s">
        <v>172</v>
      </c>
      <c r="D2407" s="406" t="s">
        <v>117</v>
      </c>
      <c r="E2407" s="346">
        <v>1000</v>
      </c>
      <c r="F2407" s="407">
        <f t="shared" si="30"/>
        <v>1.8744037053212446</v>
      </c>
      <c r="G2407" s="408">
        <v>533.50300000000004</v>
      </c>
      <c r="H2407" s="409" t="s">
        <v>151</v>
      </c>
      <c r="I2407" s="413" t="s">
        <v>2824</v>
      </c>
      <c r="J2407" s="243" t="s">
        <v>96</v>
      </c>
      <c r="K2407" s="243" t="s">
        <v>1137</v>
      </c>
      <c r="L2407" s="243" t="s">
        <v>153</v>
      </c>
      <c r="M2407" s="327"/>
      <c r="N2407" s="327"/>
    </row>
    <row r="2408" spans="1:14" ht="15.6" hidden="1">
      <c r="A2408" s="418">
        <v>45915</v>
      </c>
      <c r="B2408" s="419" t="s">
        <v>4917</v>
      </c>
      <c r="C2408" s="419" t="s">
        <v>172</v>
      </c>
      <c r="D2408" s="177" t="s">
        <v>440</v>
      </c>
      <c r="E2408" s="419">
        <v>1000</v>
      </c>
      <c r="F2408" s="407">
        <f t="shared" si="30"/>
        <v>1.8744037053212446</v>
      </c>
      <c r="G2408" s="408">
        <v>533.50300000000004</v>
      </c>
      <c r="H2408" s="419" t="s">
        <v>182</v>
      </c>
      <c r="I2408" s="419" t="s">
        <v>2936</v>
      </c>
      <c r="J2408" s="243" t="s">
        <v>96</v>
      </c>
      <c r="K2408" s="243" t="s">
        <v>1137</v>
      </c>
      <c r="L2408" s="243" t="s">
        <v>153</v>
      </c>
      <c r="M2408" s="395"/>
      <c r="N2408" s="395"/>
    </row>
    <row r="2409" spans="1:14" ht="15.6" hidden="1">
      <c r="A2409" s="418">
        <v>45915</v>
      </c>
      <c r="B2409" s="419" t="s">
        <v>4917</v>
      </c>
      <c r="C2409" s="419" t="s">
        <v>172</v>
      </c>
      <c r="D2409" s="177" t="s">
        <v>440</v>
      </c>
      <c r="E2409" s="419">
        <v>1000</v>
      </c>
      <c r="F2409" s="407">
        <f t="shared" si="30"/>
        <v>1.8744037053212446</v>
      </c>
      <c r="G2409" s="408">
        <v>533.50300000000004</v>
      </c>
      <c r="H2409" s="419" t="s">
        <v>182</v>
      </c>
      <c r="I2409" s="419" t="s">
        <v>2936</v>
      </c>
      <c r="J2409" s="243" t="s">
        <v>96</v>
      </c>
      <c r="K2409" s="243" t="s">
        <v>1137</v>
      </c>
      <c r="L2409" s="243" t="s">
        <v>153</v>
      </c>
      <c r="M2409" s="395"/>
      <c r="N2409" s="395"/>
    </row>
    <row r="2410" spans="1:14" ht="15.6" hidden="1">
      <c r="A2410" s="418">
        <v>45915</v>
      </c>
      <c r="B2410" s="419" t="s">
        <v>4912</v>
      </c>
      <c r="C2410" s="419" t="s">
        <v>172</v>
      </c>
      <c r="D2410" s="177" t="s">
        <v>440</v>
      </c>
      <c r="E2410" s="419">
        <v>1000</v>
      </c>
      <c r="F2410" s="407">
        <f t="shared" si="30"/>
        <v>1.8744037053212446</v>
      </c>
      <c r="G2410" s="408">
        <v>533.50300000000004</v>
      </c>
      <c r="H2410" s="419" t="s">
        <v>182</v>
      </c>
      <c r="I2410" s="419" t="s">
        <v>2936</v>
      </c>
      <c r="J2410" s="243" t="s">
        <v>96</v>
      </c>
      <c r="K2410" s="243" t="s">
        <v>1137</v>
      </c>
      <c r="L2410" s="243" t="s">
        <v>153</v>
      </c>
      <c r="M2410" s="395"/>
      <c r="N2410" s="395"/>
    </row>
    <row r="2411" spans="1:14" ht="15.6" hidden="1">
      <c r="A2411" s="418">
        <v>45915</v>
      </c>
      <c r="B2411" s="419" t="s">
        <v>4917</v>
      </c>
      <c r="C2411" s="419" t="s">
        <v>172</v>
      </c>
      <c r="D2411" s="177" t="s">
        <v>440</v>
      </c>
      <c r="E2411" s="419">
        <v>1000</v>
      </c>
      <c r="F2411" s="407">
        <f t="shared" si="30"/>
        <v>1.8744037053212446</v>
      </c>
      <c r="G2411" s="408">
        <v>533.50300000000004</v>
      </c>
      <c r="H2411" s="419" t="s">
        <v>182</v>
      </c>
      <c r="I2411" s="419" t="s">
        <v>2936</v>
      </c>
      <c r="J2411" s="243" t="s">
        <v>96</v>
      </c>
      <c r="K2411" s="243" t="s">
        <v>1137</v>
      </c>
      <c r="L2411" s="243" t="s">
        <v>153</v>
      </c>
      <c r="M2411" s="395"/>
      <c r="N2411" s="395"/>
    </row>
    <row r="2412" spans="1:14" ht="15.6" hidden="1">
      <c r="A2412" s="418">
        <v>45915</v>
      </c>
      <c r="B2412" s="419" t="s">
        <v>4917</v>
      </c>
      <c r="C2412" s="419" t="s">
        <v>172</v>
      </c>
      <c r="D2412" s="177" t="s">
        <v>440</v>
      </c>
      <c r="E2412" s="419">
        <v>1000</v>
      </c>
      <c r="F2412" s="407">
        <f t="shared" si="30"/>
        <v>1.8744037053212446</v>
      </c>
      <c r="G2412" s="408">
        <v>533.50300000000004</v>
      </c>
      <c r="H2412" s="419" t="s">
        <v>182</v>
      </c>
      <c r="I2412" s="419" t="s">
        <v>2936</v>
      </c>
      <c r="J2412" s="243" t="s">
        <v>96</v>
      </c>
      <c r="K2412" s="243" t="s">
        <v>1137</v>
      </c>
      <c r="L2412" s="243" t="s">
        <v>153</v>
      </c>
      <c r="M2412" s="395"/>
      <c r="N2412" s="395"/>
    </row>
    <row r="2413" spans="1:14" ht="15.6" hidden="1">
      <c r="A2413" s="418">
        <v>45915</v>
      </c>
      <c r="B2413" s="419" t="s">
        <v>4917</v>
      </c>
      <c r="C2413" s="419" t="s">
        <v>172</v>
      </c>
      <c r="D2413" s="177" t="s">
        <v>440</v>
      </c>
      <c r="E2413" s="419">
        <v>1000</v>
      </c>
      <c r="F2413" s="407">
        <f t="shared" si="30"/>
        <v>1.8744037053212446</v>
      </c>
      <c r="G2413" s="408">
        <v>533.50300000000004</v>
      </c>
      <c r="H2413" s="419" t="s">
        <v>182</v>
      </c>
      <c r="I2413" s="419" t="s">
        <v>2936</v>
      </c>
      <c r="J2413" s="243" t="s">
        <v>96</v>
      </c>
      <c r="K2413" s="243" t="s">
        <v>1137</v>
      </c>
      <c r="L2413" s="243" t="s">
        <v>153</v>
      </c>
      <c r="M2413" s="395"/>
      <c r="N2413" s="395"/>
    </row>
    <row r="2414" spans="1:14" ht="15.6" hidden="1">
      <c r="A2414" s="420">
        <v>45915</v>
      </c>
      <c r="B2414" s="413" t="s">
        <v>4876</v>
      </c>
      <c r="C2414" s="413" t="s">
        <v>172</v>
      </c>
      <c r="D2414" s="177" t="s">
        <v>440</v>
      </c>
      <c r="E2414" s="413">
        <v>1000</v>
      </c>
      <c r="F2414" s="407">
        <f t="shared" si="30"/>
        <v>1.8744037053212446</v>
      </c>
      <c r="G2414" s="408">
        <v>533.50300000000004</v>
      </c>
      <c r="H2414" s="413" t="s">
        <v>173</v>
      </c>
      <c r="I2414" s="413" t="s">
        <v>2959</v>
      </c>
      <c r="J2414" s="243" t="s">
        <v>96</v>
      </c>
      <c r="K2414" s="243" t="s">
        <v>1137</v>
      </c>
      <c r="L2414" s="243" t="s">
        <v>153</v>
      </c>
      <c r="M2414" s="395"/>
      <c r="N2414" s="395"/>
    </row>
    <row r="2415" spans="1:14" ht="15.6" hidden="1">
      <c r="A2415" s="420">
        <v>45915</v>
      </c>
      <c r="B2415" s="413" t="s">
        <v>4876</v>
      </c>
      <c r="C2415" s="413" t="s">
        <v>172</v>
      </c>
      <c r="D2415" s="177" t="s">
        <v>440</v>
      </c>
      <c r="E2415" s="413">
        <v>1000</v>
      </c>
      <c r="F2415" s="407">
        <f t="shared" si="30"/>
        <v>1.8744037053212446</v>
      </c>
      <c r="G2415" s="408">
        <v>533.50300000000004</v>
      </c>
      <c r="H2415" s="413" t="s">
        <v>173</v>
      </c>
      <c r="I2415" s="413" t="s">
        <v>2959</v>
      </c>
      <c r="J2415" s="243" t="s">
        <v>96</v>
      </c>
      <c r="K2415" s="243" t="s">
        <v>1137</v>
      </c>
      <c r="L2415" s="243" t="s">
        <v>153</v>
      </c>
      <c r="M2415" s="395"/>
      <c r="N2415" s="395"/>
    </row>
    <row r="2416" spans="1:14" ht="15.6" hidden="1">
      <c r="A2416" s="420">
        <v>45915</v>
      </c>
      <c r="B2416" s="413" t="s">
        <v>4876</v>
      </c>
      <c r="C2416" s="413" t="s">
        <v>172</v>
      </c>
      <c r="D2416" s="177" t="s">
        <v>440</v>
      </c>
      <c r="E2416" s="413">
        <v>1000</v>
      </c>
      <c r="F2416" s="407">
        <f t="shared" si="30"/>
        <v>1.8744037053212446</v>
      </c>
      <c r="G2416" s="408">
        <v>533.50300000000004</v>
      </c>
      <c r="H2416" s="413" t="s">
        <v>173</v>
      </c>
      <c r="I2416" s="413" t="s">
        <v>2959</v>
      </c>
      <c r="J2416" s="243" t="s">
        <v>96</v>
      </c>
      <c r="K2416" s="243" t="s">
        <v>1137</v>
      </c>
      <c r="L2416" s="243" t="s">
        <v>153</v>
      </c>
      <c r="M2416" s="395"/>
      <c r="N2416" s="395"/>
    </row>
    <row r="2417" spans="1:14" ht="15.6" hidden="1">
      <c r="A2417" s="420">
        <v>45915</v>
      </c>
      <c r="B2417" s="413" t="s">
        <v>4876</v>
      </c>
      <c r="C2417" s="413" t="s">
        <v>172</v>
      </c>
      <c r="D2417" s="177" t="s">
        <v>440</v>
      </c>
      <c r="E2417" s="413">
        <v>1000</v>
      </c>
      <c r="F2417" s="407">
        <f t="shared" si="30"/>
        <v>1.8744037053212446</v>
      </c>
      <c r="G2417" s="408">
        <v>533.50300000000004</v>
      </c>
      <c r="H2417" s="413" t="s">
        <v>173</v>
      </c>
      <c r="I2417" s="413" t="s">
        <v>2959</v>
      </c>
      <c r="J2417" s="243" t="s">
        <v>96</v>
      </c>
      <c r="K2417" s="243" t="s">
        <v>1137</v>
      </c>
      <c r="L2417" s="243" t="s">
        <v>153</v>
      </c>
      <c r="M2417" s="395"/>
      <c r="N2417" s="395"/>
    </row>
    <row r="2418" spans="1:14" ht="15.6" hidden="1">
      <c r="A2418" s="420">
        <v>45915</v>
      </c>
      <c r="B2418" s="413" t="s">
        <v>4917</v>
      </c>
      <c r="C2418" s="413" t="s">
        <v>172</v>
      </c>
      <c r="D2418" s="177" t="s">
        <v>440</v>
      </c>
      <c r="E2418" s="413">
        <v>1000</v>
      </c>
      <c r="F2418" s="407">
        <f t="shared" si="30"/>
        <v>1.8744037053212446</v>
      </c>
      <c r="G2418" s="408">
        <v>533.50300000000004</v>
      </c>
      <c r="H2418" s="413" t="s">
        <v>173</v>
      </c>
      <c r="I2418" s="413" t="s">
        <v>2959</v>
      </c>
      <c r="J2418" s="243" t="s">
        <v>96</v>
      </c>
      <c r="K2418" s="243" t="s">
        <v>1137</v>
      </c>
      <c r="L2418" s="243" t="s">
        <v>153</v>
      </c>
      <c r="M2418" s="327"/>
      <c r="N2418" s="327"/>
    </row>
    <row r="2419" spans="1:14" ht="15.6" hidden="1">
      <c r="A2419" s="415">
        <v>45915</v>
      </c>
      <c r="B2419" s="243" t="s">
        <v>4917</v>
      </c>
      <c r="C2419" s="243" t="s">
        <v>172</v>
      </c>
      <c r="D2419" s="177" t="s">
        <v>440</v>
      </c>
      <c r="E2419" s="243">
        <v>1000</v>
      </c>
      <c r="F2419" s="407">
        <f t="shared" si="30"/>
        <v>1.8744037053212446</v>
      </c>
      <c r="G2419" s="408">
        <v>533.50300000000004</v>
      </c>
      <c r="H2419" s="243" t="s">
        <v>173</v>
      </c>
      <c r="I2419" s="413" t="s">
        <v>2959</v>
      </c>
      <c r="J2419" s="243" t="s">
        <v>96</v>
      </c>
      <c r="K2419" s="243" t="s">
        <v>1137</v>
      </c>
      <c r="L2419" s="243" t="s">
        <v>153</v>
      </c>
      <c r="M2419" s="327"/>
      <c r="N2419" s="327"/>
    </row>
    <row r="2420" spans="1:14" ht="15.6" hidden="1">
      <c r="A2420" s="420">
        <v>45915</v>
      </c>
      <c r="B2420" s="413" t="s">
        <v>2998</v>
      </c>
      <c r="C2420" s="413" t="s">
        <v>172</v>
      </c>
      <c r="D2420" s="413" t="s">
        <v>115</v>
      </c>
      <c r="E2420" s="414">
        <v>500</v>
      </c>
      <c r="F2420" s="407">
        <f t="shared" si="30"/>
        <v>0.93720185266062228</v>
      </c>
      <c r="G2420" s="408">
        <v>533.50300000000004</v>
      </c>
      <c r="H2420" s="413" t="s">
        <v>188</v>
      </c>
      <c r="I2420" s="413" t="s">
        <v>3016</v>
      </c>
      <c r="J2420" s="243" t="s">
        <v>96</v>
      </c>
      <c r="K2420" s="243" t="s">
        <v>1137</v>
      </c>
      <c r="L2420" s="243" t="s">
        <v>153</v>
      </c>
      <c r="M2420" s="327"/>
      <c r="N2420" s="327"/>
    </row>
    <row r="2421" spans="1:14" ht="15.6" hidden="1">
      <c r="A2421" s="420">
        <v>45915</v>
      </c>
      <c r="B2421" s="413" t="s">
        <v>3000</v>
      </c>
      <c r="C2421" s="413" t="s">
        <v>172</v>
      </c>
      <c r="D2421" s="413" t="s">
        <v>115</v>
      </c>
      <c r="E2421" s="414">
        <v>500</v>
      </c>
      <c r="F2421" s="407">
        <f t="shared" si="30"/>
        <v>0.93720185266062228</v>
      </c>
      <c r="G2421" s="408">
        <v>533.50300000000004</v>
      </c>
      <c r="H2421" s="413" t="s">
        <v>188</v>
      </c>
      <c r="I2421" s="413" t="s">
        <v>3016</v>
      </c>
      <c r="J2421" s="243" t="s">
        <v>96</v>
      </c>
      <c r="K2421" s="243" t="s">
        <v>1137</v>
      </c>
      <c r="L2421" s="243" t="s">
        <v>153</v>
      </c>
      <c r="M2421" s="327"/>
      <c r="N2421" s="327"/>
    </row>
    <row r="2422" spans="1:14" ht="15.6" hidden="1">
      <c r="A2422" s="415">
        <v>45915</v>
      </c>
      <c r="B2422" s="243" t="s">
        <v>2361</v>
      </c>
      <c r="C2422" s="413" t="s">
        <v>180</v>
      </c>
      <c r="D2422" s="413" t="s">
        <v>116</v>
      </c>
      <c r="E2422" s="412">
        <v>3600</v>
      </c>
      <c r="F2422" s="407">
        <f t="shared" si="30"/>
        <v>6.7478533391564799</v>
      </c>
      <c r="G2422" s="408">
        <v>533.50300000000004</v>
      </c>
      <c r="H2422" s="413" t="s">
        <v>188</v>
      </c>
      <c r="I2422" s="243" t="s">
        <v>3021</v>
      </c>
      <c r="J2422" s="243" t="s">
        <v>96</v>
      </c>
      <c r="K2422" s="243" t="s">
        <v>1137</v>
      </c>
      <c r="L2422" s="243" t="s">
        <v>153</v>
      </c>
      <c r="M2422" s="327"/>
      <c r="N2422" s="327"/>
    </row>
    <row r="2423" spans="1:14" ht="15.6" hidden="1">
      <c r="A2423" s="420">
        <v>45916</v>
      </c>
      <c r="B2423" s="413" t="s">
        <v>2103</v>
      </c>
      <c r="C2423" s="406" t="s">
        <v>172</v>
      </c>
      <c r="D2423" s="406" t="s">
        <v>117</v>
      </c>
      <c r="E2423" s="346">
        <v>1000</v>
      </c>
      <c r="F2423" s="407">
        <f t="shared" si="30"/>
        <v>1.8744037053212446</v>
      </c>
      <c r="G2423" s="408">
        <v>533.50300000000004</v>
      </c>
      <c r="H2423" s="409" t="s">
        <v>151</v>
      </c>
      <c r="I2423" s="413" t="s">
        <v>2824</v>
      </c>
      <c r="J2423" s="243" t="s">
        <v>96</v>
      </c>
      <c r="K2423" s="243" t="s">
        <v>1137</v>
      </c>
      <c r="L2423" s="243" t="s">
        <v>153</v>
      </c>
      <c r="M2423" s="327"/>
      <c r="N2423" s="327"/>
    </row>
    <row r="2424" spans="1:14" ht="15.6" hidden="1">
      <c r="A2424" s="420">
        <v>45916</v>
      </c>
      <c r="B2424" s="413" t="s">
        <v>2104</v>
      </c>
      <c r="C2424" s="406" t="s">
        <v>172</v>
      </c>
      <c r="D2424" s="406" t="s">
        <v>117</v>
      </c>
      <c r="E2424" s="346">
        <v>1000</v>
      </c>
      <c r="F2424" s="407">
        <f t="shared" si="30"/>
        <v>1.8744037053212446</v>
      </c>
      <c r="G2424" s="408">
        <v>533.50300000000004</v>
      </c>
      <c r="H2424" s="409" t="s">
        <v>151</v>
      </c>
      <c r="I2424" s="413" t="s">
        <v>2824</v>
      </c>
      <c r="J2424" s="243" t="s">
        <v>96</v>
      </c>
      <c r="K2424" s="243" t="s">
        <v>1137</v>
      </c>
      <c r="L2424" s="243" t="s">
        <v>153</v>
      </c>
      <c r="M2424" s="327"/>
      <c r="N2424" s="327"/>
    </row>
    <row r="2425" spans="1:14" ht="15.6" hidden="1">
      <c r="A2425" s="418">
        <v>45916</v>
      </c>
      <c r="B2425" s="213" t="s">
        <v>2842</v>
      </c>
      <c r="C2425" s="213" t="s">
        <v>172</v>
      </c>
      <c r="D2425" s="329" t="s">
        <v>115</v>
      </c>
      <c r="E2425" s="419">
        <v>1500</v>
      </c>
      <c r="F2425" s="407">
        <f t="shared" si="30"/>
        <v>2.8116055579818666</v>
      </c>
      <c r="G2425" s="408">
        <v>533.50300000000004</v>
      </c>
      <c r="H2425" s="172" t="s">
        <v>198</v>
      </c>
      <c r="I2425" s="213" t="s">
        <v>2859</v>
      </c>
      <c r="J2425" s="243" t="s">
        <v>96</v>
      </c>
      <c r="K2425" s="243" t="s">
        <v>1137</v>
      </c>
      <c r="L2425" s="243" t="s">
        <v>153</v>
      </c>
      <c r="M2425" s="327"/>
      <c r="N2425" s="327"/>
    </row>
    <row r="2426" spans="1:14" ht="15.6" hidden="1">
      <c r="A2426" s="418">
        <v>45916</v>
      </c>
      <c r="B2426" s="213" t="s">
        <v>2843</v>
      </c>
      <c r="C2426" s="213" t="s">
        <v>172</v>
      </c>
      <c r="D2426" s="329" t="s">
        <v>115</v>
      </c>
      <c r="E2426" s="419">
        <v>1500</v>
      </c>
      <c r="F2426" s="407">
        <f t="shared" si="30"/>
        <v>2.8116055579818666</v>
      </c>
      <c r="G2426" s="408">
        <v>533.50300000000004</v>
      </c>
      <c r="H2426" s="172" t="s">
        <v>198</v>
      </c>
      <c r="I2426" s="213" t="s">
        <v>2859</v>
      </c>
      <c r="J2426" s="243" t="s">
        <v>96</v>
      </c>
      <c r="K2426" s="243" t="s">
        <v>1137</v>
      </c>
      <c r="L2426" s="243" t="s">
        <v>153</v>
      </c>
      <c r="M2426" s="327"/>
      <c r="N2426" s="327"/>
    </row>
    <row r="2427" spans="1:14" ht="15.6" hidden="1">
      <c r="A2427" s="411">
        <v>45916</v>
      </c>
      <c r="B2427" s="413" t="s">
        <v>2886</v>
      </c>
      <c r="C2427" s="413" t="s">
        <v>172</v>
      </c>
      <c r="D2427" s="413" t="s">
        <v>116</v>
      </c>
      <c r="E2427" s="414">
        <v>1000</v>
      </c>
      <c r="F2427" s="407">
        <f t="shared" si="30"/>
        <v>1.8744037053212446</v>
      </c>
      <c r="G2427" s="408">
        <v>533.50300000000004</v>
      </c>
      <c r="H2427" s="413" t="s">
        <v>581</v>
      </c>
      <c r="I2427" s="413" t="s">
        <v>2914</v>
      </c>
      <c r="J2427" s="243" t="s">
        <v>96</v>
      </c>
      <c r="K2427" s="243" t="s">
        <v>1137</v>
      </c>
      <c r="L2427" s="243" t="s">
        <v>153</v>
      </c>
      <c r="M2427" s="395"/>
      <c r="N2427" s="395"/>
    </row>
    <row r="2428" spans="1:14" ht="15.6" hidden="1">
      <c r="A2428" s="411">
        <v>45916</v>
      </c>
      <c r="B2428" s="413" t="s">
        <v>2884</v>
      </c>
      <c r="C2428" s="413" t="s">
        <v>172</v>
      </c>
      <c r="D2428" s="413" t="s">
        <v>116</v>
      </c>
      <c r="E2428" s="414">
        <v>1000</v>
      </c>
      <c r="F2428" s="407">
        <f t="shared" si="30"/>
        <v>1.8744037053212446</v>
      </c>
      <c r="G2428" s="408">
        <v>533.50300000000004</v>
      </c>
      <c r="H2428" s="413" t="s">
        <v>581</v>
      </c>
      <c r="I2428" s="413" t="s">
        <v>2914</v>
      </c>
      <c r="J2428" s="243" t="s">
        <v>96</v>
      </c>
      <c r="K2428" s="243" t="s">
        <v>1137</v>
      </c>
      <c r="L2428" s="243" t="s">
        <v>153</v>
      </c>
      <c r="M2428" s="395"/>
      <c r="N2428" s="395"/>
    </row>
    <row r="2429" spans="1:14" ht="15.6" hidden="1">
      <c r="A2429" s="418">
        <v>45916</v>
      </c>
      <c r="B2429" s="419" t="s">
        <v>4917</v>
      </c>
      <c r="C2429" s="419" t="s">
        <v>172</v>
      </c>
      <c r="D2429" s="177" t="s">
        <v>440</v>
      </c>
      <c r="E2429" s="419">
        <v>1000</v>
      </c>
      <c r="F2429" s="407">
        <f t="shared" si="30"/>
        <v>1.8744037053212446</v>
      </c>
      <c r="G2429" s="408">
        <v>533.50300000000004</v>
      </c>
      <c r="H2429" s="419" t="s">
        <v>182</v>
      </c>
      <c r="I2429" s="419" t="s">
        <v>2936</v>
      </c>
      <c r="J2429" s="243" t="s">
        <v>96</v>
      </c>
      <c r="K2429" s="243" t="s">
        <v>1137</v>
      </c>
      <c r="L2429" s="243" t="s">
        <v>153</v>
      </c>
      <c r="M2429" s="395"/>
      <c r="N2429" s="395"/>
    </row>
    <row r="2430" spans="1:14" ht="15.6" hidden="1">
      <c r="A2430" s="418">
        <v>45916</v>
      </c>
      <c r="B2430" s="419" t="s">
        <v>4917</v>
      </c>
      <c r="C2430" s="419" t="s">
        <v>172</v>
      </c>
      <c r="D2430" s="177" t="s">
        <v>440</v>
      </c>
      <c r="E2430" s="419">
        <v>1000</v>
      </c>
      <c r="F2430" s="407">
        <f t="shared" si="30"/>
        <v>1.8744037053212446</v>
      </c>
      <c r="G2430" s="408">
        <v>533.50300000000004</v>
      </c>
      <c r="H2430" s="419" t="s">
        <v>182</v>
      </c>
      <c r="I2430" s="419" t="s">
        <v>2936</v>
      </c>
      <c r="J2430" s="243" t="s">
        <v>96</v>
      </c>
      <c r="K2430" s="243" t="s">
        <v>1137</v>
      </c>
      <c r="L2430" s="243" t="s">
        <v>153</v>
      </c>
      <c r="M2430" s="395"/>
      <c r="N2430" s="395"/>
    </row>
    <row r="2431" spans="1:14" ht="15.6" hidden="1">
      <c r="A2431" s="418">
        <v>45916</v>
      </c>
      <c r="B2431" s="419" t="s">
        <v>4912</v>
      </c>
      <c r="C2431" s="419" t="s">
        <v>172</v>
      </c>
      <c r="D2431" s="177" t="s">
        <v>440</v>
      </c>
      <c r="E2431" s="419">
        <v>1000</v>
      </c>
      <c r="F2431" s="407">
        <f t="shared" si="30"/>
        <v>1.8744037053212446</v>
      </c>
      <c r="G2431" s="408">
        <v>533.50300000000004</v>
      </c>
      <c r="H2431" s="419" t="s">
        <v>182</v>
      </c>
      <c r="I2431" s="419" t="s">
        <v>2936</v>
      </c>
      <c r="J2431" s="243" t="s">
        <v>96</v>
      </c>
      <c r="K2431" s="243" t="s">
        <v>1137</v>
      </c>
      <c r="L2431" s="243" t="s">
        <v>153</v>
      </c>
      <c r="M2431" s="395"/>
      <c r="N2431" s="395"/>
    </row>
    <row r="2432" spans="1:14" ht="15.6" hidden="1">
      <c r="A2432" s="418">
        <v>45916</v>
      </c>
      <c r="B2432" s="419" t="s">
        <v>4917</v>
      </c>
      <c r="C2432" s="419" t="s">
        <v>172</v>
      </c>
      <c r="D2432" s="177" t="s">
        <v>440</v>
      </c>
      <c r="E2432" s="419">
        <v>1000</v>
      </c>
      <c r="F2432" s="407">
        <f t="shared" si="30"/>
        <v>1.8744037053212446</v>
      </c>
      <c r="G2432" s="408">
        <v>533.50300000000004</v>
      </c>
      <c r="H2432" s="419" t="s">
        <v>182</v>
      </c>
      <c r="I2432" s="419" t="s">
        <v>2936</v>
      </c>
      <c r="J2432" s="243" t="s">
        <v>96</v>
      </c>
      <c r="K2432" s="243" t="s">
        <v>1137</v>
      </c>
      <c r="L2432" s="243" t="s">
        <v>153</v>
      </c>
      <c r="M2432" s="395"/>
      <c r="N2432" s="395"/>
    </row>
    <row r="2433" spans="1:14" ht="15.6" hidden="1">
      <c r="A2433" s="418">
        <v>45916</v>
      </c>
      <c r="B2433" s="419" t="s">
        <v>4917</v>
      </c>
      <c r="C2433" s="419" t="s">
        <v>172</v>
      </c>
      <c r="D2433" s="177" t="s">
        <v>440</v>
      </c>
      <c r="E2433" s="419">
        <v>1000</v>
      </c>
      <c r="F2433" s="407">
        <f t="shared" si="30"/>
        <v>1.8744037053212446</v>
      </c>
      <c r="G2433" s="408">
        <v>533.50300000000004</v>
      </c>
      <c r="H2433" s="419" t="s">
        <v>182</v>
      </c>
      <c r="I2433" s="419" t="s">
        <v>2936</v>
      </c>
      <c r="J2433" s="243" t="s">
        <v>96</v>
      </c>
      <c r="K2433" s="243" t="s">
        <v>1137</v>
      </c>
      <c r="L2433" s="243" t="s">
        <v>153</v>
      </c>
      <c r="M2433" s="395"/>
      <c r="N2433" s="395"/>
    </row>
    <row r="2434" spans="1:14" ht="15.6" hidden="1">
      <c r="A2434" s="418">
        <v>45916</v>
      </c>
      <c r="B2434" s="419" t="s">
        <v>4917</v>
      </c>
      <c r="C2434" s="419" t="s">
        <v>172</v>
      </c>
      <c r="D2434" s="177" t="s">
        <v>440</v>
      </c>
      <c r="E2434" s="419">
        <v>1000</v>
      </c>
      <c r="F2434" s="407">
        <f t="shared" si="30"/>
        <v>1.8744037053212446</v>
      </c>
      <c r="G2434" s="408">
        <v>533.50300000000004</v>
      </c>
      <c r="H2434" s="419" t="s">
        <v>182</v>
      </c>
      <c r="I2434" s="419" t="s">
        <v>2936</v>
      </c>
      <c r="J2434" s="243" t="s">
        <v>96</v>
      </c>
      <c r="K2434" s="243" t="s">
        <v>1137</v>
      </c>
      <c r="L2434" s="243" t="s">
        <v>153</v>
      </c>
      <c r="M2434" s="395"/>
      <c r="N2434" s="395"/>
    </row>
    <row r="2435" spans="1:14" ht="15.6" hidden="1">
      <c r="A2435" s="418">
        <v>45916</v>
      </c>
      <c r="B2435" s="419" t="s">
        <v>4917</v>
      </c>
      <c r="C2435" s="419" t="s">
        <v>172</v>
      </c>
      <c r="D2435" s="177" t="s">
        <v>440</v>
      </c>
      <c r="E2435" s="419">
        <v>1000</v>
      </c>
      <c r="F2435" s="407">
        <f t="shared" si="30"/>
        <v>1.8744037053212446</v>
      </c>
      <c r="G2435" s="408">
        <v>533.50300000000004</v>
      </c>
      <c r="H2435" s="419" t="s">
        <v>182</v>
      </c>
      <c r="I2435" s="419" t="s">
        <v>2936</v>
      </c>
      <c r="J2435" s="243" t="s">
        <v>96</v>
      </c>
      <c r="K2435" s="243" t="s">
        <v>1137</v>
      </c>
      <c r="L2435" s="243" t="s">
        <v>153</v>
      </c>
      <c r="M2435" s="395"/>
      <c r="N2435" s="395"/>
    </row>
    <row r="2436" spans="1:14" ht="15.6" hidden="1">
      <c r="A2436" s="418">
        <v>45916</v>
      </c>
      <c r="B2436" s="419" t="s">
        <v>4917</v>
      </c>
      <c r="C2436" s="419" t="s">
        <v>172</v>
      </c>
      <c r="D2436" s="177" t="s">
        <v>440</v>
      </c>
      <c r="E2436" s="419">
        <v>1000</v>
      </c>
      <c r="F2436" s="407">
        <f t="shared" si="30"/>
        <v>1.8744037053212446</v>
      </c>
      <c r="G2436" s="408">
        <v>533.50300000000004</v>
      </c>
      <c r="H2436" s="419" t="s">
        <v>182</v>
      </c>
      <c r="I2436" s="419" t="s">
        <v>2936</v>
      </c>
      <c r="J2436" s="243" t="s">
        <v>96</v>
      </c>
      <c r="K2436" s="243" t="s">
        <v>1137</v>
      </c>
      <c r="L2436" s="243" t="s">
        <v>153</v>
      </c>
      <c r="M2436" s="395"/>
      <c r="N2436" s="395"/>
    </row>
    <row r="2437" spans="1:14" ht="15.6" hidden="1">
      <c r="A2437" s="420">
        <v>45916</v>
      </c>
      <c r="B2437" s="413" t="s">
        <v>4876</v>
      </c>
      <c r="C2437" s="413" t="s">
        <v>172</v>
      </c>
      <c r="D2437" s="177" t="s">
        <v>440</v>
      </c>
      <c r="E2437" s="413">
        <v>1000</v>
      </c>
      <c r="F2437" s="407">
        <f t="shared" si="30"/>
        <v>1.8744037053212446</v>
      </c>
      <c r="G2437" s="408">
        <v>533.50300000000004</v>
      </c>
      <c r="H2437" s="413" t="s">
        <v>173</v>
      </c>
      <c r="I2437" s="413" t="s">
        <v>2959</v>
      </c>
      <c r="J2437" s="243" t="s">
        <v>96</v>
      </c>
      <c r="K2437" s="243" t="s">
        <v>1137</v>
      </c>
      <c r="L2437" s="243" t="s">
        <v>153</v>
      </c>
      <c r="M2437" s="327"/>
      <c r="N2437" s="327"/>
    </row>
    <row r="2438" spans="1:14" ht="15.6" hidden="1">
      <c r="A2438" s="420">
        <v>45916</v>
      </c>
      <c r="B2438" s="413" t="s">
        <v>4876</v>
      </c>
      <c r="C2438" s="413" t="s">
        <v>172</v>
      </c>
      <c r="D2438" s="177" t="s">
        <v>440</v>
      </c>
      <c r="E2438" s="413">
        <v>1000</v>
      </c>
      <c r="F2438" s="407">
        <f t="shared" si="30"/>
        <v>1.8744037053212446</v>
      </c>
      <c r="G2438" s="408">
        <v>533.50300000000004</v>
      </c>
      <c r="H2438" s="413" t="s">
        <v>173</v>
      </c>
      <c r="I2438" s="413" t="s">
        <v>2959</v>
      </c>
      <c r="J2438" s="243" t="s">
        <v>96</v>
      </c>
      <c r="K2438" s="243" t="s">
        <v>1137</v>
      </c>
      <c r="L2438" s="243" t="s">
        <v>153</v>
      </c>
      <c r="M2438" s="395"/>
      <c r="N2438" s="395"/>
    </row>
    <row r="2439" spans="1:14" ht="15.6" hidden="1">
      <c r="A2439" s="420">
        <v>45916</v>
      </c>
      <c r="B2439" s="413" t="s">
        <v>4917</v>
      </c>
      <c r="C2439" s="413" t="s">
        <v>172</v>
      </c>
      <c r="D2439" s="177" t="s">
        <v>440</v>
      </c>
      <c r="E2439" s="413">
        <v>1000</v>
      </c>
      <c r="F2439" s="407">
        <f t="shared" si="30"/>
        <v>1.8744037053212446</v>
      </c>
      <c r="G2439" s="408">
        <v>533.50300000000004</v>
      </c>
      <c r="H2439" s="413" t="s">
        <v>173</v>
      </c>
      <c r="I2439" s="413" t="s">
        <v>2959</v>
      </c>
      <c r="J2439" s="243" t="s">
        <v>96</v>
      </c>
      <c r="K2439" s="243" t="s">
        <v>1137</v>
      </c>
      <c r="L2439" s="243" t="s">
        <v>153</v>
      </c>
      <c r="M2439" s="395"/>
      <c r="N2439" s="395"/>
    </row>
    <row r="2440" spans="1:14" ht="15.6" hidden="1">
      <c r="A2440" s="420">
        <v>45916</v>
      </c>
      <c r="B2440" s="413" t="s">
        <v>4876</v>
      </c>
      <c r="C2440" s="413" t="s">
        <v>172</v>
      </c>
      <c r="D2440" s="177" t="s">
        <v>440</v>
      </c>
      <c r="E2440" s="413">
        <v>1000</v>
      </c>
      <c r="F2440" s="407">
        <f t="shared" si="30"/>
        <v>1.8744037053212446</v>
      </c>
      <c r="G2440" s="408">
        <v>533.50300000000004</v>
      </c>
      <c r="H2440" s="413" t="s">
        <v>173</v>
      </c>
      <c r="I2440" s="413" t="s">
        <v>2959</v>
      </c>
      <c r="J2440" s="243" t="s">
        <v>96</v>
      </c>
      <c r="K2440" s="243" t="s">
        <v>1137</v>
      </c>
      <c r="L2440" s="243" t="s">
        <v>153</v>
      </c>
      <c r="M2440" s="395"/>
      <c r="N2440" s="395"/>
    </row>
    <row r="2441" spans="1:14" ht="15.6" hidden="1">
      <c r="A2441" s="420">
        <v>45916</v>
      </c>
      <c r="B2441" s="413" t="s">
        <v>4876</v>
      </c>
      <c r="C2441" s="413" t="s">
        <v>172</v>
      </c>
      <c r="D2441" s="177" t="s">
        <v>440</v>
      </c>
      <c r="E2441" s="413">
        <v>1000</v>
      </c>
      <c r="F2441" s="407">
        <f t="shared" si="30"/>
        <v>1.8744037053212446</v>
      </c>
      <c r="G2441" s="408">
        <v>533.50300000000004</v>
      </c>
      <c r="H2441" s="413" t="s">
        <v>173</v>
      </c>
      <c r="I2441" s="413" t="s">
        <v>2959</v>
      </c>
      <c r="J2441" s="243" t="s">
        <v>96</v>
      </c>
      <c r="K2441" s="243" t="s">
        <v>1137</v>
      </c>
      <c r="L2441" s="243" t="s">
        <v>153</v>
      </c>
      <c r="M2441" s="395"/>
      <c r="N2441" s="395"/>
    </row>
    <row r="2442" spans="1:14" ht="15.6" hidden="1">
      <c r="A2442" s="420">
        <v>45916</v>
      </c>
      <c r="B2442" s="413" t="s">
        <v>4876</v>
      </c>
      <c r="C2442" s="413" t="s">
        <v>172</v>
      </c>
      <c r="D2442" s="177" t="s">
        <v>440</v>
      </c>
      <c r="E2442" s="413">
        <v>1000</v>
      </c>
      <c r="F2442" s="407">
        <f t="shared" si="30"/>
        <v>1.8744037053212446</v>
      </c>
      <c r="G2442" s="408">
        <v>533.50300000000004</v>
      </c>
      <c r="H2442" s="413" t="s">
        <v>173</v>
      </c>
      <c r="I2442" s="413" t="s">
        <v>2959</v>
      </c>
      <c r="J2442" s="243" t="s">
        <v>96</v>
      </c>
      <c r="K2442" s="243" t="s">
        <v>1137</v>
      </c>
      <c r="L2442" s="243" t="s">
        <v>153</v>
      </c>
      <c r="M2442" s="395"/>
      <c r="N2442" s="395"/>
    </row>
    <row r="2443" spans="1:14" ht="15.6" hidden="1">
      <c r="A2443" s="420">
        <v>45916</v>
      </c>
      <c r="B2443" s="413" t="s">
        <v>4917</v>
      </c>
      <c r="C2443" s="413" t="s">
        <v>172</v>
      </c>
      <c r="D2443" s="177" t="s">
        <v>440</v>
      </c>
      <c r="E2443" s="413">
        <v>2500</v>
      </c>
      <c r="F2443" s="407">
        <f t="shared" si="30"/>
        <v>4.6860092633031112</v>
      </c>
      <c r="G2443" s="408">
        <v>533.50300000000004</v>
      </c>
      <c r="H2443" s="413" t="s">
        <v>315</v>
      </c>
      <c r="I2443" s="413" t="s">
        <v>2976</v>
      </c>
      <c r="J2443" s="243" t="s">
        <v>96</v>
      </c>
      <c r="K2443" s="243" t="s">
        <v>1137</v>
      </c>
      <c r="L2443" s="243" t="s">
        <v>153</v>
      </c>
      <c r="M2443" s="327"/>
      <c r="N2443" s="327"/>
    </row>
    <row r="2444" spans="1:14" ht="15.6" hidden="1">
      <c r="A2444" s="420">
        <v>45916</v>
      </c>
      <c r="B2444" s="413" t="s">
        <v>4876</v>
      </c>
      <c r="C2444" s="413" t="s">
        <v>172</v>
      </c>
      <c r="D2444" s="177" t="s">
        <v>440</v>
      </c>
      <c r="E2444" s="413">
        <v>1500</v>
      </c>
      <c r="F2444" s="407">
        <f t="shared" si="30"/>
        <v>2.8116055579818666</v>
      </c>
      <c r="G2444" s="408">
        <v>533.50300000000004</v>
      </c>
      <c r="H2444" s="413" t="s">
        <v>315</v>
      </c>
      <c r="I2444" s="413" t="s">
        <v>2976</v>
      </c>
      <c r="J2444" s="243" t="s">
        <v>96</v>
      </c>
      <c r="K2444" s="243" t="s">
        <v>1137</v>
      </c>
      <c r="L2444" s="243" t="s">
        <v>153</v>
      </c>
      <c r="M2444" s="327"/>
      <c r="N2444" s="327"/>
    </row>
    <row r="2445" spans="1:14" ht="15.6" hidden="1">
      <c r="A2445" s="420">
        <v>45916</v>
      </c>
      <c r="B2445" s="413" t="s">
        <v>4876</v>
      </c>
      <c r="C2445" s="413" t="s">
        <v>172</v>
      </c>
      <c r="D2445" s="177" t="s">
        <v>440</v>
      </c>
      <c r="E2445" s="413">
        <v>1500</v>
      </c>
      <c r="F2445" s="407">
        <f t="shared" si="30"/>
        <v>2.8116055579818666</v>
      </c>
      <c r="G2445" s="408">
        <v>533.50300000000004</v>
      </c>
      <c r="H2445" s="413" t="s">
        <v>315</v>
      </c>
      <c r="I2445" s="413" t="s">
        <v>2976</v>
      </c>
      <c r="J2445" s="243" t="s">
        <v>96</v>
      </c>
      <c r="K2445" s="243" t="s">
        <v>1137</v>
      </c>
      <c r="L2445" s="243" t="s">
        <v>153</v>
      </c>
      <c r="M2445" s="327"/>
      <c r="N2445" s="327"/>
    </row>
    <row r="2446" spans="1:14" ht="15.6" hidden="1">
      <c r="A2446" s="420">
        <v>45916</v>
      </c>
      <c r="B2446" s="413" t="s">
        <v>4876</v>
      </c>
      <c r="C2446" s="413" t="s">
        <v>172</v>
      </c>
      <c r="D2446" s="177" t="s">
        <v>440</v>
      </c>
      <c r="E2446" s="413">
        <v>2000</v>
      </c>
      <c r="F2446" s="407">
        <f t="shared" si="30"/>
        <v>3.7488074106424891</v>
      </c>
      <c r="G2446" s="408">
        <v>533.50300000000004</v>
      </c>
      <c r="H2446" s="413" t="s">
        <v>315</v>
      </c>
      <c r="I2446" s="413" t="s">
        <v>2976</v>
      </c>
      <c r="J2446" s="243" t="s">
        <v>96</v>
      </c>
      <c r="K2446" s="243" t="s">
        <v>1137</v>
      </c>
      <c r="L2446" s="243" t="s">
        <v>153</v>
      </c>
      <c r="M2446" s="327"/>
      <c r="N2446" s="327"/>
    </row>
    <row r="2447" spans="1:14" ht="15.6" hidden="1">
      <c r="A2447" s="420">
        <v>45916</v>
      </c>
      <c r="B2447" s="413" t="s">
        <v>4951</v>
      </c>
      <c r="C2447" s="413" t="s">
        <v>172</v>
      </c>
      <c r="D2447" s="177" t="s">
        <v>440</v>
      </c>
      <c r="E2447" s="416">
        <v>1000</v>
      </c>
      <c r="F2447" s="407">
        <f t="shared" si="30"/>
        <v>1.8744037053212446</v>
      </c>
      <c r="G2447" s="408">
        <v>533.50300000000004</v>
      </c>
      <c r="H2447" s="413" t="s">
        <v>321</v>
      </c>
      <c r="I2447" s="413" t="s">
        <v>2994</v>
      </c>
      <c r="J2447" s="243" t="s">
        <v>96</v>
      </c>
      <c r="K2447" s="243" t="s">
        <v>1137</v>
      </c>
      <c r="L2447" s="243" t="s">
        <v>153</v>
      </c>
      <c r="M2447" s="327"/>
      <c r="N2447" s="327"/>
    </row>
    <row r="2448" spans="1:14" ht="15.6" hidden="1">
      <c r="A2448" s="420">
        <v>45916</v>
      </c>
      <c r="B2448" s="413" t="s">
        <v>4876</v>
      </c>
      <c r="C2448" s="413" t="s">
        <v>172</v>
      </c>
      <c r="D2448" s="177" t="s">
        <v>440</v>
      </c>
      <c r="E2448" s="416">
        <v>1000</v>
      </c>
      <c r="F2448" s="407">
        <f t="shared" si="30"/>
        <v>1.8744037053212446</v>
      </c>
      <c r="G2448" s="408">
        <v>533.50300000000004</v>
      </c>
      <c r="H2448" s="413" t="s">
        <v>321</v>
      </c>
      <c r="I2448" s="413" t="s">
        <v>2994</v>
      </c>
      <c r="J2448" s="243" t="s">
        <v>96</v>
      </c>
      <c r="K2448" s="243" t="s">
        <v>1137</v>
      </c>
      <c r="L2448" s="243" t="s">
        <v>153</v>
      </c>
      <c r="M2448" s="327"/>
      <c r="N2448" s="327"/>
    </row>
    <row r="2449" spans="1:14" ht="15.6" hidden="1">
      <c r="A2449" s="420">
        <v>45916</v>
      </c>
      <c r="B2449" s="413" t="s">
        <v>4917</v>
      </c>
      <c r="C2449" s="413" t="s">
        <v>172</v>
      </c>
      <c r="D2449" s="177" t="s">
        <v>440</v>
      </c>
      <c r="E2449" s="416">
        <v>1000</v>
      </c>
      <c r="F2449" s="407">
        <f t="shared" si="30"/>
        <v>1.8744037053212446</v>
      </c>
      <c r="G2449" s="408">
        <v>533.50300000000004</v>
      </c>
      <c r="H2449" s="413" t="s">
        <v>321</v>
      </c>
      <c r="I2449" s="413" t="s">
        <v>2994</v>
      </c>
      <c r="J2449" s="243" t="s">
        <v>96</v>
      </c>
      <c r="K2449" s="243" t="s">
        <v>1137</v>
      </c>
      <c r="L2449" s="243" t="s">
        <v>153</v>
      </c>
      <c r="M2449" s="327"/>
      <c r="N2449" s="327"/>
    </row>
    <row r="2450" spans="1:14" ht="15.6" hidden="1">
      <c r="A2450" s="420">
        <v>45916</v>
      </c>
      <c r="B2450" s="413" t="s">
        <v>3176</v>
      </c>
      <c r="C2450" s="413" t="s">
        <v>172</v>
      </c>
      <c r="D2450" s="413" t="s">
        <v>115</v>
      </c>
      <c r="E2450" s="413">
        <v>1500</v>
      </c>
      <c r="F2450" s="407">
        <f t="shared" si="30"/>
        <v>2.8116055579818666</v>
      </c>
      <c r="G2450" s="408">
        <v>533.50300000000004</v>
      </c>
      <c r="H2450" s="413" t="s">
        <v>185</v>
      </c>
      <c r="I2450" s="413" t="s">
        <v>3185</v>
      </c>
      <c r="J2450" s="243" t="s">
        <v>96</v>
      </c>
      <c r="K2450" s="243" t="s">
        <v>1137</v>
      </c>
      <c r="L2450" s="243" t="s">
        <v>153</v>
      </c>
      <c r="M2450" s="76"/>
      <c r="N2450" s="76"/>
    </row>
    <row r="2451" spans="1:14" ht="15.6" hidden="1">
      <c r="A2451" s="420">
        <v>45916</v>
      </c>
      <c r="B2451" s="413" t="s">
        <v>3177</v>
      </c>
      <c r="C2451" s="413" t="s">
        <v>172</v>
      </c>
      <c r="D2451" s="413" t="s">
        <v>115</v>
      </c>
      <c r="E2451" s="413">
        <v>4000</v>
      </c>
      <c r="F2451" s="407">
        <f t="shared" si="30"/>
        <v>7.4976148212849782</v>
      </c>
      <c r="G2451" s="408">
        <v>533.50300000000004</v>
      </c>
      <c r="H2451" s="413" t="s">
        <v>185</v>
      </c>
      <c r="I2451" s="413" t="s">
        <v>3185</v>
      </c>
      <c r="J2451" s="243" t="s">
        <v>96</v>
      </c>
      <c r="K2451" s="243" t="s">
        <v>1137</v>
      </c>
      <c r="L2451" s="243" t="s">
        <v>153</v>
      </c>
      <c r="M2451" s="76"/>
      <c r="N2451" s="76"/>
    </row>
    <row r="2452" spans="1:14" ht="15.6" hidden="1">
      <c r="A2452" s="420">
        <v>45916</v>
      </c>
      <c r="B2452" s="428" t="s">
        <v>3198</v>
      </c>
      <c r="C2452" s="413" t="s">
        <v>121</v>
      </c>
      <c r="D2452" s="413" t="s">
        <v>115</v>
      </c>
      <c r="E2452" s="414">
        <v>200000</v>
      </c>
      <c r="F2452" s="407">
        <f t="shared" si="30"/>
        <v>356.54310071272965</v>
      </c>
      <c r="G2452" s="408">
        <v>560.94200000000001</v>
      </c>
      <c r="H2452" s="423" t="s">
        <v>146</v>
      </c>
      <c r="I2452" s="410" t="s">
        <v>3207</v>
      </c>
      <c r="J2452" s="243" t="s">
        <v>96</v>
      </c>
      <c r="K2452" s="243" t="s">
        <v>1906</v>
      </c>
      <c r="L2452" s="243" t="s">
        <v>153</v>
      </c>
      <c r="M2452" s="76"/>
      <c r="N2452" s="76"/>
    </row>
    <row r="2453" spans="1:14" ht="15.6" hidden="1">
      <c r="A2453" s="420">
        <v>45917</v>
      </c>
      <c r="B2453" s="413" t="s">
        <v>2815</v>
      </c>
      <c r="C2453" s="406" t="s">
        <v>172</v>
      </c>
      <c r="D2453" s="406" t="s">
        <v>117</v>
      </c>
      <c r="E2453" s="346">
        <v>1000</v>
      </c>
      <c r="F2453" s="407">
        <f t="shared" si="30"/>
        <v>1.8744037053212446</v>
      </c>
      <c r="G2453" s="408">
        <v>533.50300000000004</v>
      </c>
      <c r="H2453" s="409" t="s">
        <v>151</v>
      </c>
      <c r="I2453" s="413" t="s">
        <v>2824</v>
      </c>
      <c r="J2453" s="243" t="s">
        <v>96</v>
      </c>
      <c r="K2453" s="243" t="s">
        <v>1137</v>
      </c>
      <c r="L2453" s="243" t="s">
        <v>153</v>
      </c>
      <c r="M2453" s="327"/>
      <c r="N2453" s="327"/>
    </row>
    <row r="2454" spans="1:14" ht="15.6" hidden="1">
      <c r="A2454" s="420">
        <v>45917</v>
      </c>
      <c r="B2454" s="413" t="s">
        <v>2814</v>
      </c>
      <c r="C2454" s="406" t="s">
        <v>172</v>
      </c>
      <c r="D2454" s="406" t="s">
        <v>117</v>
      </c>
      <c r="E2454" s="346">
        <v>1000</v>
      </c>
      <c r="F2454" s="407">
        <f t="shared" si="30"/>
        <v>1.8744037053212446</v>
      </c>
      <c r="G2454" s="408">
        <v>533.50300000000004</v>
      </c>
      <c r="H2454" s="409" t="s">
        <v>151</v>
      </c>
      <c r="I2454" s="413" t="s">
        <v>2824</v>
      </c>
      <c r="J2454" s="243" t="s">
        <v>96</v>
      </c>
      <c r="K2454" s="243" t="s">
        <v>1137</v>
      </c>
      <c r="L2454" s="243" t="s">
        <v>153</v>
      </c>
      <c r="M2454" s="327"/>
      <c r="N2454" s="327"/>
    </row>
    <row r="2455" spans="1:14" ht="15.6" hidden="1">
      <c r="A2455" s="420">
        <v>45917</v>
      </c>
      <c r="B2455" s="346" t="s">
        <v>2816</v>
      </c>
      <c r="C2455" s="406" t="s">
        <v>150</v>
      </c>
      <c r="D2455" s="406" t="s">
        <v>117</v>
      </c>
      <c r="E2455" s="346">
        <v>12500</v>
      </c>
      <c r="F2455" s="407">
        <f t="shared" si="30"/>
        <v>23.430046316515558</v>
      </c>
      <c r="G2455" s="408">
        <v>533.50300000000004</v>
      </c>
      <c r="H2455" s="409" t="s">
        <v>151</v>
      </c>
      <c r="I2455" s="413" t="s">
        <v>2828</v>
      </c>
      <c r="J2455" s="243" t="s">
        <v>96</v>
      </c>
      <c r="K2455" s="243" t="s">
        <v>1137</v>
      </c>
      <c r="L2455" s="243" t="s">
        <v>153</v>
      </c>
      <c r="M2455" s="327"/>
      <c r="N2455" s="327"/>
    </row>
    <row r="2456" spans="1:14" ht="15.6" hidden="1">
      <c r="A2456" s="420">
        <v>45917</v>
      </c>
      <c r="B2456" s="413" t="s">
        <v>2116</v>
      </c>
      <c r="C2456" s="406" t="s">
        <v>172</v>
      </c>
      <c r="D2456" s="406" t="s">
        <v>117</v>
      </c>
      <c r="E2456" s="346">
        <v>1000</v>
      </c>
      <c r="F2456" s="407">
        <f t="shared" si="30"/>
        <v>1.8744037053212446</v>
      </c>
      <c r="G2456" s="408">
        <v>533.50300000000004</v>
      </c>
      <c r="H2456" s="409" t="s">
        <v>151</v>
      </c>
      <c r="I2456" s="413" t="s">
        <v>2824</v>
      </c>
      <c r="J2456" s="243" t="s">
        <v>96</v>
      </c>
      <c r="K2456" s="243" t="s">
        <v>1137</v>
      </c>
      <c r="L2456" s="243" t="s">
        <v>153</v>
      </c>
      <c r="M2456" s="395"/>
      <c r="N2456" s="395"/>
    </row>
    <row r="2457" spans="1:14" ht="15.6" hidden="1">
      <c r="A2457" s="418">
        <v>45917</v>
      </c>
      <c r="B2457" s="243" t="s">
        <v>2844</v>
      </c>
      <c r="C2457" s="239" t="s">
        <v>150</v>
      </c>
      <c r="D2457" s="239" t="s">
        <v>115</v>
      </c>
      <c r="E2457" s="419">
        <v>10000</v>
      </c>
      <c r="F2457" s="407">
        <f t="shared" si="30"/>
        <v>18.744037053212445</v>
      </c>
      <c r="G2457" s="408">
        <v>533.50300000000004</v>
      </c>
      <c r="H2457" s="172" t="s">
        <v>198</v>
      </c>
      <c r="I2457" s="213" t="s">
        <v>2868</v>
      </c>
      <c r="J2457" s="243" t="s">
        <v>96</v>
      </c>
      <c r="K2457" s="243" t="s">
        <v>1137</v>
      </c>
      <c r="L2457" s="243" t="s">
        <v>153</v>
      </c>
      <c r="M2457" s="395"/>
      <c r="N2457" s="395"/>
    </row>
    <row r="2458" spans="1:14" ht="15.6" hidden="1">
      <c r="A2458" s="415">
        <v>45917</v>
      </c>
      <c r="B2458" s="243" t="s">
        <v>2845</v>
      </c>
      <c r="C2458" s="413" t="s">
        <v>263</v>
      </c>
      <c r="D2458" s="172" t="s">
        <v>2091</v>
      </c>
      <c r="E2458" s="427">
        <v>35000</v>
      </c>
      <c r="F2458" s="407">
        <f t="shared" si="30"/>
        <v>62.395042624727687</v>
      </c>
      <c r="G2458" s="408">
        <v>560.94200000000001</v>
      </c>
      <c r="H2458" s="172" t="s">
        <v>198</v>
      </c>
      <c r="I2458" s="243" t="s">
        <v>2869</v>
      </c>
      <c r="J2458" s="243" t="s">
        <v>96</v>
      </c>
      <c r="K2458" s="243" t="s">
        <v>1906</v>
      </c>
      <c r="L2458" s="243" t="s">
        <v>153</v>
      </c>
      <c r="M2458" s="395"/>
      <c r="N2458" s="395"/>
    </row>
    <row r="2459" spans="1:14" ht="15.6" hidden="1">
      <c r="A2459" s="411">
        <v>45917</v>
      </c>
      <c r="B2459" s="413" t="s">
        <v>2887</v>
      </c>
      <c r="C2459" s="413" t="s">
        <v>172</v>
      </c>
      <c r="D2459" s="413" t="s">
        <v>116</v>
      </c>
      <c r="E2459" s="414">
        <v>1000</v>
      </c>
      <c r="F2459" s="407">
        <f t="shared" si="30"/>
        <v>1.8744037053212446</v>
      </c>
      <c r="G2459" s="408">
        <v>533.50300000000004</v>
      </c>
      <c r="H2459" s="413" t="s">
        <v>581</v>
      </c>
      <c r="I2459" s="413" t="s">
        <v>2914</v>
      </c>
      <c r="J2459" s="243" t="s">
        <v>96</v>
      </c>
      <c r="K2459" s="243" t="s">
        <v>1137</v>
      </c>
      <c r="L2459" s="243" t="s">
        <v>153</v>
      </c>
      <c r="M2459" s="395"/>
      <c r="N2459" s="395"/>
    </row>
    <row r="2460" spans="1:14" ht="15.6" hidden="1">
      <c r="A2460" s="411">
        <v>45917</v>
      </c>
      <c r="B2460" s="413" t="s">
        <v>2875</v>
      </c>
      <c r="C2460" s="413" t="s">
        <v>172</v>
      </c>
      <c r="D2460" s="413" t="s">
        <v>116</v>
      </c>
      <c r="E2460" s="414">
        <v>1000</v>
      </c>
      <c r="F2460" s="407">
        <f t="shared" si="30"/>
        <v>1.8744037053212446</v>
      </c>
      <c r="G2460" s="408">
        <v>533.50300000000004</v>
      </c>
      <c r="H2460" s="413" t="s">
        <v>581</v>
      </c>
      <c r="I2460" s="413" t="s">
        <v>2914</v>
      </c>
      <c r="J2460" s="243" t="s">
        <v>96</v>
      </c>
      <c r="K2460" s="243" t="s">
        <v>1137</v>
      </c>
      <c r="L2460" s="243" t="s">
        <v>153</v>
      </c>
      <c r="M2460" s="395"/>
      <c r="N2460" s="395"/>
    </row>
    <row r="2461" spans="1:14" ht="15.6" hidden="1">
      <c r="A2461" s="411">
        <v>45917</v>
      </c>
      <c r="B2461" s="413" t="s">
        <v>2888</v>
      </c>
      <c r="C2461" s="416" t="s">
        <v>150</v>
      </c>
      <c r="D2461" s="413" t="s">
        <v>117</v>
      </c>
      <c r="E2461" s="414">
        <v>7500</v>
      </c>
      <c r="F2461" s="407">
        <f t="shared" si="30"/>
        <v>14.058027789909334</v>
      </c>
      <c r="G2461" s="408">
        <v>533.50300000000004</v>
      </c>
      <c r="H2461" s="413" t="s">
        <v>581</v>
      </c>
      <c r="I2461" s="413" t="s">
        <v>2921</v>
      </c>
      <c r="J2461" s="243" t="s">
        <v>96</v>
      </c>
      <c r="K2461" s="243" t="s">
        <v>1137</v>
      </c>
      <c r="L2461" s="243" t="s">
        <v>153</v>
      </c>
      <c r="M2461" s="395"/>
      <c r="N2461" s="395"/>
    </row>
    <row r="2462" spans="1:14" ht="15.6" hidden="1">
      <c r="A2462" s="418">
        <v>45917</v>
      </c>
      <c r="B2462" s="419" t="s">
        <v>4917</v>
      </c>
      <c r="C2462" s="419" t="s">
        <v>172</v>
      </c>
      <c r="D2462" s="177" t="s">
        <v>440</v>
      </c>
      <c r="E2462" s="419">
        <v>1000</v>
      </c>
      <c r="F2462" s="407">
        <f t="shared" si="30"/>
        <v>1.8744037053212446</v>
      </c>
      <c r="G2462" s="408">
        <v>533.50300000000004</v>
      </c>
      <c r="H2462" s="419" t="s">
        <v>182</v>
      </c>
      <c r="I2462" s="419" t="s">
        <v>2936</v>
      </c>
      <c r="J2462" s="243" t="s">
        <v>96</v>
      </c>
      <c r="K2462" s="243" t="s">
        <v>1137</v>
      </c>
      <c r="L2462" s="243" t="s">
        <v>153</v>
      </c>
      <c r="M2462" s="395"/>
      <c r="N2462" s="395"/>
    </row>
    <row r="2463" spans="1:14" ht="15.6" hidden="1">
      <c r="A2463" s="418">
        <v>45917</v>
      </c>
      <c r="B2463" s="419" t="s">
        <v>4917</v>
      </c>
      <c r="C2463" s="419" t="s">
        <v>172</v>
      </c>
      <c r="D2463" s="177" t="s">
        <v>440</v>
      </c>
      <c r="E2463" s="419">
        <v>1000</v>
      </c>
      <c r="F2463" s="407">
        <f t="shared" si="30"/>
        <v>1.8744037053212446</v>
      </c>
      <c r="G2463" s="408">
        <v>533.50300000000004</v>
      </c>
      <c r="H2463" s="419" t="s">
        <v>182</v>
      </c>
      <c r="I2463" s="419" t="s">
        <v>2936</v>
      </c>
      <c r="J2463" s="243" t="s">
        <v>96</v>
      </c>
      <c r="K2463" s="243" t="s">
        <v>1137</v>
      </c>
      <c r="L2463" s="243" t="s">
        <v>153</v>
      </c>
      <c r="M2463" s="327"/>
      <c r="N2463" s="327"/>
    </row>
    <row r="2464" spans="1:14" ht="15.6" hidden="1">
      <c r="A2464" s="418">
        <v>45917</v>
      </c>
      <c r="B2464" s="419" t="s">
        <v>4917</v>
      </c>
      <c r="C2464" s="419" t="s">
        <v>172</v>
      </c>
      <c r="D2464" s="177" t="s">
        <v>440</v>
      </c>
      <c r="E2464" s="419">
        <v>1000</v>
      </c>
      <c r="F2464" s="407">
        <f t="shared" si="30"/>
        <v>1.8744037053212446</v>
      </c>
      <c r="G2464" s="408">
        <v>533.50300000000004</v>
      </c>
      <c r="H2464" s="419" t="s">
        <v>182</v>
      </c>
      <c r="I2464" s="419" t="s">
        <v>2936</v>
      </c>
      <c r="J2464" s="243" t="s">
        <v>96</v>
      </c>
      <c r="K2464" s="243" t="s">
        <v>1137</v>
      </c>
      <c r="L2464" s="243" t="s">
        <v>153</v>
      </c>
      <c r="M2464" s="327"/>
      <c r="N2464" s="327"/>
    </row>
    <row r="2465" spans="1:14" ht="15.6" hidden="1">
      <c r="A2465" s="418">
        <v>45917</v>
      </c>
      <c r="B2465" s="419" t="s">
        <v>4917</v>
      </c>
      <c r="C2465" s="419" t="s">
        <v>172</v>
      </c>
      <c r="D2465" s="177" t="s">
        <v>440</v>
      </c>
      <c r="E2465" s="419">
        <v>1000</v>
      </c>
      <c r="F2465" s="407">
        <f t="shared" ref="F2465:F2528" si="31">E2465/G2465</f>
        <v>1.8744037053212446</v>
      </c>
      <c r="G2465" s="408">
        <v>533.50300000000004</v>
      </c>
      <c r="H2465" s="419" t="s">
        <v>182</v>
      </c>
      <c r="I2465" s="419" t="s">
        <v>2936</v>
      </c>
      <c r="J2465" s="243" t="s">
        <v>96</v>
      </c>
      <c r="K2465" s="243" t="s">
        <v>1137</v>
      </c>
      <c r="L2465" s="243" t="s">
        <v>153</v>
      </c>
      <c r="M2465" s="327"/>
      <c r="N2465" s="327"/>
    </row>
    <row r="2466" spans="1:14" ht="15.6" hidden="1">
      <c r="A2466" s="418">
        <v>45917</v>
      </c>
      <c r="B2466" s="419" t="s">
        <v>4917</v>
      </c>
      <c r="C2466" s="419" t="s">
        <v>172</v>
      </c>
      <c r="D2466" s="177" t="s">
        <v>440</v>
      </c>
      <c r="E2466" s="419">
        <v>1000</v>
      </c>
      <c r="F2466" s="407">
        <f t="shared" si="31"/>
        <v>1.8744037053212446</v>
      </c>
      <c r="G2466" s="408">
        <v>533.50300000000004</v>
      </c>
      <c r="H2466" s="419" t="s">
        <v>182</v>
      </c>
      <c r="I2466" s="419" t="s">
        <v>2936</v>
      </c>
      <c r="J2466" s="243" t="s">
        <v>96</v>
      </c>
      <c r="K2466" s="243" t="s">
        <v>1137</v>
      </c>
      <c r="L2466" s="243" t="s">
        <v>153</v>
      </c>
      <c r="M2466" s="327"/>
      <c r="N2466" s="327"/>
    </row>
    <row r="2467" spans="1:14" ht="15.6" hidden="1">
      <c r="A2467" s="418">
        <v>45917</v>
      </c>
      <c r="B2467" s="419" t="s">
        <v>2932</v>
      </c>
      <c r="C2467" s="419" t="s">
        <v>366</v>
      </c>
      <c r="D2467" s="177" t="s">
        <v>440</v>
      </c>
      <c r="E2467" s="419">
        <v>1000</v>
      </c>
      <c r="F2467" s="407">
        <f t="shared" si="31"/>
        <v>1.8744037053212446</v>
      </c>
      <c r="G2467" s="408">
        <v>533.50300000000004</v>
      </c>
      <c r="H2467" s="419" t="s">
        <v>182</v>
      </c>
      <c r="I2467" s="419" t="s">
        <v>2940</v>
      </c>
      <c r="J2467" s="243" t="s">
        <v>96</v>
      </c>
      <c r="K2467" s="243" t="s">
        <v>1137</v>
      </c>
      <c r="L2467" s="243" t="s">
        <v>153</v>
      </c>
      <c r="M2467" s="395"/>
      <c r="N2467" s="395"/>
    </row>
    <row r="2468" spans="1:14" ht="15.6" hidden="1">
      <c r="A2468" s="418">
        <v>45917</v>
      </c>
      <c r="B2468" s="331" t="s">
        <v>2933</v>
      </c>
      <c r="C2468" s="331" t="s">
        <v>150</v>
      </c>
      <c r="D2468" s="177" t="s">
        <v>440</v>
      </c>
      <c r="E2468" s="419">
        <v>10000</v>
      </c>
      <c r="F2468" s="407">
        <f t="shared" si="31"/>
        <v>18.744037053212445</v>
      </c>
      <c r="G2468" s="408">
        <v>533.50300000000004</v>
      </c>
      <c r="H2468" s="419" t="s">
        <v>182</v>
      </c>
      <c r="I2468" s="419" t="s">
        <v>2946</v>
      </c>
      <c r="J2468" s="243" t="s">
        <v>96</v>
      </c>
      <c r="K2468" s="243" t="s">
        <v>1137</v>
      </c>
      <c r="L2468" s="243" t="s">
        <v>153</v>
      </c>
      <c r="M2468" s="395"/>
      <c r="N2468" s="395"/>
    </row>
    <row r="2469" spans="1:14" ht="15.6" hidden="1">
      <c r="A2469" s="420">
        <v>45917</v>
      </c>
      <c r="B2469" s="413" t="s">
        <v>4876</v>
      </c>
      <c r="C2469" s="413" t="s">
        <v>172</v>
      </c>
      <c r="D2469" s="177" t="s">
        <v>440</v>
      </c>
      <c r="E2469" s="413">
        <v>1000</v>
      </c>
      <c r="F2469" s="407">
        <f t="shared" si="31"/>
        <v>1.8744037053212446</v>
      </c>
      <c r="G2469" s="408">
        <v>533.50300000000004</v>
      </c>
      <c r="H2469" s="413" t="s">
        <v>173</v>
      </c>
      <c r="I2469" s="413" t="s">
        <v>2959</v>
      </c>
      <c r="J2469" s="243" t="s">
        <v>96</v>
      </c>
      <c r="K2469" s="243" t="s">
        <v>1137</v>
      </c>
      <c r="L2469" s="243" t="s">
        <v>153</v>
      </c>
      <c r="M2469" s="395"/>
      <c r="N2469" s="395"/>
    </row>
    <row r="2470" spans="1:14" ht="15.6" hidden="1">
      <c r="A2470" s="420">
        <v>45917</v>
      </c>
      <c r="B2470" s="413" t="s">
        <v>4802</v>
      </c>
      <c r="C2470" s="413" t="s">
        <v>172</v>
      </c>
      <c r="D2470" s="177" t="s">
        <v>440</v>
      </c>
      <c r="E2470" s="413">
        <v>6000</v>
      </c>
      <c r="F2470" s="407">
        <f t="shared" si="31"/>
        <v>11.246422231927466</v>
      </c>
      <c r="G2470" s="408">
        <v>533.50300000000004</v>
      </c>
      <c r="H2470" s="413" t="s">
        <v>173</v>
      </c>
      <c r="I2470" s="413" t="s">
        <v>2967</v>
      </c>
      <c r="J2470" s="243" t="s">
        <v>96</v>
      </c>
      <c r="K2470" s="243" t="s">
        <v>1137</v>
      </c>
      <c r="L2470" s="243" t="s">
        <v>153</v>
      </c>
      <c r="M2470" s="395"/>
      <c r="N2470" s="395"/>
    </row>
    <row r="2471" spans="1:14" ht="15.6" hidden="1">
      <c r="A2471" s="420">
        <v>45917</v>
      </c>
      <c r="B2471" s="413" t="s">
        <v>4953</v>
      </c>
      <c r="C2471" s="413" t="s">
        <v>172</v>
      </c>
      <c r="D2471" s="177" t="s">
        <v>440</v>
      </c>
      <c r="E2471" s="413">
        <v>1000</v>
      </c>
      <c r="F2471" s="407">
        <f t="shared" si="31"/>
        <v>1.8744037053212446</v>
      </c>
      <c r="G2471" s="408">
        <v>533.50300000000004</v>
      </c>
      <c r="H2471" s="413" t="s">
        <v>173</v>
      </c>
      <c r="I2471" s="413" t="s">
        <v>2959</v>
      </c>
      <c r="J2471" s="243" t="s">
        <v>96</v>
      </c>
      <c r="K2471" s="243" t="s">
        <v>1137</v>
      </c>
      <c r="L2471" s="243" t="s">
        <v>153</v>
      </c>
      <c r="M2471" s="395"/>
      <c r="N2471" s="395"/>
    </row>
    <row r="2472" spans="1:14" ht="15.6" hidden="1">
      <c r="A2472" s="420">
        <v>45917</v>
      </c>
      <c r="B2472" s="413" t="s">
        <v>4953</v>
      </c>
      <c r="C2472" s="413" t="s">
        <v>172</v>
      </c>
      <c r="D2472" s="177" t="s">
        <v>440</v>
      </c>
      <c r="E2472" s="413">
        <v>1000</v>
      </c>
      <c r="F2472" s="407">
        <f t="shared" si="31"/>
        <v>1.8744037053212446</v>
      </c>
      <c r="G2472" s="408">
        <v>533.50300000000004</v>
      </c>
      <c r="H2472" s="413" t="s">
        <v>173</v>
      </c>
      <c r="I2472" s="413" t="s">
        <v>2959</v>
      </c>
      <c r="J2472" s="243" t="s">
        <v>96</v>
      </c>
      <c r="K2472" s="243" t="s">
        <v>1137</v>
      </c>
      <c r="L2472" s="243" t="s">
        <v>153</v>
      </c>
      <c r="M2472" s="395"/>
      <c r="N2472" s="395"/>
    </row>
    <row r="2473" spans="1:14" ht="15.6" hidden="1">
      <c r="A2473" s="420">
        <v>45917</v>
      </c>
      <c r="B2473" s="413" t="s">
        <v>4744</v>
      </c>
      <c r="C2473" s="413" t="s">
        <v>1011</v>
      </c>
      <c r="D2473" s="177" t="s">
        <v>440</v>
      </c>
      <c r="E2473" s="413">
        <v>6000</v>
      </c>
      <c r="F2473" s="407">
        <f t="shared" si="31"/>
        <v>11.246422231927466</v>
      </c>
      <c r="G2473" s="408">
        <v>533.50300000000004</v>
      </c>
      <c r="H2473" s="413" t="s">
        <v>173</v>
      </c>
      <c r="I2473" s="413" t="s">
        <v>2968</v>
      </c>
      <c r="J2473" s="243" t="s">
        <v>96</v>
      </c>
      <c r="K2473" s="243" t="s">
        <v>1137</v>
      </c>
      <c r="L2473" s="243" t="s">
        <v>153</v>
      </c>
      <c r="M2473" s="395"/>
      <c r="N2473" s="395"/>
    </row>
    <row r="2474" spans="1:14" ht="15.6" hidden="1">
      <c r="A2474" s="420">
        <v>45917</v>
      </c>
      <c r="B2474" s="413" t="s">
        <v>2954</v>
      </c>
      <c r="C2474" s="413" t="s">
        <v>366</v>
      </c>
      <c r="D2474" s="177" t="s">
        <v>440</v>
      </c>
      <c r="E2474" s="413">
        <v>1500</v>
      </c>
      <c r="F2474" s="407">
        <f t="shared" si="31"/>
        <v>2.8116055579818666</v>
      </c>
      <c r="G2474" s="408">
        <v>533.50300000000004</v>
      </c>
      <c r="H2474" s="413" t="s">
        <v>173</v>
      </c>
      <c r="I2474" s="413" t="s">
        <v>2963</v>
      </c>
      <c r="J2474" s="243" t="s">
        <v>96</v>
      </c>
      <c r="K2474" s="243" t="s">
        <v>1137</v>
      </c>
      <c r="L2474" s="243" t="s">
        <v>153</v>
      </c>
      <c r="M2474" s="395"/>
      <c r="N2474" s="395"/>
    </row>
    <row r="2475" spans="1:14" ht="15.6" hidden="1">
      <c r="A2475" s="420">
        <v>45917</v>
      </c>
      <c r="B2475" s="331" t="s">
        <v>2955</v>
      </c>
      <c r="C2475" s="331" t="s">
        <v>150</v>
      </c>
      <c r="D2475" s="177" t="s">
        <v>440</v>
      </c>
      <c r="E2475" s="413">
        <v>10000</v>
      </c>
      <c r="F2475" s="407">
        <f t="shared" si="31"/>
        <v>18.744037053212445</v>
      </c>
      <c r="G2475" s="408">
        <v>533.50300000000004</v>
      </c>
      <c r="H2475" s="413" t="s">
        <v>173</v>
      </c>
      <c r="I2475" s="413" t="s">
        <v>2969</v>
      </c>
      <c r="J2475" s="243" t="s">
        <v>96</v>
      </c>
      <c r="K2475" s="243" t="s">
        <v>1137</v>
      </c>
      <c r="L2475" s="243" t="s">
        <v>153</v>
      </c>
      <c r="M2475" s="395"/>
      <c r="N2475" s="395"/>
    </row>
    <row r="2476" spans="1:14" ht="15.6" hidden="1">
      <c r="A2476" s="420">
        <v>45917</v>
      </c>
      <c r="B2476" s="413" t="s">
        <v>4917</v>
      </c>
      <c r="C2476" s="413" t="s">
        <v>172</v>
      </c>
      <c r="D2476" s="177" t="s">
        <v>440</v>
      </c>
      <c r="E2476" s="413">
        <v>2000</v>
      </c>
      <c r="F2476" s="407">
        <f t="shared" si="31"/>
        <v>3.7488074106424891</v>
      </c>
      <c r="G2476" s="408">
        <v>533.50300000000004</v>
      </c>
      <c r="H2476" s="413" t="s">
        <v>315</v>
      </c>
      <c r="I2476" s="413" t="s">
        <v>2976</v>
      </c>
      <c r="J2476" s="243" t="s">
        <v>96</v>
      </c>
      <c r="K2476" s="243" t="s">
        <v>1137</v>
      </c>
      <c r="L2476" s="243" t="s">
        <v>153</v>
      </c>
      <c r="M2476" s="327"/>
      <c r="N2476" s="327"/>
    </row>
    <row r="2477" spans="1:14" ht="15.6" hidden="1">
      <c r="A2477" s="420">
        <v>45917</v>
      </c>
      <c r="B2477" s="413" t="s">
        <v>4876</v>
      </c>
      <c r="C2477" s="413" t="s">
        <v>172</v>
      </c>
      <c r="D2477" s="177" t="s">
        <v>440</v>
      </c>
      <c r="E2477" s="413">
        <v>1000</v>
      </c>
      <c r="F2477" s="407">
        <f t="shared" si="31"/>
        <v>1.8744037053212446</v>
      </c>
      <c r="G2477" s="408">
        <v>533.50300000000004</v>
      </c>
      <c r="H2477" s="413" t="s">
        <v>315</v>
      </c>
      <c r="I2477" s="413" t="s">
        <v>2976</v>
      </c>
      <c r="J2477" s="243" t="s">
        <v>96</v>
      </c>
      <c r="K2477" s="243" t="s">
        <v>1137</v>
      </c>
      <c r="L2477" s="243" t="s">
        <v>153</v>
      </c>
      <c r="M2477" s="327"/>
      <c r="N2477" s="327"/>
    </row>
    <row r="2478" spans="1:14" ht="15.6" hidden="1">
      <c r="A2478" s="420">
        <v>45917</v>
      </c>
      <c r="B2478" s="413" t="s">
        <v>4876</v>
      </c>
      <c r="C2478" s="413" t="s">
        <v>172</v>
      </c>
      <c r="D2478" s="177" t="s">
        <v>440</v>
      </c>
      <c r="E2478" s="413">
        <v>1500</v>
      </c>
      <c r="F2478" s="407">
        <f t="shared" si="31"/>
        <v>2.8116055579818666</v>
      </c>
      <c r="G2478" s="408">
        <v>533.50300000000004</v>
      </c>
      <c r="H2478" s="413" t="s">
        <v>315</v>
      </c>
      <c r="I2478" s="413" t="s">
        <v>2976</v>
      </c>
      <c r="J2478" s="243" t="s">
        <v>96</v>
      </c>
      <c r="K2478" s="243" t="s">
        <v>1137</v>
      </c>
      <c r="L2478" s="243" t="s">
        <v>153</v>
      </c>
      <c r="M2478" s="327"/>
      <c r="N2478" s="327"/>
    </row>
    <row r="2479" spans="1:14" ht="15.6" hidden="1">
      <c r="A2479" s="420">
        <v>45917</v>
      </c>
      <c r="B2479" s="413" t="s">
        <v>2973</v>
      </c>
      <c r="C2479" s="413" t="s">
        <v>150</v>
      </c>
      <c r="D2479" s="177" t="s">
        <v>440</v>
      </c>
      <c r="E2479" s="413">
        <v>10000</v>
      </c>
      <c r="F2479" s="407">
        <f t="shared" si="31"/>
        <v>18.744037053212445</v>
      </c>
      <c r="G2479" s="408">
        <v>533.50300000000004</v>
      </c>
      <c r="H2479" s="413" t="s">
        <v>315</v>
      </c>
      <c r="I2479" s="243" t="s">
        <v>2986</v>
      </c>
      <c r="J2479" s="243" t="s">
        <v>96</v>
      </c>
      <c r="K2479" s="243" t="s">
        <v>1137</v>
      </c>
      <c r="L2479" s="243" t="s">
        <v>153</v>
      </c>
      <c r="M2479" s="327"/>
      <c r="N2479" s="327"/>
    </row>
    <row r="2480" spans="1:14" ht="15.6" hidden="1">
      <c r="A2480" s="420">
        <v>45917</v>
      </c>
      <c r="B2480" s="413" t="s">
        <v>4907</v>
      </c>
      <c r="C2480" s="413" t="s">
        <v>172</v>
      </c>
      <c r="D2480" s="177" t="s">
        <v>440</v>
      </c>
      <c r="E2480" s="416">
        <v>1500</v>
      </c>
      <c r="F2480" s="407">
        <f t="shared" si="31"/>
        <v>2.8116055579818666</v>
      </c>
      <c r="G2480" s="408">
        <v>533.50300000000004</v>
      </c>
      <c r="H2480" s="413" t="s">
        <v>321</v>
      </c>
      <c r="I2480" s="413" t="s">
        <v>2994</v>
      </c>
      <c r="J2480" s="243" t="s">
        <v>96</v>
      </c>
      <c r="K2480" s="243" t="s">
        <v>1137</v>
      </c>
      <c r="L2480" s="243" t="s">
        <v>153</v>
      </c>
      <c r="M2480" s="327"/>
      <c r="N2480" s="327"/>
    </row>
    <row r="2481" spans="1:14" ht="15.6" hidden="1">
      <c r="A2481" s="420">
        <v>45917</v>
      </c>
      <c r="B2481" s="413" t="s">
        <v>4907</v>
      </c>
      <c r="C2481" s="413" t="s">
        <v>172</v>
      </c>
      <c r="D2481" s="177" t="s">
        <v>440</v>
      </c>
      <c r="E2481" s="416">
        <v>1500</v>
      </c>
      <c r="F2481" s="407">
        <f t="shared" si="31"/>
        <v>2.8116055579818666</v>
      </c>
      <c r="G2481" s="408">
        <v>533.50300000000004</v>
      </c>
      <c r="H2481" s="413" t="s">
        <v>321</v>
      </c>
      <c r="I2481" s="413" t="s">
        <v>2994</v>
      </c>
      <c r="J2481" s="243" t="s">
        <v>96</v>
      </c>
      <c r="K2481" s="243" t="s">
        <v>1137</v>
      </c>
      <c r="L2481" s="243" t="s">
        <v>153</v>
      </c>
      <c r="M2481" s="327"/>
      <c r="N2481" s="327"/>
    </row>
    <row r="2482" spans="1:14" ht="15.6" hidden="1">
      <c r="A2482" s="420">
        <v>45917</v>
      </c>
      <c r="B2482" s="413" t="s">
        <v>4876</v>
      </c>
      <c r="C2482" s="413" t="s">
        <v>172</v>
      </c>
      <c r="D2482" s="177" t="s">
        <v>440</v>
      </c>
      <c r="E2482" s="416">
        <v>2000</v>
      </c>
      <c r="F2482" s="407">
        <f t="shared" si="31"/>
        <v>3.7488074106424891</v>
      </c>
      <c r="G2482" s="408">
        <v>533.50300000000004</v>
      </c>
      <c r="H2482" s="413" t="s">
        <v>321</v>
      </c>
      <c r="I2482" s="413" t="s">
        <v>2994</v>
      </c>
      <c r="J2482" s="243" t="s">
        <v>96</v>
      </c>
      <c r="K2482" s="243" t="s">
        <v>1137</v>
      </c>
      <c r="L2482" s="243" t="s">
        <v>153</v>
      </c>
      <c r="M2482" s="327"/>
      <c r="N2482" s="327"/>
    </row>
    <row r="2483" spans="1:14" ht="15.6" hidden="1">
      <c r="A2483" s="420">
        <v>45917</v>
      </c>
      <c r="B2483" s="413" t="s">
        <v>2990</v>
      </c>
      <c r="C2483" s="413" t="s">
        <v>150</v>
      </c>
      <c r="D2483" s="177" t="s">
        <v>440</v>
      </c>
      <c r="E2483" s="416">
        <v>10000</v>
      </c>
      <c r="F2483" s="407">
        <f t="shared" si="31"/>
        <v>18.744037053212445</v>
      </c>
      <c r="G2483" s="408">
        <v>533.50300000000004</v>
      </c>
      <c r="H2483" s="413" t="s">
        <v>321</v>
      </c>
      <c r="I2483" s="413" t="s">
        <v>2995</v>
      </c>
      <c r="J2483" s="243" t="s">
        <v>96</v>
      </c>
      <c r="K2483" s="243" t="s">
        <v>1137</v>
      </c>
      <c r="L2483" s="243" t="s">
        <v>153</v>
      </c>
      <c r="M2483" s="327"/>
      <c r="N2483" s="327"/>
    </row>
    <row r="2484" spans="1:14" ht="15.6" hidden="1">
      <c r="A2484" s="420">
        <v>45917</v>
      </c>
      <c r="B2484" s="413" t="s">
        <v>3008</v>
      </c>
      <c r="C2484" s="413" t="s">
        <v>150</v>
      </c>
      <c r="D2484" s="413" t="s">
        <v>115</v>
      </c>
      <c r="E2484" s="414">
        <v>7500</v>
      </c>
      <c r="F2484" s="407">
        <f t="shared" si="31"/>
        <v>14.058027789909334</v>
      </c>
      <c r="G2484" s="408">
        <v>533.50300000000004</v>
      </c>
      <c r="H2484" s="413" t="s">
        <v>188</v>
      </c>
      <c r="I2484" s="243" t="s">
        <v>3022</v>
      </c>
      <c r="J2484" s="243" t="s">
        <v>96</v>
      </c>
      <c r="K2484" s="243" t="s">
        <v>1137</v>
      </c>
      <c r="L2484" s="243" t="s">
        <v>153</v>
      </c>
      <c r="M2484" s="327"/>
      <c r="N2484" s="327"/>
    </row>
    <row r="2485" spans="1:14" ht="15.6" hidden="1">
      <c r="A2485" s="415">
        <v>45917</v>
      </c>
      <c r="B2485" s="413" t="s">
        <v>3045</v>
      </c>
      <c r="C2485" s="413" t="s">
        <v>150</v>
      </c>
      <c r="D2485" s="243" t="s">
        <v>115</v>
      </c>
      <c r="E2485" s="426">
        <v>7500</v>
      </c>
      <c r="F2485" s="407">
        <f t="shared" si="31"/>
        <v>14.058027789909334</v>
      </c>
      <c r="G2485" s="408">
        <v>533.50300000000004</v>
      </c>
      <c r="H2485" s="243" t="s">
        <v>191</v>
      </c>
      <c r="I2485" s="413" t="s">
        <v>3061</v>
      </c>
      <c r="J2485" s="243" t="s">
        <v>96</v>
      </c>
      <c r="K2485" s="243" t="s">
        <v>1137</v>
      </c>
      <c r="L2485" s="243" t="s">
        <v>153</v>
      </c>
      <c r="M2485" s="76"/>
      <c r="N2485" s="76"/>
    </row>
    <row r="2486" spans="1:14" ht="15.6" hidden="1">
      <c r="A2486" s="405">
        <v>45917</v>
      </c>
      <c r="B2486" s="243" t="s">
        <v>3092</v>
      </c>
      <c r="C2486" s="239" t="s">
        <v>150</v>
      </c>
      <c r="D2486" s="239" t="s">
        <v>115</v>
      </c>
      <c r="E2486" s="422">
        <v>10000</v>
      </c>
      <c r="F2486" s="407">
        <f t="shared" si="31"/>
        <v>18.744037053212445</v>
      </c>
      <c r="G2486" s="408">
        <v>533.50300000000004</v>
      </c>
      <c r="H2486" s="252" t="s">
        <v>195</v>
      </c>
      <c r="I2486" s="413" t="s">
        <v>3109</v>
      </c>
      <c r="J2486" s="243" t="s">
        <v>96</v>
      </c>
      <c r="K2486" s="243" t="s">
        <v>1137</v>
      </c>
      <c r="L2486" s="243" t="s">
        <v>153</v>
      </c>
      <c r="M2486" s="76"/>
      <c r="N2486" s="76"/>
    </row>
    <row r="2487" spans="1:14" ht="15.6" hidden="1">
      <c r="A2487" s="420">
        <v>45917</v>
      </c>
      <c r="B2487" s="243" t="s">
        <v>3148</v>
      </c>
      <c r="C2487" s="239" t="s">
        <v>150</v>
      </c>
      <c r="D2487" s="413" t="s">
        <v>118</v>
      </c>
      <c r="E2487" s="416">
        <v>10000</v>
      </c>
      <c r="F2487" s="407">
        <f t="shared" si="31"/>
        <v>18.744037053212445</v>
      </c>
      <c r="G2487" s="408">
        <v>533.50300000000004</v>
      </c>
      <c r="H2487" s="413" t="s">
        <v>211</v>
      </c>
      <c r="I2487" s="413" t="s">
        <v>3164</v>
      </c>
      <c r="J2487" s="243" t="s">
        <v>96</v>
      </c>
      <c r="K2487" s="243" t="s">
        <v>1137</v>
      </c>
      <c r="L2487" s="243" t="s">
        <v>153</v>
      </c>
      <c r="M2487" s="76"/>
      <c r="N2487" s="76"/>
    </row>
    <row r="2488" spans="1:14" ht="15.6" hidden="1">
      <c r="A2488" s="420">
        <v>45917</v>
      </c>
      <c r="B2488" s="413" t="s">
        <v>3178</v>
      </c>
      <c r="C2488" s="413" t="s">
        <v>150</v>
      </c>
      <c r="D2488" s="413" t="s">
        <v>115</v>
      </c>
      <c r="E2488" s="413">
        <v>7500</v>
      </c>
      <c r="F2488" s="407">
        <f t="shared" si="31"/>
        <v>14.058027789909334</v>
      </c>
      <c r="G2488" s="408">
        <v>533.50300000000004</v>
      </c>
      <c r="H2488" s="413" t="s">
        <v>185</v>
      </c>
      <c r="I2488" s="413" t="s">
        <v>3190</v>
      </c>
      <c r="J2488" s="243" t="s">
        <v>96</v>
      </c>
      <c r="K2488" s="243" t="s">
        <v>1137</v>
      </c>
      <c r="L2488" s="243" t="s">
        <v>153</v>
      </c>
      <c r="M2488" s="76"/>
      <c r="N2488" s="76"/>
    </row>
    <row r="2489" spans="1:14" ht="15.6" hidden="1">
      <c r="A2489" s="420">
        <v>45918</v>
      </c>
      <c r="B2489" s="413" t="s">
        <v>2103</v>
      </c>
      <c r="C2489" s="406" t="s">
        <v>172</v>
      </c>
      <c r="D2489" s="406" t="s">
        <v>117</v>
      </c>
      <c r="E2489" s="346">
        <v>1000</v>
      </c>
      <c r="F2489" s="407">
        <f t="shared" si="31"/>
        <v>1.8744037053212446</v>
      </c>
      <c r="G2489" s="408">
        <v>533.50300000000004</v>
      </c>
      <c r="H2489" s="409" t="s">
        <v>151</v>
      </c>
      <c r="I2489" s="413" t="s">
        <v>2824</v>
      </c>
      <c r="J2489" s="243" t="s">
        <v>96</v>
      </c>
      <c r="K2489" s="243" t="s">
        <v>1137</v>
      </c>
      <c r="L2489" s="243" t="s">
        <v>153</v>
      </c>
      <c r="M2489" s="395"/>
      <c r="N2489" s="395"/>
    </row>
    <row r="2490" spans="1:14" ht="15.6" hidden="1">
      <c r="A2490" s="420">
        <v>45918</v>
      </c>
      <c r="B2490" s="413" t="s">
        <v>2104</v>
      </c>
      <c r="C2490" s="406" t="s">
        <v>172</v>
      </c>
      <c r="D2490" s="406" t="s">
        <v>117</v>
      </c>
      <c r="E2490" s="346">
        <v>1000</v>
      </c>
      <c r="F2490" s="407">
        <f t="shared" si="31"/>
        <v>1.8744037053212446</v>
      </c>
      <c r="G2490" s="408">
        <v>533.50300000000004</v>
      </c>
      <c r="H2490" s="409" t="s">
        <v>151</v>
      </c>
      <c r="I2490" s="413" t="s">
        <v>2824</v>
      </c>
      <c r="J2490" s="243" t="s">
        <v>96</v>
      </c>
      <c r="K2490" s="243" t="s">
        <v>1137</v>
      </c>
      <c r="L2490" s="243" t="s">
        <v>153</v>
      </c>
      <c r="M2490" s="395"/>
      <c r="N2490" s="395"/>
    </row>
    <row r="2491" spans="1:14" ht="15.6" hidden="1">
      <c r="A2491" s="411">
        <v>45918</v>
      </c>
      <c r="B2491" s="413" t="s">
        <v>2889</v>
      </c>
      <c r="C2491" s="413" t="s">
        <v>172</v>
      </c>
      <c r="D2491" s="413" t="s">
        <v>116</v>
      </c>
      <c r="E2491" s="414">
        <v>500</v>
      </c>
      <c r="F2491" s="407">
        <f t="shared" si="31"/>
        <v>0.93720185266062228</v>
      </c>
      <c r="G2491" s="408">
        <v>533.50300000000004</v>
      </c>
      <c r="H2491" s="413" t="s">
        <v>581</v>
      </c>
      <c r="I2491" s="413" t="s">
        <v>2914</v>
      </c>
      <c r="J2491" s="243" t="s">
        <v>96</v>
      </c>
      <c r="K2491" s="243" t="s">
        <v>1137</v>
      </c>
      <c r="L2491" s="243" t="s">
        <v>153</v>
      </c>
      <c r="M2491" s="395"/>
      <c r="N2491" s="395"/>
    </row>
    <row r="2492" spans="1:14" ht="15.6" hidden="1">
      <c r="A2492" s="411">
        <v>45918</v>
      </c>
      <c r="B2492" s="413" t="s">
        <v>2890</v>
      </c>
      <c r="C2492" s="413" t="s">
        <v>172</v>
      </c>
      <c r="D2492" s="413" t="s">
        <v>116</v>
      </c>
      <c r="E2492" s="414">
        <v>500</v>
      </c>
      <c r="F2492" s="407">
        <f t="shared" si="31"/>
        <v>0.93720185266062228</v>
      </c>
      <c r="G2492" s="408">
        <v>533.50300000000004</v>
      </c>
      <c r="H2492" s="413" t="s">
        <v>581</v>
      </c>
      <c r="I2492" s="413" t="s">
        <v>2914</v>
      </c>
      <c r="J2492" s="243" t="s">
        <v>96</v>
      </c>
      <c r="K2492" s="243" t="s">
        <v>1137</v>
      </c>
      <c r="L2492" s="243" t="s">
        <v>153</v>
      </c>
      <c r="M2492" s="327"/>
      <c r="N2492" s="327"/>
    </row>
    <row r="2493" spans="1:14" ht="15.6" hidden="1">
      <c r="A2493" s="415">
        <v>45918</v>
      </c>
      <c r="B2493" s="243" t="s">
        <v>2361</v>
      </c>
      <c r="C2493" s="413" t="s">
        <v>180</v>
      </c>
      <c r="D2493" s="413" t="s">
        <v>116</v>
      </c>
      <c r="E2493" s="412">
        <v>7200</v>
      </c>
      <c r="F2493" s="407">
        <f t="shared" si="31"/>
        <v>13.49570667831296</v>
      </c>
      <c r="G2493" s="408">
        <v>533.50300000000004</v>
      </c>
      <c r="H2493" s="413" t="s">
        <v>581</v>
      </c>
      <c r="I2493" s="243" t="s">
        <v>2922</v>
      </c>
      <c r="J2493" s="243" t="s">
        <v>96</v>
      </c>
      <c r="K2493" s="243" t="s">
        <v>1137</v>
      </c>
      <c r="L2493" s="243" t="s">
        <v>153</v>
      </c>
      <c r="M2493" s="327"/>
      <c r="N2493" s="327"/>
    </row>
    <row r="2494" spans="1:14" ht="15.6" hidden="1">
      <c r="A2494" s="418">
        <v>45918</v>
      </c>
      <c r="B2494" s="419" t="s">
        <v>4912</v>
      </c>
      <c r="C2494" s="419" t="s">
        <v>172</v>
      </c>
      <c r="D2494" s="177" t="s">
        <v>440</v>
      </c>
      <c r="E2494" s="419">
        <v>1500</v>
      </c>
      <c r="F2494" s="407">
        <f t="shared" si="31"/>
        <v>2.8116055579818666</v>
      </c>
      <c r="G2494" s="408">
        <v>533.50300000000004</v>
      </c>
      <c r="H2494" s="419" t="s">
        <v>182</v>
      </c>
      <c r="I2494" s="419" t="s">
        <v>2936</v>
      </c>
      <c r="J2494" s="243" t="s">
        <v>96</v>
      </c>
      <c r="K2494" s="243" t="s">
        <v>1137</v>
      </c>
      <c r="L2494" s="243" t="s">
        <v>153</v>
      </c>
      <c r="M2494" s="395"/>
      <c r="N2494" s="395"/>
    </row>
    <row r="2495" spans="1:14" ht="15.6" hidden="1">
      <c r="A2495" s="418">
        <v>45918</v>
      </c>
      <c r="B2495" s="419" t="s">
        <v>4917</v>
      </c>
      <c r="C2495" s="419" t="s">
        <v>172</v>
      </c>
      <c r="D2495" s="177" t="s">
        <v>440</v>
      </c>
      <c r="E2495" s="419">
        <v>1000</v>
      </c>
      <c r="F2495" s="407">
        <f t="shared" si="31"/>
        <v>1.8744037053212446</v>
      </c>
      <c r="G2495" s="408">
        <v>533.50300000000004</v>
      </c>
      <c r="H2495" s="419" t="s">
        <v>182</v>
      </c>
      <c r="I2495" s="419" t="s">
        <v>2936</v>
      </c>
      <c r="J2495" s="243" t="s">
        <v>96</v>
      </c>
      <c r="K2495" s="243" t="s">
        <v>1137</v>
      </c>
      <c r="L2495" s="243" t="s">
        <v>153</v>
      </c>
      <c r="M2495" s="395"/>
      <c r="N2495" s="395"/>
    </row>
    <row r="2496" spans="1:14" ht="15.6" hidden="1">
      <c r="A2496" s="418">
        <v>45918</v>
      </c>
      <c r="B2496" s="419" t="s">
        <v>4917</v>
      </c>
      <c r="C2496" s="419" t="s">
        <v>172</v>
      </c>
      <c r="D2496" s="177" t="s">
        <v>440</v>
      </c>
      <c r="E2496" s="419">
        <v>1000</v>
      </c>
      <c r="F2496" s="407">
        <f t="shared" si="31"/>
        <v>1.8744037053212446</v>
      </c>
      <c r="G2496" s="408">
        <v>533.50300000000004</v>
      </c>
      <c r="H2496" s="419" t="s">
        <v>182</v>
      </c>
      <c r="I2496" s="419" t="s">
        <v>2936</v>
      </c>
      <c r="J2496" s="243" t="s">
        <v>96</v>
      </c>
      <c r="K2496" s="243" t="s">
        <v>1137</v>
      </c>
      <c r="L2496" s="243" t="s">
        <v>153</v>
      </c>
      <c r="M2496" s="395"/>
      <c r="N2496" s="395"/>
    </row>
    <row r="2497" spans="1:14" ht="15.6" hidden="1">
      <c r="A2497" s="418">
        <v>45918</v>
      </c>
      <c r="B2497" s="419" t="s">
        <v>4917</v>
      </c>
      <c r="C2497" s="419" t="s">
        <v>172</v>
      </c>
      <c r="D2497" s="177" t="s">
        <v>440</v>
      </c>
      <c r="E2497" s="419">
        <v>1000</v>
      </c>
      <c r="F2497" s="407">
        <f t="shared" si="31"/>
        <v>1.8744037053212446</v>
      </c>
      <c r="G2497" s="408">
        <v>533.50300000000004</v>
      </c>
      <c r="H2497" s="419" t="s">
        <v>182</v>
      </c>
      <c r="I2497" s="419" t="s">
        <v>2936</v>
      </c>
      <c r="J2497" s="243" t="s">
        <v>96</v>
      </c>
      <c r="K2497" s="243" t="s">
        <v>1137</v>
      </c>
      <c r="L2497" s="243" t="s">
        <v>153</v>
      </c>
      <c r="M2497" s="395"/>
      <c r="N2497" s="395"/>
    </row>
    <row r="2498" spans="1:14" ht="15.6" hidden="1">
      <c r="A2498" s="418">
        <v>45918</v>
      </c>
      <c r="B2498" s="419" t="s">
        <v>4917</v>
      </c>
      <c r="C2498" s="419" t="s">
        <v>172</v>
      </c>
      <c r="D2498" s="177" t="s">
        <v>440</v>
      </c>
      <c r="E2498" s="419">
        <v>1000</v>
      </c>
      <c r="F2498" s="407">
        <f t="shared" si="31"/>
        <v>1.8744037053212446</v>
      </c>
      <c r="G2498" s="408">
        <v>533.50300000000004</v>
      </c>
      <c r="H2498" s="419" t="s">
        <v>182</v>
      </c>
      <c r="I2498" s="419" t="s">
        <v>2936</v>
      </c>
      <c r="J2498" s="243" t="s">
        <v>96</v>
      </c>
      <c r="K2498" s="243" t="s">
        <v>1137</v>
      </c>
      <c r="L2498" s="243" t="s">
        <v>153</v>
      </c>
      <c r="M2498" s="395"/>
      <c r="N2498" s="395"/>
    </row>
    <row r="2499" spans="1:14" ht="15.6" hidden="1">
      <c r="A2499" s="420">
        <v>45918</v>
      </c>
      <c r="B2499" s="413" t="s">
        <v>4876</v>
      </c>
      <c r="C2499" s="413" t="s">
        <v>172</v>
      </c>
      <c r="D2499" s="177" t="s">
        <v>440</v>
      </c>
      <c r="E2499" s="413">
        <v>1000</v>
      </c>
      <c r="F2499" s="407">
        <f t="shared" si="31"/>
        <v>1.8744037053212446</v>
      </c>
      <c r="G2499" s="408">
        <v>533.50300000000004</v>
      </c>
      <c r="H2499" s="413" t="s">
        <v>173</v>
      </c>
      <c r="I2499" s="413" t="s">
        <v>2959</v>
      </c>
      <c r="J2499" s="243" t="s">
        <v>96</v>
      </c>
      <c r="K2499" s="243" t="s">
        <v>1137</v>
      </c>
      <c r="L2499" s="243" t="s">
        <v>153</v>
      </c>
      <c r="M2499" s="395"/>
      <c r="N2499" s="395"/>
    </row>
    <row r="2500" spans="1:14" ht="15.6" hidden="1">
      <c r="A2500" s="420">
        <v>45918</v>
      </c>
      <c r="B2500" s="413" t="s">
        <v>4876</v>
      </c>
      <c r="C2500" s="413" t="s">
        <v>172</v>
      </c>
      <c r="D2500" s="177" t="s">
        <v>440</v>
      </c>
      <c r="E2500" s="413">
        <v>1000</v>
      </c>
      <c r="F2500" s="407">
        <f t="shared" si="31"/>
        <v>1.8744037053212446</v>
      </c>
      <c r="G2500" s="408">
        <v>533.50300000000004</v>
      </c>
      <c r="H2500" s="413" t="s">
        <v>173</v>
      </c>
      <c r="I2500" s="413" t="s">
        <v>2959</v>
      </c>
      <c r="J2500" s="243" t="s">
        <v>96</v>
      </c>
      <c r="K2500" s="243" t="s">
        <v>1137</v>
      </c>
      <c r="L2500" s="243" t="s">
        <v>153</v>
      </c>
      <c r="M2500" s="395"/>
      <c r="N2500" s="395"/>
    </row>
    <row r="2501" spans="1:14" ht="15.6" hidden="1">
      <c r="A2501" s="420">
        <v>45918</v>
      </c>
      <c r="B2501" s="413" t="s">
        <v>4876</v>
      </c>
      <c r="C2501" s="413" t="s">
        <v>172</v>
      </c>
      <c r="D2501" s="177" t="s">
        <v>440</v>
      </c>
      <c r="E2501" s="413">
        <v>1000</v>
      </c>
      <c r="F2501" s="407">
        <f t="shared" si="31"/>
        <v>1.8744037053212446</v>
      </c>
      <c r="G2501" s="408">
        <v>533.50300000000004</v>
      </c>
      <c r="H2501" s="413" t="s">
        <v>173</v>
      </c>
      <c r="I2501" s="413" t="s">
        <v>2959</v>
      </c>
      <c r="J2501" s="243" t="s">
        <v>96</v>
      </c>
      <c r="K2501" s="243" t="s">
        <v>1137</v>
      </c>
      <c r="L2501" s="243" t="s">
        <v>153</v>
      </c>
      <c r="M2501" s="395"/>
      <c r="N2501" s="395"/>
    </row>
    <row r="2502" spans="1:14" ht="15.6" hidden="1">
      <c r="A2502" s="420">
        <v>45918</v>
      </c>
      <c r="B2502" s="413" t="s">
        <v>4917</v>
      </c>
      <c r="C2502" s="413" t="s">
        <v>172</v>
      </c>
      <c r="D2502" s="177" t="s">
        <v>440</v>
      </c>
      <c r="E2502" s="413">
        <v>1000</v>
      </c>
      <c r="F2502" s="407">
        <f t="shared" si="31"/>
        <v>1.8744037053212446</v>
      </c>
      <c r="G2502" s="408">
        <v>533.50300000000004</v>
      </c>
      <c r="H2502" s="413" t="s">
        <v>173</v>
      </c>
      <c r="I2502" s="413" t="s">
        <v>2959</v>
      </c>
      <c r="J2502" s="243" t="s">
        <v>96</v>
      </c>
      <c r="K2502" s="243" t="s">
        <v>1137</v>
      </c>
      <c r="L2502" s="243" t="s">
        <v>153</v>
      </c>
      <c r="M2502" s="395"/>
      <c r="N2502" s="395"/>
    </row>
    <row r="2503" spans="1:14" ht="15.6" hidden="1">
      <c r="A2503" s="420">
        <v>45918</v>
      </c>
      <c r="B2503" s="413" t="s">
        <v>4876</v>
      </c>
      <c r="C2503" s="413" t="s">
        <v>172</v>
      </c>
      <c r="D2503" s="177" t="s">
        <v>440</v>
      </c>
      <c r="E2503" s="413">
        <v>1000</v>
      </c>
      <c r="F2503" s="407">
        <f t="shared" si="31"/>
        <v>1.8744037053212446</v>
      </c>
      <c r="G2503" s="408">
        <v>533.50300000000004</v>
      </c>
      <c r="H2503" s="413" t="s">
        <v>173</v>
      </c>
      <c r="I2503" s="413" t="s">
        <v>2959</v>
      </c>
      <c r="J2503" s="243" t="s">
        <v>96</v>
      </c>
      <c r="K2503" s="243" t="s">
        <v>1137</v>
      </c>
      <c r="L2503" s="243" t="s">
        <v>153</v>
      </c>
      <c r="M2503" s="395"/>
      <c r="N2503" s="395"/>
    </row>
    <row r="2504" spans="1:14" ht="15.6" hidden="1">
      <c r="A2504" s="420">
        <v>45918</v>
      </c>
      <c r="B2504" s="413" t="s">
        <v>2954</v>
      </c>
      <c r="C2504" s="413" t="s">
        <v>366</v>
      </c>
      <c r="D2504" s="177" t="s">
        <v>440</v>
      </c>
      <c r="E2504" s="413">
        <v>2000</v>
      </c>
      <c r="F2504" s="407">
        <f t="shared" si="31"/>
        <v>3.7488074106424891</v>
      </c>
      <c r="G2504" s="408">
        <v>533.50300000000004</v>
      </c>
      <c r="H2504" s="413" t="s">
        <v>173</v>
      </c>
      <c r="I2504" s="413" t="s">
        <v>2963</v>
      </c>
      <c r="J2504" s="243" t="s">
        <v>96</v>
      </c>
      <c r="K2504" s="243" t="s">
        <v>1137</v>
      </c>
      <c r="L2504" s="243" t="s">
        <v>153</v>
      </c>
      <c r="M2504" s="327"/>
      <c r="N2504" s="327"/>
    </row>
    <row r="2505" spans="1:14" ht="15.6" hidden="1">
      <c r="A2505" s="420">
        <v>45918</v>
      </c>
      <c r="B2505" s="413" t="s">
        <v>4876</v>
      </c>
      <c r="C2505" s="413" t="s">
        <v>172</v>
      </c>
      <c r="D2505" s="177" t="s">
        <v>440</v>
      </c>
      <c r="E2505" s="413">
        <v>2000</v>
      </c>
      <c r="F2505" s="407">
        <f t="shared" si="31"/>
        <v>3.7488074106424891</v>
      </c>
      <c r="G2505" s="408">
        <v>533.50300000000004</v>
      </c>
      <c r="H2505" s="413" t="s">
        <v>315</v>
      </c>
      <c r="I2505" s="413" t="s">
        <v>2976</v>
      </c>
      <c r="J2505" s="243" t="s">
        <v>96</v>
      </c>
      <c r="K2505" s="243" t="s">
        <v>1137</v>
      </c>
      <c r="L2505" s="243" t="s">
        <v>153</v>
      </c>
      <c r="M2505" s="327"/>
      <c r="N2505" s="327"/>
    </row>
    <row r="2506" spans="1:14" ht="15.6" hidden="1">
      <c r="A2506" s="420">
        <v>45918</v>
      </c>
      <c r="B2506" s="413" t="s">
        <v>4917</v>
      </c>
      <c r="C2506" s="413" t="s">
        <v>172</v>
      </c>
      <c r="D2506" s="177" t="s">
        <v>440</v>
      </c>
      <c r="E2506" s="413">
        <v>2500</v>
      </c>
      <c r="F2506" s="407">
        <f t="shared" si="31"/>
        <v>4.6860092633031112</v>
      </c>
      <c r="G2506" s="408">
        <v>533.50300000000004</v>
      </c>
      <c r="H2506" s="413" t="s">
        <v>315</v>
      </c>
      <c r="I2506" s="413" t="s">
        <v>2976</v>
      </c>
      <c r="J2506" s="243" t="s">
        <v>96</v>
      </c>
      <c r="K2506" s="243" t="s">
        <v>1137</v>
      </c>
      <c r="L2506" s="243" t="s">
        <v>153</v>
      </c>
      <c r="M2506" s="327"/>
      <c r="N2506" s="327"/>
    </row>
    <row r="2507" spans="1:14" ht="15.6" hidden="1">
      <c r="A2507" s="420">
        <v>45918</v>
      </c>
      <c r="B2507" s="413" t="s">
        <v>4876</v>
      </c>
      <c r="C2507" s="413" t="s">
        <v>172</v>
      </c>
      <c r="D2507" s="177" t="s">
        <v>440</v>
      </c>
      <c r="E2507" s="413">
        <v>1500</v>
      </c>
      <c r="F2507" s="407">
        <f t="shared" si="31"/>
        <v>2.8116055579818666</v>
      </c>
      <c r="G2507" s="408">
        <v>533.50300000000004</v>
      </c>
      <c r="H2507" s="413" t="s">
        <v>315</v>
      </c>
      <c r="I2507" s="413" t="s">
        <v>2976</v>
      </c>
      <c r="J2507" s="243" t="s">
        <v>96</v>
      </c>
      <c r="K2507" s="243" t="s">
        <v>1137</v>
      </c>
      <c r="L2507" s="243" t="s">
        <v>153</v>
      </c>
      <c r="M2507" s="327"/>
      <c r="N2507" s="327"/>
    </row>
    <row r="2508" spans="1:14" ht="15.6" hidden="1">
      <c r="A2508" s="420">
        <v>45918</v>
      </c>
      <c r="B2508" s="413" t="s">
        <v>4876</v>
      </c>
      <c r="C2508" s="413" t="s">
        <v>172</v>
      </c>
      <c r="D2508" s="177" t="s">
        <v>440</v>
      </c>
      <c r="E2508" s="413">
        <v>2500</v>
      </c>
      <c r="F2508" s="407">
        <f t="shared" si="31"/>
        <v>4.6860092633031112</v>
      </c>
      <c r="G2508" s="408">
        <v>533.50300000000004</v>
      </c>
      <c r="H2508" s="413" t="s">
        <v>315</v>
      </c>
      <c r="I2508" s="413" t="s">
        <v>2976</v>
      </c>
      <c r="J2508" s="243" t="s">
        <v>96</v>
      </c>
      <c r="K2508" s="243" t="s">
        <v>1137</v>
      </c>
      <c r="L2508" s="243" t="s">
        <v>153</v>
      </c>
      <c r="M2508" s="327"/>
      <c r="N2508" s="327"/>
    </row>
    <row r="2509" spans="1:14" ht="15.6" hidden="1">
      <c r="A2509" s="420">
        <v>45918</v>
      </c>
      <c r="B2509" s="413" t="s">
        <v>4876</v>
      </c>
      <c r="C2509" s="413" t="s">
        <v>172</v>
      </c>
      <c r="D2509" s="177" t="s">
        <v>440</v>
      </c>
      <c r="E2509" s="416">
        <v>1000</v>
      </c>
      <c r="F2509" s="407">
        <f t="shared" si="31"/>
        <v>1.8744037053212446</v>
      </c>
      <c r="G2509" s="408">
        <v>533.50300000000004</v>
      </c>
      <c r="H2509" s="413" t="s">
        <v>321</v>
      </c>
      <c r="I2509" s="413" t="s">
        <v>2994</v>
      </c>
      <c r="J2509" s="243" t="s">
        <v>96</v>
      </c>
      <c r="K2509" s="243" t="s">
        <v>1137</v>
      </c>
      <c r="L2509" s="243" t="s">
        <v>153</v>
      </c>
      <c r="M2509" s="327"/>
      <c r="N2509" s="327"/>
    </row>
    <row r="2510" spans="1:14" ht="15.6" hidden="1">
      <c r="A2510" s="420">
        <v>45918</v>
      </c>
      <c r="B2510" s="413" t="s">
        <v>4907</v>
      </c>
      <c r="C2510" s="413" t="s">
        <v>172</v>
      </c>
      <c r="D2510" s="177" t="s">
        <v>440</v>
      </c>
      <c r="E2510" s="416">
        <v>1000</v>
      </c>
      <c r="F2510" s="407">
        <f t="shared" si="31"/>
        <v>1.8744037053212446</v>
      </c>
      <c r="G2510" s="408">
        <v>533.50300000000004</v>
      </c>
      <c r="H2510" s="413" t="s">
        <v>321</v>
      </c>
      <c r="I2510" s="413" t="s">
        <v>2994</v>
      </c>
      <c r="J2510" s="243" t="s">
        <v>96</v>
      </c>
      <c r="K2510" s="243" t="s">
        <v>1137</v>
      </c>
      <c r="L2510" s="243" t="s">
        <v>153</v>
      </c>
      <c r="M2510" s="327"/>
      <c r="N2510" s="327"/>
    </row>
    <row r="2511" spans="1:14" ht="15.6" hidden="1">
      <c r="A2511" s="420">
        <v>45918</v>
      </c>
      <c r="B2511" s="413" t="s">
        <v>4907</v>
      </c>
      <c r="C2511" s="413" t="s">
        <v>172</v>
      </c>
      <c r="D2511" s="177" t="s">
        <v>440</v>
      </c>
      <c r="E2511" s="416">
        <v>1000</v>
      </c>
      <c r="F2511" s="407">
        <f t="shared" si="31"/>
        <v>1.8744037053212446</v>
      </c>
      <c r="G2511" s="408">
        <v>533.50300000000004</v>
      </c>
      <c r="H2511" s="413" t="s">
        <v>321</v>
      </c>
      <c r="I2511" s="413" t="s">
        <v>2994</v>
      </c>
      <c r="J2511" s="243" t="s">
        <v>96</v>
      </c>
      <c r="K2511" s="243" t="s">
        <v>1137</v>
      </c>
      <c r="L2511" s="243" t="s">
        <v>153</v>
      </c>
      <c r="M2511" s="327"/>
      <c r="N2511" s="327"/>
    </row>
    <row r="2512" spans="1:14" ht="15.6" hidden="1">
      <c r="A2512" s="420">
        <v>45918</v>
      </c>
      <c r="B2512" s="413" t="s">
        <v>4876</v>
      </c>
      <c r="C2512" s="413" t="s">
        <v>172</v>
      </c>
      <c r="D2512" s="177" t="s">
        <v>440</v>
      </c>
      <c r="E2512" s="416">
        <v>1000</v>
      </c>
      <c r="F2512" s="407">
        <f t="shared" si="31"/>
        <v>1.8744037053212446</v>
      </c>
      <c r="G2512" s="408">
        <v>533.50300000000004</v>
      </c>
      <c r="H2512" s="413" t="s">
        <v>321</v>
      </c>
      <c r="I2512" s="413" t="s">
        <v>2994</v>
      </c>
      <c r="J2512" s="243" t="s">
        <v>96</v>
      </c>
      <c r="K2512" s="243" t="s">
        <v>1137</v>
      </c>
      <c r="L2512" s="243" t="s">
        <v>153</v>
      </c>
      <c r="M2512" s="327"/>
      <c r="N2512" s="327"/>
    </row>
    <row r="2513" spans="1:14" ht="15.6" hidden="1">
      <c r="A2513" s="420">
        <v>45918</v>
      </c>
      <c r="B2513" s="413" t="s">
        <v>3009</v>
      </c>
      <c r="C2513" s="413" t="s">
        <v>172</v>
      </c>
      <c r="D2513" s="413" t="s">
        <v>115</v>
      </c>
      <c r="E2513" s="414">
        <v>1000</v>
      </c>
      <c r="F2513" s="407">
        <f t="shared" si="31"/>
        <v>1.8744037053212446</v>
      </c>
      <c r="G2513" s="408">
        <v>533.50300000000004</v>
      </c>
      <c r="H2513" s="413" t="s">
        <v>188</v>
      </c>
      <c r="I2513" s="413" t="s">
        <v>3016</v>
      </c>
      <c r="J2513" s="243" t="s">
        <v>96</v>
      </c>
      <c r="K2513" s="243" t="s">
        <v>1137</v>
      </c>
      <c r="L2513" s="243" t="s">
        <v>153</v>
      </c>
      <c r="M2513" s="327"/>
      <c r="N2513" s="327"/>
    </row>
    <row r="2514" spans="1:14" ht="15.6" hidden="1">
      <c r="A2514" s="420">
        <v>45918</v>
      </c>
      <c r="B2514" s="413" t="s">
        <v>3010</v>
      </c>
      <c r="C2514" s="413" t="s">
        <v>172</v>
      </c>
      <c r="D2514" s="413" t="s">
        <v>115</v>
      </c>
      <c r="E2514" s="414">
        <v>2000</v>
      </c>
      <c r="F2514" s="407">
        <f t="shared" si="31"/>
        <v>3.7488074106424891</v>
      </c>
      <c r="G2514" s="408">
        <v>533.50300000000004</v>
      </c>
      <c r="H2514" s="413" t="s">
        <v>188</v>
      </c>
      <c r="I2514" s="413" t="s">
        <v>3016</v>
      </c>
      <c r="J2514" s="243" t="s">
        <v>96</v>
      </c>
      <c r="K2514" s="243" t="s">
        <v>1137</v>
      </c>
      <c r="L2514" s="243" t="s">
        <v>153</v>
      </c>
      <c r="M2514" s="327"/>
      <c r="N2514" s="327"/>
    </row>
    <row r="2515" spans="1:14" ht="15.6" hidden="1">
      <c r="A2515" s="420">
        <v>45919</v>
      </c>
      <c r="B2515" s="413" t="s">
        <v>2103</v>
      </c>
      <c r="C2515" s="406" t="s">
        <v>172</v>
      </c>
      <c r="D2515" s="406" t="s">
        <v>117</v>
      </c>
      <c r="E2515" s="346">
        <v>1000</v>
      </c>
      <c r="F2515" s="407">
        <f t="shared" si="31"/>
        <v>1.8744037053212446</v>
      </c>
      <c r="G2515" s="408">
        <v>533.50300000000004</v>
      </c>
      <c r="H2515" s="409" t="s">
        <v>151</v>
      </c>
      <c r="I2515" s="413" t="s">
        <v>2824</v>
      </c>
      <c r="J2515" s="243" t="s">
        <v>96</v>
      </c>
      <c r="K2515" s="243" t="s">
        <v>1137</v>
      </c>
      <c r="L2515" s="243" t="s">
        <v>153</v>
      </c>
      <c r="M2515" s="395"/>
      <c r="N2515" s="395"/>
    </row>
    <row r="2516" spans="1:14" ht="15.6" hidden="1">
      <c r="A2516" s="420">
        <v>45919</v>
      </c>
      <c r="B2516" s="413" t="s">
        <v>2104</v>
      </c>
      <c r="C2516" s="406" t="s">
        <v>172</v>
      </c>
      <c r="D2516" s="406" t="s">
        <v>117</v>
      </c>
      <c r="E2516" s="346">
        <v>1000</v>
      </c>
      <c r="F2516" s="407">
        <f t="shared" si="31"/>
        <v>1.8744037053212446</v>
      </c>
      <c r="G2516" s="408">
        <v>533.50300000000004</v>
      </c>
      <c r="H2516" s="409" t="s">
        <v>151</v>
      </c>
      <c r="I2516" s="413" t="s">
        <v>2824</v>
      </c>
      <c r="J2516" s="243" t="s">
        <v>96</v>
      </c>
      <c r="K2516" s="243" t="s">
        <v>1137</v>
      </c>
      <c r="L2516" s="243" t="s">
        <v>153</v>
      </c>
      <c r="M2516" s="395"/>
      <c r="N2516" s="395"/>
    </row>
    <row r="2517" spans="1:14" ht="15.6" hidden="1">
      <c r="A2517" s="411">
        <v>45919</v>
      </c>
      <c r="B2517" s="413" t="s">
        <v>2891</v>
      </c>
      <c r="C2517" s="413" t="s">
        <v>172</v>
      </c>
      <c r="D2517" s="413" t="s">
        <v>116</v>
      </c>
      <c r="E2517" s="414">
        <v>1000</v>
      </c>
      <c r="F2517" s="407">
        <f t="shared" si="31"/>
        <v>1.8744037053212446</v>
      </c>
      <c r="G2517" s="408">
        <v>533.50300000000004</v>
      </c>
      <c r="H2517" s="413" t="s">
        <v>581</v>
      </c>
      <c r="I2517" s="413" t="s">
        <v>2914</v>
      </c>
      <c r="J2517" s="243" t="s">
        <v>96</v>
      </c>
      <c r="K2517" s="243" t="s">
        <v>1137</v>
      </c>
      <c r="L2517" s="243" t="s">
        <v>153</v>
      </c>
      <c r="M2517" s="327"/>
      <c r="N2517" s="327"/>
    </row>
    <row r="2518" spans="1:14" ht="15.6" hidden="1">
      <c r="A2518" s="411">
        <v>45919</v>
      </c>
      <c r="B2518" s="413" t="s">
        <v>2892</v>
      </c>
      <c r="C2518" s="413" t="s">
        <v>172</v>
      </c>
      <c r="D2518" s="413" t="s">
        <v>116</v>
      </c>
      <c r="E2518" s="414">
        <v>1000</v>
      </c>
      <c r="F2518" s="407">
        <f t="shared" si="31"/>
        <v>1.8744037053212446</v>
      </c>
      <c r="G2518" s="408">
        <v>533.50300000000004</v>
      </c>
      <c r="H2518" s="413" t="s">
        <v>581</v>
      </c>
      <c r="I2518" s="413" t="s">
        <v>2914</v>
      </c>
      <c r="J2518" s="243" t="s">
        <v>96</v>
      </c>
      <c r="K2518" s="243" t="s">
        <v>1137</v>
      </c>
      <c r="L2518" s="243" t="s">
        <v>153</v>
      </c>
      <c r="M2518" s="327"/>
      <c r="N2518" s="327"/>
    </row>
    <row r="2519" spans="1:14" ht="15.6" hidden="1">
      <c r="A2519" s="418">
        <v>45919</v>
      </c>
      <c r="B2519" s="419" t="s">
        <v>4912</v>
      </c>
      <c r="C2519" s="419" t="s">
        <v>172</v>
      </c>
      <c r="D2519" s="177" t="s">
        <v>440</v>
      </c>
      <c r="E2519" s="419">
        <v>1000</v>
      </c>
      <c r="F2519" s="407">
        <f t="shared" si="31"/>
        <v>1.8744037053212446</v>
      </c>
      <c r="G2519" s="408">
        <v>533.50300000000004</v>
      </c>
      <c r="H2519" s="419" t="s">
        <v>182</v>
      </c>
      <c r="I2519" s="419" t="s">
        <v>2936</v>
      </c>
      <c r="J2519" s="243" t="s">
        <v>96</v>
      </c>
      <c r="K2519" s="243" t="s">
        <v>1137</v>
      </c>
      <c r="L2519" s="243" t="s">
        <v>153</v>
      </c>
      <c r="M2519" s="395"/>
      <c r="N2519" s="395"/>
    </row>
    <row r="2520" spans="1:14" ht="15.6" hidden="1">
      <c r="A2520" s="418">
        <v>45919</v>
      </c>
      <c r="B2520" s="419" t="s">
        <v>4917</v>
      </c>
      <c r="C2520" s="419" t="s">
        <v>172</v>
      </c>
      <c r="D2520" s="177" t="s">
        <v>440</v>
      </c>
      <c r="E2520" s="419">
        <v>1000</v>
      </c>
      <c r="F2520" s="407">
        <f t="shared" si="31"/>
        <v>1.8744037053212446</v>
      </c>
      <c r="G2520" s="408">
        <v>533.50300000000004</v>
      </c>
      <c r="H2520" s="419" t="s">
        <v>182</v>
      </c>
      <c r="I2520" s="419" t="s">
        <v>2936</v>
      </c>
      <c r="J2520" s="243" t="s">
        <v>96</v>
      </c>
      <c r="K2520" s="243" t="s">
        <v>1137</v>
      </c>
      <c r="L2520" s="243" t="s">
        <v>153</v>
      </c>
      <c r="M2520" s="395"/>
      <c r="N2520" s="395"/>
    </row>
    <row r="2521" spans="1:14" ht="15.6" hidden="1">
      <c r="A2521" s="418">
        <v>45919</v>
      </c>
      <c r="B2521" s="419" t="s">
        <v>4912</v>
      </c>
      <c r="C2521" s="419" t="s">
        <v>172</v>
      </c>
      <c r="D2521" s="177" t="s">
        <v>440</v>
      </c>
      <c r="E2521" s="419">
        <v>1000</v>
      </c>
      <c r="F2521" s="407">
        <f t="shared" si="31"/>
        <v>1.8744037053212446</v>
      </c>
      <c r="G2521" s="408">
        <v>533.50300000000004</v>
      </c>
      <c r="H2521" s="419" t="s">
        <v>182</v>
      </c>
      <c r="I2521" s="419" t="s">
        <v>2936</v>
      </c>
      <c r="J2521" s="243" t="s">
        <v>96</v>
      </c>
      <c r="K2521" s="243" t="s">
        <v>1137</v>
      </c>
      <c r="L2521" s="243" t="s">
        <v>153</v>
      </c>
      <c r="M2521" s="395"/>
      <c r="N2521" s="395"/>
    </row>
    <row r="2522" spans="1:14" ht="15.6" hidden="1">
      <c r="A2522" s="418">
        <v>45919</v>
      </c>
      <c r="B2522" s="419" t="s">
        <v>4917</v>
      </c>
      <c r="C2522" s="419" t="s">
        <v>172</v>
      </c>
      <c r="D2522" s="177" t="s">
        <v>440</v>
      </c>
      <c r="E2522" s="419">
        <v>1000</v>
      </c>
      <c r="F2522" s="407">
        <f t="shared" si="31"/>
        <v>1.8744037053212446</v>
      </c>
      <c r="G2522" s="408">
        <v>533.50300000000004</v>
      </c>
      <c r="H2522" s="419" t="s">
        <v>182</v>
      </c>
      <c r="I2522" s="419" t="s">
        <v>2936</v>
      </c>
      <c r="J2522" s="243" t="s">
        <v>96</v>
      </c>
      <c r="K2522" s="243" t="s">
        <v>1137</v>
      </c>
      <c r="L2522" s="243" t="s">
        <v>153</v>
      </c>
      <c r="M2522" s="395"/>
      <c r="N2522" s="395"/>
    </row>
    <row r="2523" spans="1:14" ht="15.6" hidden="1">
      <c r="A2523" s="418">
        <v>45919</v>
      </c>
      <c r="B2523" s="419" t="s">
        <v>4912</v>
      </c>
      <c r="C2523" s="419" t="s">
        <v>172</v>
      </c>
      <c r="D2523" s="177" t="s">
        <v>440</v>
      </c>
      <c r="E2523" s="419">
        <v>1000</v>
      </c>
      <c r="F2523" s="407">
        <f t="shared" si="31"/>
        <v>1.8744037053212446</v>
      </c>
      <c r="G2523" s="408">
        <v>533.50300000000004</v>
      </c>
      <c r="H2523" s="419" t="s">
        <v>182</v>
      </c>
      <c r="I2523" s="419" t="s">
        <v>2936</v>
      </c>
      <c r="J2523" s="243" t="s">
        <v>96</v>
      </c>
      <c r="K2523" s="243" t="s">
        <v>1137</v>
      </c>
      <c r="L2523" s="243" t="s">
        <v>153</v>
      </c>
      <c r="M2523" s="395"/>
      <c r="N2523" s="395"/>
    </row>
    <row r="2524" spans="1:14" ht="15.6" hidden="1">
      <c r="A2524" s="418">
        <v>45919</v>
      </c>
      <c r="B2524" s="419" t="s">
        <v>4867</v>
      </c>
      <c r="C2524" s="419" t="s">
        <v>366</v>
      </c>
      <c r="D2524" s="177" t="s">
        <v>440</v>
      </c>
      <c r="E2524" s="419">
        <v>1000</v>
      </c>
      <c r="F2524" s="407">
        <f t="shared" si="31"/>
        <v>1.8744037053212446</v>
      </c>
      <c r="G2524" s="408">
        <v>533.50300000000004</v>
      </c>
      <c r="H2524" s="419" t="s">
        <v>182</v>
      </c>
      <c r="I2524" s="419" t="s">
        <v>2940</v>
      </c>
      <c r="J2524" s="243" t="s">
        <v>96</v>
      </c>
      <c r="K2524" s="243" t="s">
        <v>1137</v>
      </c>
      <c r="L2524" s="243" t="s">
        <v>153</v>
      </c>
      <c r="M2524" s="395"/>
      <c r="N2524" s="395"/>
    </row>
    <row r="2525" spans="1:14" ht="15.6" hidden="1">
      <c r="A2525" s="420">
        <v>45919</v>
      </c>
      <c r="B2525" s="413" t="s">
        <v>4876</v>
      </c>
      <c r="C2525" s="413" t="s">
        <v>172</v>
      </c>
      <c r="D2525" s="177" t="s">
        <v>440</v>
      </c>
      <c r="E2525" s="413">
        <v>1000</v>
      </c>
      <c r="F2525" s="407">
        <f t="shared" si="31"/>
        <v>1.8744037053212446</v>
      </c>
      <c r="G2525" s="408">
        <v>533.50300000000004</v>
      </c>
      <c r="H2525" s="413" t="s">
        <v>173</v>
      </c>
      <c r="I2525" s="413" t="s">
        <v>2959</v>
      </c>
      <c r="J2525" s="243" t="s">
        <v>96</v>
      </c>
      <c r="K2525" s="243" t="s">
        <v>1137</v>
      </c>
      <c r="L2525" s="243" t="s">
        <v>153</v>
      </c>
      <c r="M2525" s="327"/>
      <c r="N2525" s="327"/>
    </row>
    <row r="2526" spans="1:14" ht="15.6" hidden="1">
      <c r="A2526" s="420">
        <v>45919</v>
      </c>
      <c r="B2526" s="413" t="s">
        <v>4917</v>
      </c>
      <c r="C2526" s="413" t="s">
        <v>1011</v>
      </c>
      <c r="D2526" s="177" t="s">
        <v>440</v>
      </c>
      <c r="E2526" s="413">
        <v>1000</v>
      </c>
      <c r="F2526" s="407">
        <f t="shared" si="31"/>
        <v>1.8744037053212446</v>
      </c>
      <c r="G2526" s="408">
        <v>533.50300000000004</v>
      </c>
      <c r="H2526" s="413" t="s">
        <v>173</v>
      </c>
      <c r="I2526" s="413" t="s">
        <v>2959</v>
      </c>
      <c r="J2526" s="243" t="s">
        <v>96</v>
      </c>
      <c r="K2526" s="243" t="s">
        <v>1137</v>
      </c>
      <c r="L2526" s="243" t="s">
        <v>153</v>
      </c>
      <c r="M2526" s="327"/>
      <c r="N2526" s="327"/>
    </row>
    <row r="2527" spans="1:14" ht="15.6" hidden="1">
      <c r="A2527" s="420">
        <v>45919</v>
      </c>
      <c r="B2527" s="413" t="s">
        <v>3011</v>
      </c>
      <c r="C2527" s="413" t="s">
        <v>172</v>
      </c>
      <c r="D2527" s="413" t="s">
        <v>115</v>
      </c>
      <c r="E2527" s="414">
        <v>2000</v>
      </c>
      <c r="F2527" s="407">
        <f t="shared" si="31"/>
        <v>3.7488074106424891</v>
      </c>
      <c r="G2527" s="408">
        <v>533.50300000000004</v>
      </c>
      <c r="H2527" s="413" t="s">
        <v>188</v>
      </c>
      <c r="I2527" s="413" t="s">
        <v>3016</v>
      </c>
      <c r="J2527" s="243" t="s">
        <v>96</v>
      </c>
      <c r="K2527" s="243" t="s">
        <v>1137</v>
      </c>
      <c r="L2527" s="243" t="s">
        <v>153</v>
      </c>
      <c r="M2527" s="327"/>
      <c r="N2527" s="327"/>
    </row>
    <row r="2528" spans="1:14" ht="15.6" hidden="1">
      <c r="A2528" s="420">
        <v>45919</v>
      </c>
      <c r="B2528" s="413" t="s">
        <v>3012</v>
      </c>
      <c r="C2528" s="413" t="s">
        <v>172</v>
      </c>
      <c r="D2528" s="413" t="s">
        <v>115</v>
      </c>
      <c r="E2528" s="414">
        <v>1000</v>
      </c>
      <c r="F2528" s="407">
        <f t="shared" si="31"/>
        <v>1.8744037053212446</v>
      </c>
      <c r="G2528" s="408">
        <v>533.50300000000004</v>
      </c>
      <c r="H2528" s="413" t="s">
        <v>188</v>
      </c>
      <c r="I2528" s="413" t="s">
        <v>3016</v>
      </c>
      <c r="J2528" s="243" t="s">
        <v>96</v>
      </c>
      <c r="K2528" s="243" t="s">
        <v>1137</v>
      </c>
      <c r="L2528" s="243" t="s">
        <v>153</v>
      </c>
      <c r="M2528" s="327"/>
      <c r="N2528" s="327"/>
    </row>
    <row r="2529" spans="1:14" ht="15.6" hidden="1">
      <c r="A2529" s="420">
        <v>45919</v>
      </c>
      <c r="B2529" s="413" t="s">
        <v>3013</v>
      </c>
      <c r="C2529" s="413" t="s">
        <v>172</v>
      </c>
      <c r="D2529" s="413" t="s">
        <v>115</v>
      </c>
      <c r="E2529" s="414">
        <v>1000</v>
      </c>
      <c r="F2529" s="407">
        <f t="shared" ref="F2529:F2592" si="32">E2529/G2529</f>
        <v>1.8744037053212446</v>
      </c>
      <c r="G2529" s="408">
        <v>533.50300000000004</v>
      </c>
      <c r="H2529" s="413" t="s">
        <v>188</v>
      </c>
      <c r="I2529" s="413" t="s">
        <v>3016</v>
      </c>
      <c r="J2529" s="243" t="s">
        <v>96</v>
      </c>
      <c r="K2529" s="243" t="s">
        <v>1137</v>
      </c>
      <c r="L2529" s="243" t="s">
        <v>153</v>
      </c>
      <c r="M2529" s="327"/>
      <c r="N2529" s="327"/>
    </row>
    <row r="2530" spans="1:14" ht="15.6" hidden="1">
      <c r="A2530" s="420">
        <v>45919</v>
      </c>
      <c r="B2530" s="413" t="s">
        <v>3002</v>
      </c>
      <c r="C2530" s="413" t="s">
        <v>172</v>
      </c>
      <c r="D2530" s="413" t="s">
        <v>115</v>
      </c>
      <c r="E2530" s="414">
        <v>1000</v>
      </c>
      <c r="F2530" s="407">
        <f t="shared" si="32"/>
        <v>1.8744037053212446</v>
      </c>
      <c r="G2530" s="408">
        <v>533.50300000000004</v>
      </c>
      <c r="H2530" s="413" t="s">
        <v>188</v>
      </c>
      <c r="I2530" s="413" t="s">
        <v>3016</v>
      </c>
      <c r="J2530" s="243" t="s">
        <v>96</v>
      </c>
      <c r="K2530" s="243" t="s">
        <v>1137</v>
      </c>
      <c r="L2530" s="243" t="s">
        <v>153</v>
      </c>
      <c r="M2530" s="327"/>
      <c r="N2530" s="327"/>
    </row>
    <row r="2531" spans="1:14" ht="15.6" hidden="1">
      <c r="A2531" s="415">
        <v>45919</v>
      </c>
      <c r="B2531" s="413" t="s">
        <v>3046</v>
      </c>
      <c r="C2531" s="243" t="s">
        <v>172</v>
      </c>
      <c r="D2531" s="243" t="s">
        <v>115</v>
      </c>
      <c r="E2531" s="412">
        <v>1500</v>
      </c>
      <c r="F2531" s="407">
        <f t="shared" si="32"/>
        <v>2.8116055579818666</v>
      </c>
      <c r="G2531" s="408">
        <v>533.50300000000004</v>
      </c>
      <c r="H2531" s="243" t="s">
        <v>191</v>
      </c>
      <c r="I2531" s="413" t="s">
        <v>3052</v>
      </c>
      <c r="J2531" s="243" t="s">
        <v>96</v>
      </c>
      <c r="K2531" s="243" t="s">
        <v>1137</v>
      </c>
      <c r="L2531" s="243" t="s">
        <v>153</v>
      </c>
      <c r="M2531" s="76"/>
      <c r="N2531" s="76"/>
    </row>
    <row r="2532" spans="1:14" ht="15.6" hidden="1">
      <c r="A2532" s="415">
        <v>45919</v>
      </c>
      <c r="B2532" s="413" t="s">
        <v>3047</v>
      </c>
      <c r="C2532" s="243" t="s">
        <v>172</v>
      </c>
      <c r="D2532" s="243" t="s">
        <v>115</v>
      </c>
      <c r="E2532" s="412">
        <v>1000</v>
      </c>
      <c r="F2532" s="407">
        <f t="shared" si="32"/>
        <v>1.8744037053212446</v>
      </c>
      <c r="G2532" s="408">
        <v>533.50300000000004</v>
      </c>
      <c r="H2532" s="243" t="s">
        <v>191</v>
      </c>
      <c r="I2532" s="413" t="s">
        <v>3052</v>
      </c>
      <c r="J2532" s="243" t="s">
        <v>96</v>
      </c>
      <c r="K2532" s="243" t="s">
        <v>1137</v>
      </c>
      <c r="L2532" s="243" t="s">
        <v>153</v>
      </c>
      <c r="M2532" s="76"/>
      <c r="N2532" s="76"/>
    </row>
    <row r="2533" spans="1:14" ht="15.6" hidden="1">
      <c r="A2533" s="415">
        <v>45919</v>
      </c>
      <c r="B2533" s="413" t="s">
        <v>3048</v>
      </c>
      <c r="C2533" s="243" t="s">
        <v>172</v>
      </c>
      <c r="D2533" s="243" t="s">
        <v>115</v>
      </c>
      <c r="E2533" s="412">
        <v>1500</v>
      </c>
      <c r="F2533" s="407">
        <f t="shared" si="32"/>
        <v>2.8116055579818666</v>
      </c>
      <c r="G2533" s="408">
        <v>533.50300000000004</v>
      </c>
      <c r="H2533" s="243" t="s">
        <v>191</v>
      </c>
      <c r="I2533" s="413" t="s">
        <v>3052</v>
      </c>
      <c r="J2533" s="243" t="s">
        <v>96</v>
      </c>
      <c r="K2533" s="243" t="s">
        <v>1137</v>
      </c>
      <c r="L2533" s="243" t="s">
        <v>153</v>
      </c>
      <c r="M2533" s="76"/>
      <c r="N2533" s="76"/>
    </row>
    <row r="2534" spans="1:14" ht="15.6" hidden="1">
      <c r="A2534" s="415">
        <v>45919</v>
      </c>
      <c r="B2534" s="413" t="s">
        <v>3049</v>
      </c>
      <c r="C2534" s="243" t="s">
        <v>172</v>
      </c>
      <c r="D2534" s="243" t="s">
        <v>115</v>
      </c>
      <c r="E2534" s="412">
        <v>1000</v>
      </c>
      <c r="F2534" s="407">
        <f t="shared" si="32"/>
        <v>1.8744037053212446</v>
      </c>
      <c r="G2534" s="408">
        <v>533.50300000000004</v>
      </c>
      <c r="H2534" s="243" t="s">
        <v>191</v>
      </c>
      <c r="I2534" s="413" t="s">
        <v>3052</v>
      </c>
      <c r="J2534" s="243" t="s">
        <v>96</v>
      </c>
      <c r="K2534" s="243" t="s">
        <v>1137</v>
      </c>
      <c r="L2534" s="243" t="s">
        <v>153</v>
      </c>
      <c r="M2534" s="76"/>
      <c r="N2534" s="76"/>
    </row>
    <row r="2535" spans="1:14" ht="15.6" hidden="1">
      <c r="A2535" s="415">
        <v>45919</v>
      </c>
      <c r="B2535" s="413" t="s">
        <v>3050</v>
      </c>
      <c r="C2535" s="243" t="s">
        <v>172</v>
      </c>
      <c r="D2535" s="243" t="s">
        <v>115</v>
      </c>
      <c r="E2535" s="412">
        <v>2000</v>
      </c>
      <c r="F2535" s="407">
        <f t="shared" si="32"/>
        <v>3.7488074106424891</v>
      </c>
      <c r="G2535" s="408">
        <v>533.50300000000004</v>
      </c>
      <c r="H2535" s="243" t="s">
        <v>191</v>
      </c>
      <c r="I2535" s="413" t="s">
        <v>3052</v>
      </c>
      <c r="J2535" s="243" t="s">
        <v>96</v>
      </c>
      <c r="K2535" s="243" t="s">
        <v>1137</v>
      </c>
      <c r="L2535" s="243" t="s">
        <v>153</v>
      </c>
      <c r="M2535" s="76"/>
      <c r="N2535" s="76"/>
    </row>
    <row r="2536" spans="1:14" ht="15.6" hidden="1">
      <c r="A2536" s="415">
        <v>45919</v>
      </c>
      <c r="B2536" s="413" t="s">
        <v>820</v>
      </c>
      <c r="C2536" s="413" t="s">
        <v>170</v>
      </c>
      <c r="D2536" s="413" t="s">
        <v>116</v>
      </c>
      <c r="E2536" s="412">
        <v>31250</v>
      </c>
      <c r="F2536" s="407">
        <f t="shared" si="32"/>
        <v>58.575115791288894</v>
      </c>
      <c r="G2536" s="408">
        <v>533.50300000000004</v>
      </c>
      <c r="H2536" s="413" t="s">
        <v>191</v>
      </c>
      <c r="I2536" s="243" t="s">
        <v>3062</v>
      </c>
      <c r="J2536" s="243" t="s">
        <v>96</v>
      </c>
      <c r="K2536" s="243" t="s">
        <v>1137</v>
      </c>
      <c r="L2536" s="243" t="s">
        <v>153</v>
      </c>
      <c r="M2536" s="76"/>
      <c r="N2536" s="76"/>
    </row>
    <row r="2537" spans="1:14" ht="15.6" hidden="1">
      <c r="A2537" s="420">
        <v>45919</v>
      </c>
      <c r="B2537" s="431" t="s">
        <v>3199</v>
      </c>
      <c r="C2537" s="430" t="s">
        <v>121</v>
      </c>
      <c r="D2537" s="433" t="s">
        <v>115</v>
      </c>
      <c r="E2537" s="412">
        <v>150000</v>
      </c>
      <c r="F2537" s="407">
        <f t="shared" si="32"/>
        <v>267.40732553454723</v>
      </c>
      <c r="G2537" s="408">
        <v>560.94200000000001</v>
      </c>
      <c r="H2537" s="410" t="s">
        <v>146</v>
      </c>
      <c r="I2537" s="410" t="s">
        <v>3208</v>
      </c>
      <c r="J2537" s="243" t="s">
        <v>96</v>
      </c>
      <c r="K2537" s="243" t="s">
        <v>1906</v>
      </c>
      <c r="L2537" s="243" t="s">
        <v>153</v>
      </c>
      <c r="M2537" s="76"/>
      <c r="N2537" s="76"/>
    </row>
    <row r="2538" spans="1:14" ht="15.6" hidden="1">
      <c r="A2538" s="420">
        <v>45920</v>
      </c>
      <c r="B2538" s="413" t="s">
        <v>2103</v>
      </c>
      <c r="C2538" s="406" t="s">
        <v>172</v>
      </c>
      <c r="D2538" s="406" t="s">
        <v>117</v>
      </c>
      <c r="E2538" s="346">
        <v>1000</v>
      </c>
      <c r="F2538" s="407">
        <f t="shared" si="32"/>
        <v>1.8744037053212446</v>
      </c>
      <c r="G2538" s="408">
        <v>533.50300000000004</v>
      </c>
      <c r="H2538" s="409" t="s">
        <v>151</v>
      </c>
      <c r="I2538" s="413" t="s">
        <v>2824</v>
      </c>
      <c r="J2538" s="243" t="s">
        <v>96</v>
      </c>
      <c r="K2538" s="243" t="s">
        <v>1137</v>
      </c>
      <c r="L2538" s="243" t="s">
        <v>153</v>
      </c>
      <c r="M2538" s="395"/>
      <c r="N2538" s="395"/>
    </row>
    <row r="2539" spans="1:14" ht="15.6" hidden="1">
      <c r="A2539" s="420">
        <v>45920</v>
      </c>
      <c r="B2539" s="413" t="s">
        <v>2104</v>
      </c>
      <c r="C2539" s="406" t="s">
        <v>172</v>
      </c>
      <c r="D2539" s="406" t="s">
        <v>117</v>
      </c>
      <c r="E2539" s="346">
        <v>1000</v>
      </c>
      <c r="F2539" s="407">
        <f t="shared" si="32"/>
        <v>1.8744037053212446</v>
      </c>
      <c r="G2539" s="408">
        <v>533.50300000000004</v>
      </c>
      <c r="H2539" s="409" t="s">
        <v>151</v>
      </c>
      <c r="I2539" s="413" t="s">
        <v>2824</v>
      </c>
      <c r="J2539" s="243" t="s">
        <v>96</v>
      </c>
      <c r="K2539" s="243" t="s">
        <v>1137</v>
      </c>
      <c r="L2539" s="243" t="s">
        <v>153</v>
      </c>
      <c r="M2539" s="395"/>
      <c r="N2539" s="395"/>
    </row>
    <row r="2540" spans="1:14" ht="15.6" hidden="1">
      <c r="A2540" s="420">
        <v>45920</v>
      </c>
      <c r="B2540" s="413" t="s">
        <v>4876</v>
      </c>
      <c r="C2540" s="413" t="s">
        <v>1011</v>
      </c>
      <c r="D2540" s="177" t="s">
        <v>440</v>
      </c>
      <c r="E2540" s="413">
        <v>1000</v>
      </c>
      <c r="F2540" s="407">
        <f t="shared" si="32"/>
        <v>1.8744037053212446</v>
      </c>
      <c r="G2540" s="408">
        <v>533.50300000000004</v>
      </c>
      <c r="H2540" s="413" t="s">
        <v>173</v>
      </c>
      <c r="I2540" s="413" t="s">
        <v>2959</v>
      </c>
      <c r="J2540" s="243" t="s">
        <v>96</v>
      </c>
      <c r="K2540" s="243" t="s">
        <v>1137</v>
      </c>
      <c r="L2540" s="243" t="s">
        <v>153</v>
      </c>
      <c r="M2540" s="327"/>
      <c r="N2540" s="327"/>
    </row>
    <row r="2541" spans="1:14" ht="15.6" hidden="1">
      <c r="A2541" s="420">
        <v>45920</v>
      </c>
      <c r="B2541" s="413" t="s">
        <v>4876</v>
      </c>
      <c r="C2541" s="413" t="s">
        <v>1011</v>
      </c>
      <c r="D2541" s="177" t="s">
        <v>440</v>
      </c>
      <c r="E2541" s="413">
        <v>2500</v>
      </c>
      <c r="F2541" s="407">
        <f t="shared" si="32"/>
        <v>4.6860092633031112</v>
      </c>
      <c r="G2541" s="408">
        <v>533.50300000000004</v>
      </c>
      <c r="H2541" s="413" t="s">
        <v>173</v>
      </c>
      <c r="I2541" s="413" t="s">
        <v>2959</v>
      </c>
      <c r="J2541" s="243" t="s">
        <v>96</v>
      </c>
      <c r="K2541" s="243" t="s">
        <v>1137</v>
      </c>
      <c r="L2541" s="243" t="s">
        <v>153</v>
      </c>
      <c r="M2541" s="327"/>
      <c r="N2541" s="327"/>
    </row>
    <row r="2542" spans="1:14" ht="15.6" hidden="1">
      <c r="A2542" s="420">
        <v>45920</v>
      </c>
      <c r="B2542" s="413" t="s">
        <v>4876</v>
      </c>
      <c r="C2542" s="413" t="s">
        <v>1011</v>
      </c>
      <c r="D2542" s="177" t="s">
        <v>440</v>
      </c>
      <c r="E2542" s="413">
        <v>2500</v>
      </c>
      <c r="F2542" s="407">
        <f t="shared" si="32"/>
        <v>4.6860092633031112</v>
      </c>
      <c r="G2542" s="408">
        <v>533.50300000000004</v>
      </c>
      <c r="H2542" s="413" t="s">
        <v>173</v>
      </c>
      <c r="I2542" s="413" t="s">
        <v>2959</v>
      </c>
      <c r="J2542" s="243" t="s">
        <v>96</v>
      </c>
      <c r="K2542" s="243" t="s">
        <v>1137</v>
      </c>
      <c r="L2542" s="243" t="s">
        <v>153</v>
      </c>
      <c r="M2542" s="327"/>
      <c r="N2542" s="327"/>
    </row>
    <row r="2543" spans="1:14" ht="15.6" hidden="1">
      <c r="A2543" s="420">
        <v>45920</v>
      </c>
      <c r="B2543" s="413" t="s">
        <v>4917</v>
      </c>
      <c r="C2543" s="413" t="s">
        <v>1011</v>
      </c>
      <c r="D2543" s="177" t="s">
        <v>440</v>
      </c>
      <c r="E2543" s="413">
        <v>1000</v>
      </c>
      <c r="F2543" s="407">
        <f t="shared" si="32"/>
        <v>1.8744037053212446</v>
      </c>
      <c r="G2543" s="408">
        <v>533.50300000000004</v>
      </c>
      <c r="H2543" s="413" t="s">
        <v>173</v>
      </c>
      <c r="I2543" s="413" t="s">
        <v>2959</v>
      </c>
      <c r="J2543" s="243" t="s">
        <v>96</v>
      </c>
      <c r="K2543" s="243" t="s">
        <v>1137</v>
      </c>
      <c r="L2543" s="243" t="s">
        <v>153</v>
      </c>
      <c r="M2543" s="327"/>
      <c r="N2543" s="327"/>
    </row>
    <row r="2544" spans="1:14" ht="15.6" hidden="1">
      <c r="A2544" s="420">
        <v>45921</v>
      </c>
      <c r="B2544" s="413" t="s">
        <v>2103</v>
      </c>
      <c r="C2544" s="406" t="s">
        <v>172</v>
      </c>
      <c r="D2544" s="406" t="s">
        <v>117</v>
      </c>
      <c r="E2544" s="346">
        <v>1000</v>
      </c>
      <c r="F2544" s="407">
        <f t="shared" si="32"/>
        <v>1.8744037053212446</v>
      </c>
      <c r="G2544" s="408">
        <v>533.50300000000004</v>
      </c>
      <c r="H2544" s="409" t="s">
        <v>151</v>
      </c>
      <c r="I2544" s="413" t="s">
        <v>2824</v>
      </c>
      <c r="J2544" s="243" t="s">
        <v>96</v>
      </c>
      <c r="K2544" s="243" t="s">
        <v>1137</v>
      </c>
      <c r="L2544" s="243" t="s">
        <v>153</v>
      </c>
      <c r="M2544" s="395"/>
      <c r="N2544" s="395"/>
    </row>
    <row r="2545" spans="1:14" ht="15.6" hidden="1">
      <c r="A2545" s="420">
        <v>45921</v>
      </c>
      <c r="B2545" s="413" t="s">
        <v>2104</v>
      </c>
      <c r="C2545" s="406" t="s">
        <v>172</v>
      </c>
      <c r="D2545" s="406" t="s">
        <v>117</v>
      </c>
      <c r="E2545" s="346">
        <v>1000</v>
      </c>
      <c r="F2545" s="407">
        <f t="shared" si="32"/>
        <v>1.8744037053212446</v>
      </c>
      <c r="G2545" s="408">
        <v>533.50300000000004</v>
      </c>
      <c r="H2545" s="409" t="s">
        <v>151</v>
      </c>
      <c r="I2545" s="413" t="s">
        <v>2824</v>
      </c>
      <c r="J2545" s="243" t="s">
        <v>96</v>
      </c>
      <c r="K2545" s="243" t="s">
        <v>1137</v>
      </c>
      <c r="L2545" s="243" t="s">
        <v>153</v>
      </c>
      <c r="M2545" s="327"/>
      <c r="N2545" s="327"/>
    </row>
    <row r="2546" spans="1:14" ht="15.6" hidden="1">
      <c r="A2546" s="420">
        <v>45921</v>
      </c>
      <c r="B2546" s="413" t="s">
        <v>4876</v>
      </c>
      <c r="C2546" s="413" t="s">
        <v>1011</v>
      </c>
      <c r="D2546" s="177" t="s">
        <v>440</v>
      </c>
      <c r="E2546" s="413">
        <v>1000</v>
      </c>
      <c r="F2546" s="407">
        <f t="shared" si="32"/>
        <v>1.8744037053212446</v>
      </c>
      <c r="G2546" s="408">
        <v>533.50300000000004</v>
      </c>
      <c r="H2546" s="413" t="s">
        <v>173</v>
      </c>
      <c r="I2546" s="413" t="s">
        <v>2959</v>
      </c>
      <c r="J2546" s="243" t="s">
        <v>96</v>
      </c>
      <c r="K2546" s="243" t="s">
        <v>1137</v>
      </c>
      <c r="L2546" s="243" t="s">
        <v>153</v>
      </c>
      <c r="M2546" s="327"/>
      <c r="N2546" s="327"/>
    </row>
    <row r="2547" spans="1:14" ht="15.6" hidden="1">
      <c r="A2547" s="420">
        <v>45921</v>
      </c>
      <c r="B2547" s="413" t="s">
        <v>4917</v>
      </c>
      <c r="C2547" s="413" t="s">
        <v>1011</v>
      </c>
      <c r="D2547" s="177" t="s">
        <v>440</v>
      </c>
      <c r="E2547" s="413">
        <v>2500</v>
      </c>
      <c r="F2547" s="407">
        <f t="shared" si="32"/>
        <v>4.6860092633031112</v>
      </c>
      <c r="G2547" s="408">
        <v>533.50300000000004</v>
      </c>
      <c r="H2547" s="413" t="s">
        <v>173</v>
      </c>
      <c r="I2547" s="413" t="s">
        <v>2959</v>
      </c>
      <c r="J2547" s="243" t="s">
        <v>96</v>
      </c>
      <c r="K2547" s="243" t="s">
        <v>1137</v>
      </c>
      <c r="L2547" s="243" t="s">
        <v>153</v>
      </c>
      <c r="M2547" s="327"/>
      <c r="N2547" s="327"/>
    </row>
    <row r="2548" spans="1:14" ht="15.6" hidden="1">
      <c r="A2548" s="420">
        <v>45921</v>
      </c>
      <c r="B2548" s="413" t="s">
        <v>4876</v>
      </c>
      <c r="C2548" s="413" t="s">
        <v>1011</v>
      </c>
      <c r="D2548" s="177" t="s">
        <v>440</v>
      </c>
      <c r="E2548" s="413">
        <v>2500</v>
      </c>
      <c r="F2548" s="407">
        <f t="shared" si="32"/>
        <v>4.6860092633031112</v>
      </c>
      <c r="G2548" s="408">
        <v>533.50300000000004</v>
      </c>
      <c r="H2548" s="413" t="s">
        <v>173</v>
      </c>
      <c r="I2548" s="413" t="s">
        <v>2959</v>
      </c>
      <c r="J2548" s="243" t="s">
        <v>96</v>
      </c>
      <c r="K2548" s="243" t="s">
        <v>1137</v>
      </c>
      <c r="L2548" s="243" t="s">
        <v>153</v>
      </c>
      <c r="M2548" s="395"/>
      <c r="N2548" s="395"/>
    </row>
    <row r="2549" spans="1:14" ht="15.6" hidden="1">
      <c r="A2549" s="420">
        <v>45921</v>
      </c>
      <c r="B2549" s="413" t="s">
        <v>4876</v>
      </c>
      <c r="C2549" s="413" t="s">
        <v>1011</v>
      </c>
      <c r="D2549" s="177" t="s">
        <v>440</v>
      </c>
      <c r="E2549" s="413">
        <v>1000</v>
      </c>
      <c r="F2549" s="407">
        <f t="shared" si="32"/>
        <v>1.8744037053212446</v>
      </c>
      <c r="G2549" s="408">
        <v>533.50300000000004</v>
      </c>
      <c r="H2549" s="413" t="s">
        <v>173</v>
      </c>
      <c r="I2549" s="413" t="s">
        <v>2959</v>
      </c>
      <c r="J2549" s="243" t="s">
        <v>96</v>
      </c>
      <c r="K2549" s="243" t="s">
        <v>1137</v>
      </c>
      <c r="L2549" s="243" t="s">
        <v>153</v>
      </c>
      <c r="M2549" s="395"/>
      <c r="N2549" s="395"/>
    </row>
    <row r="2550" spans="1:14" ht="15.6" hidden="1">
      <c r="A2550" s="420">
        <v>45921</v>
      </c>
      <c r="B2550" s="413" t="s">
        <v>4765</v>
      </c>
      <c r="C2550" s="413" t="s">
        <v>366</v>
      </c>
      <c r="D2550" s="177" t="s">
        <v>440</v>
      </c>
      <c r="E2550" s="413">
        <v>1500</v>
      </c>
      <c r="F2550" s="407">
        <f t="shared" si="32"/>
        <v>2.8116055579818666</v>
      </c>
      <c r="G2550" s="408">
        <v>533.50300000000004</v>
      </c>
      <c r="H2550" s="413" t="s">
        <v>173</v>
      </c>
      <c r="I2550" s="413" t="s">
        <v>2963</v>
      </c>
      <c r="J2550" s="243" t="s">
        <v>96</v>
      </c>
      <c r="K2550" s="243" t="s">
        <v>1137</v>
      </c>
      <c r="L2550" s="243" t="s">
        <v>153</v>
      </c>
      <c r="M2550" s="395"/>
      <c r="N2550" s="395"/>
    </row>
    <row r="2551" spans="1:14" ht="15.6" hidden="1">
      <c r="A2551" s="420">
        <v>45922</v>
      </c>
      <c r="B2551" s="413" t="s">
        <v>2103</v>
      </c>
      <c r="C2551" s="406" t="s">
        <v>172</v>
      </c>
      <c r="D2551" s="406" t="s">
        <v>117</v>
      </c>
      <c r="E2551" s="346">
        <v>1000</v>
      </c>
      <c r="F2551" s="407">
        <f t="shared" si="32"/>
        <v>1.8744037053212446</v>
      </c>
      <c r="G2551" s="408">
        <v>533.50300000000004</v>
      </c>
      <c r="H2551" s="409" t="s">
        <v>151</v>
      </c>
      <c r="I2551" s="413" t="s">
        <v>2824</v>
      </c>
      <c r="J2551" s="243" t="s">
        <v>96</v>
      </c>
      <c r="K2551" s="243" t="s">
        <v>1137</v>
      </c>
      <c r="L2551" s="243" t="s">
        <v>153</v>
      </c>
      <c r="M2551" s="327"/>
      <c r="N2551" s="327"/>
    </row>
    <row r="2552" spans="1:14" ht="15.6" hidden="1">
      <c r="A2552" s="420">
        <v>45922</v>
      </c>
      <c r="B2552" s="413" t="s">
        <v>2104</v>
      </c>
      <c r="C2552" s="406" t="s">
        <v>172</v>
      </c>
      <c r="D2552" s="406" t="s">
        <v>117</v>
      </c>
      <c r="E2552" s="346">
        <v>1000</v>
      </c>
      <c r="F2552" s="407">
        <f t="shared" si="32"/>
        <v>1.8744037053212446</v>
      </c>
      <c r="G2552" s="408">
        <v>533.50300000000004</v>
      </c>
      <c r="H2552" s="409" t="s">
        <v>151</v>
      </c>
      <c r="I2552" s="413" t="s">
        <v>2824</v>
      </c>
      <c r="J2552" s="243" t="s">
        <v>96</v>
      </c>
      <c r="K2552" s="243" t="s">
        <v>1137</v>
      </c>
      <c r="L2552" s="243" t="s">
        <v>153</v>
      </c>
      <c r="M2552" s="395"/>
      <c r="N2552" s="395"/>
    </row>
    <row r="2553" spans="1:14" ht="15.6" hidden="1">
      <c r="A2553" s="411">
        <v>45922</v>
      </c>
      <c r="B2553" s="413" t="s">
        <v>2886</v>
      </c>
      <c r="C2553" s="413" t="s">
        <v>172</v>
      </c>
      <c r="D2553" s="413" t="s">
        <v>116</v>
      </c>
      <c r="E2553" s="414">
        <v>1000</v>
      </c>
      <c r="F2553" s="407">
        <f t="shared" si="32"/>
        <v>1.8744037053212446</v>
      </c>
      <c r="G2553" s="408">
        <v>533.50300000000004</v>
      </c>
      <c r="H2553" s="413" t="s">
        <v>581</v>
      </c>
      <c r="I2553" s="413" t="s">
        <v>2914</v>
      </c>
      <c r="J2553" s="243" t="s">
        <v>96</v>
      </c>
      <c r="K2553" s="243" t="s">
        <v>1137</v>
      </c>
      <c r="L2553" s="243" t="s">
        <v>153</v>
      </c>
      <c r="M2553" s="327"/>
      <c r="N2553" s="327"/>
    </row>
    <row r="2554" spans="1:14" ht="15.6" hidden="1">
      <c r="A2554" s="411">
        <v>45922</v>
      </c>
      <c r="B2554" s="413" t="s">
        <v>2884</v>
      </c>
      <c r="C2554" s="413" t="s">
        <v>172</v>
      </c>
      <c r="D2554" s="413" t="s">
        <v>116</v>
      </c>
      <c r="E2554" s="414">
        <v>1000</v>
      </c>
      <c r="F2554" s="407">
        <f t="shared" si="32"/>
        <v>1.8744037053212446</v>
      </c>
      <c r="G2554" s="408">
        <v>533.50300000000004</v>
      </c>
      <c r="H2554" s="413" t="s">
        <v>581</v>
      </c>
      <c r="I2554" s="413" t="s">
        <v>2914</v>
      </c>
      <c r="J2554" s="243" t="s">
        <v>96</v>
      </c>
      <c r="K2554" s="243" t="s">
        <v>1137</v>
      </c>
      <c r="L2554" s="243" t="s">
        <v>153</v>
      </c>
      <c r="M2554" s="327"/>
      <c r="N2554" s="327"/>
    </row>
    <row r="2555" spans="1:14" ht="15.6" hidden="1">
      <c r="A2555" s="418">
        <v>45922</v>
      </c>
      <c r="B2555" s="419" t="s">
        <v>4917</v>
      </c>
      <c r="C2555" s="419" t="s">
        <v>172</v>
      </c>
      <c r="D2555" s="177" t="s">
        <v>440</v>
      </c>
      <c r="E2555" s="419">
        <v>1000</v>
      </c>
      <c r="F2555" s="407">
        <f t="shared" si="32"/>
        <v>1.8744037053212446</v>
      </c>
      <c r="G2555" s="408">
        <v>533.50300000000004</v>
      </c>
      <c r="H2555" s="419" t="s">
        <v>182</v>
      </c>
      <c r="I2555" s="419" t="s">
        <v>2936</v>
      </c>
      <c r="J2555" s="243" t="s">
        <v>96</v>
      </c>
      <c r="K2555" s="243" t="s">
        <v>1137</v>
      </c>
      <c r="L2555" s="243" t="s">
        <v>153</v>
      </c>
      <c r="M2555" s="395"/>
      <c r="N2555" s="395"/>
    </row>
    <row r="2556" spans="1:14" ht="15.6" hidden="1">
      <c r="A2556" s="418">
        <v>45922</v>
      </c>
      <c r="B2556" s="419" t="s">
        <v>4917</v>
      </c>
      <c r="C2556" s="419" t="s">
        <v>172</v>
      </c>
      <c r="D2556" s="177" t="s">
        <v>440</v>
      </c>
      <c r="E2556" s="419">
        <v>1000</v>
      </c>
      <c r="F2556" s="407">
        <f t="shared" si="32"/>
        <v>1.8744037053212446</v>
      </c>
      <c r="G2556" s="408">
        <v>533.50300000000004</v>
      </c>
      <c r="H2556" s="419" t="s">
        <v>182</v>
      </c>
      <c r="I2556" s="419" t="s">
        <v>2936</v>
      </c>
      <c r="J2556" s="243" t="s">
        <v>96</v>
      </c>
      <c r="K2556" s="243" t="s">
        <v>1137</v>
      </c>
      <c r="L2556" s="243" t="s">
        <v>153</v>
      </c>
      <c r="M2556" s="395"/>
      <c r="N2556" s="395"/>
    </row>
    <row r="2557" spans="1:14" ht="15.6" hidden="1">
      <c r="A2557" s="420">
        <v>45922</v>
      </c>
      <c r="B2557" s="413" t="s">
        <v>4876</v>
      </c>
      <c r="C2557" s="413" t="s">
        <v>172</v>
      </c>
      <c r="D2557" s="177" t="s">
        <v>440</v>
      </c>
      <c r="E2557" s="413">
        <v>1000</v>
      </c>
      <c r="F2557" s="407">
        <f t="shared" si="32"/>
        <v>1.8744037053212446</v>
      </c>
      <c r="G2557" s="408">
        <v>533.50300000000004</v>
      </c>
      <c r="H2557" s="413" t="s">
        <v>173</v>
      </c>
      <c r="I2557" s="413" t="s">
        <v>2959</v>
      </c>
      <c r="J2557" s="243" t="s">
        <v>96</v>
      </c>
      <c r="K2557" s="243" t="s">
        <v>1137</v>
      </c>
      <c r="L2557" s="243" t="s">
        <v>153</v>
      </c>
      <c r="M2557" s="395"/>
      <c r="N2557" s="395"/>
    </row>
    <row r="2558" spans="1:14" ht="15.6" hidden="1">
      <c r="A2558" s="420">
        <v>45922</v>
      </c>
      <c r="B2558" s="413" t="s">
        <v>4917</v>
      </c>
      <c r="C2558" s="413" t="s">
        <v>172</v>
      </c>
      <c r="D2558" s="177" t="s">
        <v>440</v>
      </c>
      <c r="E2558" s="413">
        <v>1000</v>
      </c>
      <c r="F2558" s="407">
        <f t="shared" si="32"/>
        <v>1.8744037053212446</v>
      </c>
      <c r="G2558" s="408">
        <v>533.50300000000004</v>
      </c>
      <c r="H2558" s="413" t="s">
        <v>173</v>
      </c>
      <c r="I2558" s="413" t="s">
        <v>2959</v>
      </c>
      <c r="J2558" s="243" t="s">
        <v>96</v>
      </c>
      <c r="K2558" s="243" t="s">
        <v>1137</v>
      </c>
      <c r="L2558" s="243" t="s">
        <v>153</v>
      </c>
      <c r="M2558" s="395"/>
      <c r="N2558" s="395"/>
    </row>
    <row r="2559" spans="1:14" ht="15.6" hidden="1">
      <c r="A2559" s="415">
        <v>45922</v>
      </c>
      <c r="B2559" s="243" t="s">
        <v>582</v>
      </c>
      <c r="C2559" s="413" t="s">
        <v>366</v>
      </c>
      <c r="D2559" s="177" t="s">
        <v>440</v>
      </c>
      <c r="E2559" s="412">
        <v>35000</v>
      </c>
      <c r="F2559" s="407">
        <f t="shared" si="32"/>
        <v>65.604129686243553</v>
      </c>
      <c r="G2559" s="408">
        <v>533.50300000000004</v>
      </c>
      <c r="H2559" s="243" t="s">
        <v>185</v>
      </c>
      <c r="I2559" s="243" t="s">
        <v>3191</v>
      </c>
      <c r="J2559" s="243" t="s">
        <v>96</v>
      </c>
      <c r="K2559" s="243" t="s">
        <v>1137</v>
      </c>
      <c r="L2559" s="243" t="s">
        <v>153</v>
      </c>
      <c r="M2559" s="76"/>
      <c r="N2559" s="76"/>
    </row>
    <row r="2560" spans="1:14" ht="15.6" hidden="1">
      <c r="A2560" s="415">
        <v>45922</v>
      </c>
      <c r="B2560" s="243" t="s">
        <v>3179</v>
      </c>
      <c r="C2560" s="413" t="s">
        <v>180</v>
      </c>
      <c r="D2560" s="413" t="s">
        <v>116</v>
      </c>
      <c r="E2560" s="426">
        <v>2278</v>
      </c>
      <c r="F2560" s="407">
        <f t="shared" si="32"/>
        <v>4.2698916407217951</v>
      </c>
      <c r="G2560" s="408">
        <v>533.50300000000004</v>
      </c>
      <c r="H2560" s="413" t="s">
        <v>185</v>
      </c>
      <c r="I2560" s="243" t="s">
        <v>3192</v>
      </c>
      <c r="J2560" s="243" t="s">
        <v>96</v>
      </c>
      <c r="K2560" s="243" t="s">
        <v>1137</v>
      </c>
      <c r="L2560" s="243" t="s">
        <v>153</v>
      </c>
      <c r="M2560" s="76"/>
      <c r="N2560" s="76"/>
    </row>
    <row r="2561" spans="1:14" ht="15.6" hidden="1">
      <c r="A2561" s="420">
        <v>45923</v>
      </c>
      <c r="B2561" s="413" t="s">
        <v>2103</v>
      </c>
      <c r="C2561" s="406" t="s">
        <v>172</v>
      </c>
      <c r="D2561" s="406" t="s">
        <v>117</v>
      </c>
      <c r="E2561" s="346">
        <v>1000</v>
      </c>
      <c r="F2561" s="407">
        <f t="shared" si="32"/>
        <v>1.8744037053212446</v>
      </c>
      <c r="G2561" s="408">
        <v>533.50300000000004</v>
      </c>
      <c r="H2561" s="409" t="s">
        <v>151</v>
      </c>
      <c r="I2561" s="413" t="s">
        <v>2824</v>
      </c>
      <c r="J2561" s="243" t="s">
        <v>96</v>
      </c>
      <c r="K2561" s="243" t="s">
        <v>1137</v>
      </c>
      <c r="L2561" s="243" t="s">
        <v>153</v>
      </c>
      <c r="M2561" s="395"/>
      <c r="N2561" s="395"/>
    </row>
    <row r="2562" spans="1:14" ht="15.6" hidden="1">
      <c r="A2562" s="420">
        <v>45923</v>
      </c>
      <c r="B2562" s="413" t="s">
        <v>2817</v>
      </c>
      <c r="C2562" s="406" t="s">
        <v>172</v>
      </c>
      <c r="D2562" s="406" t="s">
        <v>117</v>
      </c>
      <c r="E2562" s="346">
        <v>1000</v>
      </c>
      <c r="F2562" s="407">
        <f t="shared" si="32"/>
        <v>1.8744037053212446</v>
      </c>
      <c r="G2562" s="408">
        <v>533.50300000000004</v>
      </c>
      <c r="H2562" s="409" t="s">
        <v>151</v>
      </c>
      <c r="I2562" s="413" t="s">
        <v>2824</v>
      </c>
      <c r="J2562" s="243" t="s">
        <v>96</v>
      </c>
      <c r="K2562" s="243" t="s">
        <v>1137</v>
      </c>
      <c r="L2562" s="243" t="s">
        <v>153</v>
      </c>
      <c r="M2562" s="395"/>
      <c r="N2562" s="395"/>
    </row>
    <row r="2563" spans="1:14" ht="15.6" hidden="1">
      <c r="A2563" s="420">
        <v>45923</v>
      </c>
      <c r="B2563" s="413" t="s">
        <v>2818</v>
      </c>
      <c r="C2563" s="406" t="s">
        <v>172</v>
      </c>
      <c r="D2563" s="406" t="s">
        <v>117</v>
      </c>
      <c r="E2563" s="346">
        <v>1000</v>
      </c>
      <c r="F2563" s="407">
        <f t="shared" si="32"/>
        <v>1.8744037053212446</v>
      </c>
      <c r="G2563" s="408">
        <v>533.50300000000004</v>
      </c>
      <c r="H2563" s="409" t="s">
        <v>151</v>
      </c>
      <c r="I2563" s="413" t="s">
        <v>2824</v>
      </c>
      <c r="J2563" s="243" t="s">
        <v>96</v>
      </c>
      <c r="K2563" s="243" t="s">
        <v>1137</v>
      </c>
      <c r="L2563" s="243" t="s">
        <v>153</v>
      </c>
      <c r="M2563" s="395"/>
      <c r="N2563" s="395"/>
    </row>
    <row r="2564" spans="1:14" ht="15.6" hidden="1">
      <c r="A2564" s="420">
        <v>45923</v>
      </c>
      <c r="B2564" s="413" t="s">
        <v>2104</v>
      </c>
      <c r="C2564" s="406" t="s">
        <v>172</v>
      </c>
      <c r="D2564" s="406" t="s">
        <v>117</v>
      </c>
      <c r="E2564" s="346">
        <v>1000</v>
      </c>
      <c r="F2564" s="407">
        <f t="shared" si="32"/>
        <v>1.8744037053212446</v>
      </c>
      <c r="G2564" s="408">
        <v>533.50300000000004</v>
      </c>
      <c r="H2564" s="409" t="s">
        <v>151</v>
      </c>
      <c r="I2564" s="413" t="s">
        <v>2824</v>
      </c>
      <c r="J2564" s="243" t="s">
        <v>96</v>
      </c>
      <c r="K2564" s="243" t="s">
        <v>1137</v>
      </c>
      <c r="L2564" s="243" t="s">
        <v>153</v>
      </c>
      <c r="M2564" s="395"/>
      <c r="N2564" s="395"/>
    </row>
    <row r="2565" spans="1:14" ht="15.6" hidden="1">
      <c r="A2565" s="411">
        <v>45923</v>
      </c>
      <c r="B2565" s="413" t="s">
        <v>2889</v>
      </c>
      <c r="C2565" s="413" t="s">
        <v>172</v>
      </c>
      <c r="D2565" s="413" t="s">
        <v>116</v>
      </c>
      <c r="E2565" s="414">
        <v>500</v>
      </c>
      <c r="F2565" s="407">
        <f t="shared" si="32"/>
        <v>0.93720185266062228</v>
      </c>
      <c r="G2565" s="408">
        <v>533.50300000000004</v>
      </c>
      <c r="H2565" s="413" t="s">
        <v>581</v>
      </c>
      <c r="I2565" s="413" t="s">
        <v>2914</v>
      </c>
      <c r="J2565" s="243" t="s">
        <v>96</v>
      </c>
      <c r="K2565" s="243" t="s">
        <v>1137</v>
      </c>
      <c r="L2565" s="243" t="s">
        <v>153</v>
      </c>
      <c r="M2565" s="327"/>
      <c r="N2565" s="327"/>
    </row>
    <row r="2566" spans="1:14" ht="15.6" hidden="1">
      <c r="A2566" s="411">
        <v>45923</v>
      </c>
      <c r="B2566" s="413" t="s">
        <v>2890</v>
      </c>
      <c r="C2566" s="413" t="s">
        <v>172</v>
      </c>
      <c r="D2566" s="413" t="s">
        <v>116</v>
      </c>
      <c r="E2566" s="414">
        <v>500</v>
      </c>
      <c r="F2566" s="407">
        <f t="shared" si="32"/>
        <v>0.93720185266062228</v>
      </c>
      <c r="G2566" s="408">
        <v>533.50300000000004</v>
      </c>
      <c r="H2566" s="413" t="s">
        <v>581</v>
      </c>
      <c r="I2566" s="413" t="s">
        <v>2914</v>
      </c>
      <c r="J2566" s="243" t="s">
        <v>96</v>
      </c>
      <c r="K2566" s="243" t="s">
        <v>1137</v>
      </c>
      <c r="L2566" s="243" t="s">
        <v>153</v>
      </c>
      <c r="M2566" s="177"/>
      <c r="N2566" s="327"/>
    </row>
    <row r="2567" spans="1:14" ht="15.6" hidden="1">
      <c r="A2567" s="415">
        <v>45923</v>
      </c>
      <c r="B2567" s="243" t="s">
        <v>2893</v>
      </c>
      <c r="C2567" s="413" t="s">
        <v>180</v>
      </c>
      <c r="D2567" s="413" t="s">
        <v>116</v>
      </c>
      <c r="E2567" s="412">
        <v>2000</v>
      </c>
      <c r="F2567" s="407">
        <f t="shared" si="32"/>
        <v>3.7488074106424891</v>
      </c>
      <c r="G2567" s="408">
        <v>533.50300000000004</v>
      </c>
      <c r="H2567" s="413" t="s">
        <v>581</v>
      </c>
      <c r="I2567" s="243" t="s">
        <v>2923</v>
      </c>
      <c r="J2567" s="243" t="s">
        <v>96</v>
      </c>
      <c r="K2567" s="243" t="s">
        <v>1137</v>
      </c>
      <c r="L2567" s="243" t="s">
        <v>153</v>
      </c>
      <c r="M2567" s="327"/>
      <c r="N2567" s="327"/>
    </row>
    <row r="2568" spans="1:14" ht="15.6" hidden="1">
      <c r="A2568" s="418">
        <v>45923</v>
      </c>
      <c r="B2568" s="419" t="s">
        <v>4917</v>
      </c>
      <c r="C2568" s="419" t="s">
        <v>172</v>
      </c>
      <c r="D2568" s="177" t="s">
        <v>440</v>
      </c>
      <c r="E2568" s="419">
        <v>1000</v>
      </c>
      <c r="F2568" s="407">
        <f t="shared" si="32"/>
        <v>1.8744037053212446</v>
      </c>
      <c r="G2568" s="408">
        <v>533.50300000000004</v>
      </c>
      <c r="H2568" s="419" t="s">
        <v>182</v>
      </c>
      <c r="I2568" s="419" t="s">
        <v>2936</v>
      </c>
      <c r="J2568" s="243" t="s">
        <v>96</v>
      </c>
      <c r="K2568" s="243" t="s">
        <v>1137</v>
      </c>
      <c r="L2568" s="243" t="s">
        <v>153</v>
      </c>
      <c r="M2568" s="395"/>
      <c r="N2568" s="395"/>
    </row>
    <row r="2569" spans="1:14" ht="15.6" hidden="1">
      <c r="A2569" s="418">
        <v>45923</v>
      </c>
      <c r="B2569" s="419" t="s">
        <v>4912</v>
      </c>
      <c r="C2569" s="419" t="s">
        <v>172</v>
      </c>
      <c r="D2569" s="177" t="s">
        <v>440</v>
      </c>
      <c r="E2569" s="419">
        <v>1000</v>
      </c>
      <c r="F2569" s="407">
        <f t="shared" si="32"/>
        <v>1.8744037053212446</v>
      </c>
      <c r="G2569" s="408">
        <v>533.50300000000004</v>
      </c>
      <c r="H2569" s="419" t="s">
        <v>182</v>
      </c>
      <c r="I2569" s="419" t="s">
        <v>2936</v>
      </c>
      <c r="J2569" s="243" t="s">
        <v>96</v>
      </c>
      <c r="K2569" s="243" t="s">
        <v>1137</v>
      </c>
      <c r="L2569" s="243" t="s">
        <v>153</v>
      </c>
      <c r="M2569" s="395"/>
      <c r="N2569" s="395"/>
    </row>
    <row r="2570" spans="1:14" ht="15.6" hidden="1">
      <c r="A2570" s="418">
        <v>45923</v>
      </c>
      <c r="B2570" s="419" t="s">
        <v>4917</v>
      </c>
      <c r="C2570" s="419" t="s">
        <v>172</v>
      </c>
      <c r="D2570" s="177" t="s">
        <v>440</v>
      </c>
      <c r="E2570" s="419">
        <v>1000</v>
      </c>
      <c r="F2570" s="407">
        <f t="shared" si="32"/>
        <v>1.8744037053212446</v>
      </c>
      <c r="G2570" s="408">
        <v>533.50300000000004</v>
      </c>
      <c r="H2570" s="419" t="s">
        <v>182</v>
      </c>
      <c r="I2570" s="419" t="s">
        <v>2936</v>
      </c>
      <c r="J2570" s="243" t="s">
        <v>96</v>
      </c>
      <c r="K2570" s="243" t="s">
        <v>1137</v>
      </c>
      <c r="L2570" s="243" t="s">
        <v>153</v>
      </c>
      <c r="M2570" s="395"/>
      <c r="N2570" s="395"/>
    </row>
    <row r="2571" spans="1:14" ht="15.6" hidden="1">
      <c r="A2571" s="420">
        <v>45923</v>
      </c>
      <c r="B2571" s="413" t="s">
        <v>4876</v>
      </c>
      <c r="C2571" s="413" t="s">
        <v>172</v>
      </c>
      <c r="D2571" s="177" t="s">
        <v>440</v>
      </c>
      <c r="E2571" s="413">
        <v>1000</v>
      </c>
      <c r="F2571" s="407">
        <f t="shared" si="32"/>
        <v>1.8744037053212446</v>
      </c>
      <c r="G2571" s="408">
        <v>533.50300000000004</v>
      </c>
      <c r="H2571" s="413" t="s">
        <v>173</v>
      </c>
      <c r="I2571" s="413" t="s">
        <v>2959</v>
      </c>
      <c r="J2571" s="243" t="s">
        <v>96</v>
      </c>
      <c r="K2571" s="243" t="s">
        <v>1137</v>
      </c>
      <c r="L2571" s="243" t="s">
        <v>153</v>
      </c>
      <c r="M2571" s="395"/>
      <c r="N2571" s="395"/>
    </row>
    <row r="2572" spans="1:14" ht="15.6" hidden="1">
      <c r="A2572" s="420">
        <v>45923</v>
      </c>
      <c r="B2572" s="413" t="s">
        <v>4917</v>
      </c>
      <c r="C2572" s="413" t="s">
        <v>172</v>
      </c>
      <c r="D2572" s="177" t="s">
        <v>440</v>
      </c>
      <c r="E2572" s="413">
        <v>1000</v>
      </c>
      <c r="F2572" s="407">
        <f t="shared" si="32"/>
        <v>1.8744037053212446</v>
      </c>
      <c r="G2572" s="408">
        <v>533.50300000000004</v>
      </c>
      <c r="H2572" s="413" t="s">
        <v>173</v>
      </c>
      <c r="I2572" s="413" t="s">
        <v>2959</v>
      </c>
      <c r="J2572" s="243" t="s">
        <v>96</v>
      </c>
      <c r="K2572" s="243" t="s">
        <v>1137</v>
      </c>
      <c r="L2572" s="243" t="s">
        <v>153</v>
      </c>
      <c r="M2572" s="395"/>
      <c r="N2572" s="395"/>
    </row>
    <row r="2573" spans="1:14" ht="15.6" hidden="1">
      <c r="A2573" s="420">
        <v>45923</v>
      </c>
      <c r="B2573" s="413" t="s">
        <v>4876</v>
      </c>
      <c r="C2573" s="413" t="s">
        <v>172</v>
      </c>
      <c r="D2573" s="177" t="s">
        <v>440</v>
      </c>
      <c r="E2573" s="413">
        <v>1000</v>
      </c>
      <c r="F2573" s="407">
        <f t="shared" si="32"/>
        <v>1.8744037053212446</v>
      </c>
      <c r="G2573" s="408">
        <v>533.50300000000004</v>
      </c>
      <c r="H2573" s="413" t="s">
        <v>173</v>
      </c>
      <c r="I2573" s="413" t="s">
        <v>2959</v>
      </c>
      <c r="J2573" s="243" t="s">
        <v>96</v>
      </c>
      <c r="K2573" s="243" t="s">
        <v>1137</v>
      </c>
      <c r="L2573" s="243" t="s">
        <v>153</v>
      </c>
      <c r="M2573" s="395"/>
      <c r="N2573" s="395"/>
    </row>
    <row r="2574" spans="1:14" ht="15.6" hidden="1">
      <c r="A2574" s="420">
        <v>45923</v>
      </c>
      <c r="B2574" s="413" t="s">
        <v>4917</v>
      </c>
      <c r="C2574" s="413" t="s">
        <v>172</v>
      </c>
      <c r="D2574" s="177" t="s">
        <v>440</v>
      </c>
      <c r="E2574" s="413">
        <v>1000</v>
      </c>
      <c r="F2574" s="407">
        <f t="shared" si="32"/>
        <v>1.8744037053212446</v>
      </c>
      <c r="G2574" s="408">
        <v>533.50300000000004</v>
      </c>
      <c r="H2574" s="413" t="s">
        <v>173</v>
      </c>
      <c r="I2574" s="413" t="s">
        <v>2959</v>
      </c>
      <c r="J2574" s="243" t="s">
        <v>96</v>
      </c>
      <c r="K2574" s="243" t="s">
        <v>1137</v>
      </c>
      <c r="L2574" s="243" t="s">
        <v>153</v>
      </c>
      <c r="M2574" s="395"/>
      <c r="N2574" s="395"/>
    </row>
    <row r="2575" spans="1:14" ht="15.6" hidden="1">
      <c r="A2575" s="420">
        <v>45923</v>
      </c>
      <c r="B2575" s="413" t="s">
        <v>4876</v>
      </c>
      <c r="C2575" s="413" t="s">
        <v>172</v>
      </c>
      <c r="D2575" s="177" t="s">
        <v>440</v>
      </c>
      <c r="E2575" s="413">
        <v>1000</v>
      </c>
      <c r="F2575" s="407">
        <f t="shared" si="32"/>
        <v>1.8744037053212446</v>
      </c>
      <c r="G2575" s="408">
        <v>533.50300000000004</v>
      </c>
      <c r="H2575" s="413" t="s">
        <v>173</v>
      </c>
      <c r="I2575" s="413" t="s">
        <v>2959</v>
      </c>
      <c r="J2575" s="243" t="s">
        <v>96</v>
      </c>
      <c r="K2575" s="243" t="s">
        <v>1137</v>
      </c>
      <c r="L2575" s="243" t="s">
        <v>153</v>
      </c>
      <c r="M2575" s="395"/>
      <c r="N2575" s="395"/>
    </row>
    <row r="2576" spans="1:14" ht="15.6" hidden="1">
      <c r="A2576" s="420">
        <v>45923</v>
      </c>
      <c r="B2576" s="413" t="s">
        <v>4876</v>
      </c>
      <c r="C2576" s="413" t="s">
        <v>172</v>
      </c>
      <c r="D2576" s="177" t="s">
        <v>440</v>
      </c>
      <c r="E2576" s="413">
        <v>1000</v>
      </c>
      <c r="F2576" s="407">
        <f t="shared" si="32"/>
        <v>1.8744037053212446</v>
      </c>
      <c r="G2576" s="408">
        <v>533.50300000000004</v>
      </c>
      <c r="H2576" s="413" t="s">
        <v>173</v>
      </c>
      <c r="I2576" s="413" t="s">
        <v>2959</v>
      </c>
      <c r="J2576" s="243" t="s">
        <v>96</v>
      </c>
      <c r="K2576" s="243" t="s">
        <v>1137</v>
      </c>
      <c r="L2576" s="243" t="s">
        <v>153</v>
      </c>
      <c r="M2576" s="395"/>
      <c r="N2576" s="395"/>
    </row>
    <row r="2577" spans="1:14" ht="15.6" hidden="1">
      <c r="A2577" s="420">
        <v>45923</v>
      </c>
      <c r="B2577" s="413" t="s">
        <v>3481</v>
      </c>
      <c r="C2577" s="413" t="s">
        <v>366</v>
      </c>
      <c r="D2577" s="177" t="s">
        <v>440</v>
      </c>
      <c r="E2577" s="413">
        <v>11500</v>
      </c>
      <c r="F2577" s="407">
        <f t="shared" si="32"/>
        <v>21.555642611194312</v>
      </c>
      <c r="G2577" s="408">
        <v>533.50300000000004</v>
      </c>
      <c r="H2577" s="413" t="s">
        <v>173</v>
      </c>
      <c r="I2577" s="413" t="s">
        <v>2963</v>
      </c>
      <c r="J2577" s="243" t="s">
        <v>96</v>
      </c>
      <c r="K2577" s="243" t="s">
        <v>1137</v>
      </c>
      <c r="L2577" s="243" t="s">
        <v>153</v>
      </c>
      <c r="M2577" s="395"/>
      <c r="N2577" s="395"/>
    </row>
    <row r="2578" spans="1:14" ht="15.6" hidden="1">
      <c r="A2578" s="420">
        <v>45923</v>
      </c>
      <c r="B2578" s="413" t="s">
        <v>4917</v>
      </c>
      <c r="C2578" s="413" t="s">
        <v>172</v>
      </c>
      <c r="D2578" s="177" t="s">
        <v>440</v>
      </c>
      <c r="E2578" s="413">
        <v>2000</v>
      </c>
      <c r="F2578" s="407">
        <f t="shared" si="32"/>
        <v>3.7488074106424891</v>
      </c>
      <c r="G2578" s="408">
        <v>533.50300000000004</v>
      </c>
      <c r="H2578" s="413" t="s">
        <v>315</v>
      </c>
      <c r="I2578" s="413" t="s">
        <v>2976</v>
      </c>
      <c r="J2578" s="243" t="s">
        <v>96</v>
      </c>
      <c r="K2578" s="243" t="s">
        <v>1137</v>
      </c>
      <c r="L2578" s="243" t="s">
        <v>153</v>
      </c>
      <c r="M2578" s="327"/>
      <c r="N2578" s="327"/>
    </row>
    <row r="2579" spans="1:14" ht="15.6" hidden="1">
      <c r="A2579" s="420">
        <v>45923</v>
      </c>
      <c r="B2579" s="413" t="s">
        <v>4876</v>
      </c>
      <c r="C2579" s="413" t="s">
        <v>172</v>
      </c>
      <c r="D2579" s="177" t="s">
        <v>440</v>
      </c>
      <c r="E2579" s="413">
        <v>1500</v>
      </c>
      <c r="F2579" s="407">
        <f t="shared" si="32"/>
        <v>2.8116055579818666</v>
      </c>
      <c r="G2579" s="408">
        <v>533.50300000000004</v>
      </c>
      <c r="H2579" s="413" t="s">
        <v>315</v>
      </c>
      <c r="I2579" s="413" t="s">
        <v>2976</v>
      </c>
      <c r="J2579" s="243" t="s">
        <v>96</v>
      </c>
      <c r="K2579" s="243" t="s">
        <v>1137</v>
      </c>
      <c r="L2579" s="243" t="s">
        <v>153</v>
      </c>
      <c r="M2579" s="327"/>
      <c r="N2579" s="327"/>
    </row>
    <row r="2580" spans="1:14" ht="15.6" hidden="1">
      <c r="A2580" s="420">
        <v>45923</v>
      </c>
      <c r="B2580" s="413" t="s">
        <v>4876</v>
      </c>
      <c r="C2580" s="413" t="s">
        <v>172</v>
      </c>
      <c r="D2580" s="177" t="s">
        <v>440</v>
      </c>
      <c r="E2580" s="413">
        <v>1000</v>
      </c>
      <c r="F2580" s="407">
        <f t="shared" si="32"/>
        <v>1.8744037053212446</v>
      </c>
      <c r="G2580" s="408">
        <v>533.50300000000004</v>
      </c>
      <c r="H2580" s="413" t="s">
        <v>315</v>
      </c>
      <c r="I2580" s="413" t="s">
        <v>2976</v>
      </c>
      <c r="J2580" s="243" t="s">
        <v>96</v>
      </c>
      <c r="K2580" s="243" t="s">
        <v>1137</v>
      </c>
      <c r="L2580" s="243" t="s">
        <v>153</v>
      </c>
      <c r="M2580" s="327"/>
      <c r="N2580" s="327"/>
    </row>
    <row r="2581" spans="1:14" ht="15.6" hidden="1">
      <c r="A2581" s="420">
        <v>45923</v>
      </c>
      <c r="B2581" s="413" t="s">
        <v>4876</v>
      </c>
      <c r="C2581" s="413" t="s">
        <v>172</v>
      </c>
      <c r="D2581" s="177" t="s">
        <v>440</v>
      </c>
      <c r="E2581" s="413">
        <v>2500</v>
      </c>
      <c r="F2581" s="407">
        <f t="shared" si="32"/>
        <v>4.6860092633031112</v>
      </c>
      <c r="G2581" s="408">
        <v>533.50300000000004</v>
      </c>
      <c r="H2581" s="413" t="s">
        <v>315</v>
      </c>
      <c r="I2581" s="413" t="s">
        <v>2976</v>
      </c>
      <c r="J2581" s="243" t="s">
        <v>96</v>
      </c>
      <c r="K2581" s="243" t="s">
        <v>1137</v>
      </c>
      <c r="L2581" s="243" t="s">
        <v>153</v>
      </c>
      <c r="M2581" s="327"/>
      <c r="N2581" s="327"/>
    </row>
    <row r="2582" spans="1:14" ht="15.6" hidden="1">
      <c r="A2582" s="420">
        <v>45923</v>
      </c>
      <c r="B2582" s="413" t="s">
        <v>4907</v>
      </c>
      <c r="C2582" s="413" t="s">
        <v>172</v>
      </c>
      <c r="D2582" s="177" t="s">
        <v>440</v>
      </c>
      <c r="E2582" s="416">
        <v>2000</v>
      </c>
      <c r="F2582" s="407">
        <f t="shared" si="32"/>
        <v>3.7488074106424891</v>
      </c>
      <c r="G2582" s="408">
        <v>533.50300000000004</v>
      </c>
      <c r="H2582" s="413" t="s">
        <v>321</v>
      </c>
      <c r="I2582" s="413" t="s">
        <v>2994</v>
      </c>
      <c r="J2582" s="243" t="s">
        <v>96</v>
      </c>
      <c r="K2582" s="243" t="s">
        <v>1137</v>
      </c>
      <c r="L2582" s="243" t="s">
        <v>153</v>
      </c>
      <c r="M2582" s="327"/>
      <c r="N2582" s="327"/>
    </row>
    <row r="2583" spans="1:14" ht="15.6" hidden="1">
      <c r="A2583" s="420">
        <v>45923</v>
      </c>
      <c r="B2583" s="413" t="s">
        <v>4907</v>
      </c>
      <c r="C2583" s="413" t="s">
        <v>172</v>
      </c>
      <c r="D2583" s="177" t="s">
        <v>440</v>
      </c>
      <c r="E2583" s="416">
        <v>1000</v>
      </c>
      <c r="F2583" s="407">
        <f t="shared" si="32"/>
        <v>1.8744037053212446</v>
      </c>
      <c r="G2583" s="408">
        <v>533.50300000000004</v>
      </c>
      <c r="H2583" s="413" t="s">
        <v>321</v>
      </c>
      <c r="I2583" s="413" t="s">
        <v>2994</v>
      </c>
      <c r="J2583" s="243" t="s">
        <v>96</v>
      </c>
      <c r="K2583" s="243" t="s">
        <v>1137</v>
      </c>
      <c r="L2583" s="243" t="s">
        <v>153</v>
      </c>
      <c r="M2583" s="327"/>
      <c r="N2583" s="327"/>
    </row>
    <row r="2584" spans="1:14" ht="15.6" hidden="1">
      <c r="A2584" s="420">
        <v>45923</v>
      </c>
      <c r="B2584" s="413" t="s">
        <v>4907</v>
      </c>
      <c r="C2584" s="413" t="s">
        <v>172</v>
      </c>
      <c r="D2584" s="177" t="s">
        <v>440</v>
      </c>
      <c r="E2584" s="416">
        <v>1000</v>
      </c>
      <c r="F2584" s="407">
        <f t="shared" si="32"/>
        <v>1.8744037053212446</v>
      </c>
      <c r="G2584" s="408">
        <v>533.50300000000004</v>
      </c>
      <c r="H2584" s="413" t="s">
        <v>321</v>
      </c>
      <c r="I2584" s="413" t="s">
        <v>2994</v>
      </c>
      <c r="J2584" s="243" t="s">
        <v>96</v>
      </c>
      <c r="K2584" s="243" t="s">
        <v>1137</v>
      </c>
      <c r="L2584" s="243" t="s">
        <v>153</v>
      </c>
      <c r="M2584" s="327"/>
      <c r="N2584" s="327"/>
    </row>
    <row r="2585" spans="1:14" ht="15.6" hidden="1">
      <c r="A2585" s="415">
        <v>45923</v>
      </c>
      <c r="B2585" s="243" t="s">
        <v>2368</v>
      </c>
      <c r="C2585" s="413" t="s">
        <v>170</v>
      </c>
      <c r="D2585" s="413" t="s">
        <v>116</v>
      </c>
      <c r="E2585" s="412">
        <v>25000</v>
      </c>
      <c r="F2585" s="407">
        <f t="shared" si="32"/>
        <v>46.860092633031115</v>
      </c>
      <c r="G2585" s="408">
        <v>533.50300000000004</v>
      </c>
      <c r="H2585" s="413" t="s">
        <v>188</v>
      </c>
      <c r="I2585" s="243" t="s">
        <v>3023</v>
      </c>
      <c r="J2585" s="243" t="s">
        <v>96</v>
      </c>
      <c r="K2585" s="243" t="s">
        <v>1137</v>
      </c>
      <c r="L2585" s="243" t="s">
        <v>153</v>
      </c>
      <c r="M2585" s="125"/>
      <c r="N2585" s="125"/>
    </row>
    <row r="2586" spans="1:14" ht="15.6" hidden="1">
      <c r="A2586" s="420">
        <v>45924</v>
      </c>
      <c r="B2586" s="413" t="s">
        <v>2103</v>
      </c>
      <c r="C2586" s="406" t="s">
        <v>172</v>
      </c>
      <c r="D2586" s="406" t="s">
        <v>117</v>
      </c>
      <c r="E2586" s="346">
        <v>1000</v>
      </c>
      <c r="F2586" s="407">
        <f t="shared" si="32"/>
        <v>1.8744037053212446</v>
      </c>
      <c r="G2586" s="408">
        <v>533.50300000000004</v>
      </c>
      <c r="H2586" s="409" t="s">
        <v>151</v>
      </c>
      <c r="I2586" s="413" t="s">
        <v>2824</v>
      </c>
      <c r="J2586" s="243" t="s">
        <v>96</v>
      </c>
      <c r="K2586" s="243" t="s">
        <v>1137</v>
      </c>
      <c r="L2586" s="243" t="s">
        <v>153</v>
      </c>
      <c r="M2586" s="395"/>
      <c r="N2586" s="395"/>
    </row>
    <row r="2587" spans="1:14" ht="15.6" hidden="1">
      <c r="A2587" s="420">
        <v>45924</v>
      </c>
      <c r="B2587" s="413" t="s">
        <v>2104</v>
      </c>
      <c r="C2587" s="406" t="s">
        <v>172</v>
      </c>
      <c r="D2587" s="406" t="s">
        <v>117</v>
      </c>
      <c r="E2587" s="346">
        <v>1000</v>
      </c>
      <c r="F2587" s="407">
        <f t="shared" si="32"/>
        <v>1.8744037053212446</v>
      </c>
      <c r="G2587" s="408">
        <v>533.50300000000004</v>
      </c>
      <c r="H2587" s="409" t="s">
        <v>151</v>
      </c>
      <c r="I2587" s="413" t="s">
        <v>2824</v>
      </c>
      <c r="J2587" s="243" t="s">
        <v>96</v>
      </c>
      <c r="K2587" s="243" t="s">
        <v>1137</v>
      </c>
      <c r="L2587" s="243" t="s">
        <v>153</v>
      </c>
      <c r="M2587" s="395"/>
      <c r="N2587" s="395"/>
    </row>
    <row r="2588" spans="1:14" ht="15.6" hidden="1">
      <c r="A2588" s="415">
        <v>45924</v>
      </c>
      <c r="B2588" s="413" t="s">
        <v>2896</v>
      </c>
      <c r="C2588" s="243" t="s">
        <v>170</v>
      </c>
      <c r="D2588" s="413" t="s">
        <v>116</v>
      </c>
      <c r="E2588" s="412">
        <v>19000</v>
      </c>
      <c r="F2588" s="407">
        <f t="shared" si="32"/>
        <v>35.613670401103647</v>
      </c>
      <c r="G2588" s="408">
        <v>533.50300000000004</v>
      </c>
      <c r="H2588" s="413" t="s">
        <v>581</v>
      </c>
      <c r="I2588" s="243" t="s">
        <v>2924</v>
      </c>
      <c r="J2588" s="243" t="s">
        <v>96</v>
      </c>
      <c r="K2588" s="243" t="s">
        <v>1137</v>
      </c>
      <c r="L2588" s="243" t="s">
        <v>153</v>
      </c>
      <c r="M2588" s="327"/>
      <c r="N2588" s="327"/>
    </row>
    <row r="2589" spans="1:14" ht="15.6" hidden="1">
      <c r="A2589" s="420">
        <v>45924</v>
      </c>
      <c r="B2589" s="413" t="s">
        <v>4876</v>
      </c>
      <c r="C2589" s="413" t="s">
        <v>172</v>
      </c>
      <c r="D2589" s="177" t="s">
        <v>440</v>
      </c>
      <c r="E2589" s="413">
        <v>1000</v>
      </c>
      <c r="F2589" s="407">
        <f t="shared" si="32"/>
        <v>1.8744037053212446</v>
      </c>
      <c r="G2589" s="408">
        <v>533.50300000000004</v>
      </c>
      <c r="H2589" s="413" t="s">
        <v>173</v>
      </c>
      <c r="I2589" s="413" t="s">
        <v>2959</v>
      </c>
      <c r="J2589" s="243" t="s">
        <v>96</v>
      </c>
      <c r="K2589" s="243" t="s">
        <v>1137</v>
      </c>
      <c r="L2589" s="243" t="s">
        <v>153</v>
      </c>
      <c r="M2589" s="395"/>
      <c r="N2589" s="395"/>
    </row>
    <row r="2590" spans="1:14" ht="15.6" hidden="1">
      <c r="A2590" s="420">
        <v>45924</v>
      </c>
      <c r="B2590" s="413" t="s">
        <v>4876</v>
      </c>
      <c r="C2590" s="413" t="s">
        <v>172</v>
      </c>
      <c r="D2590" s="177" t="s">
        <v>440</v>
      </c>
      <c r="E2590" s="413">
        <v>1000</v>
      </c>
      <c r="F2590" s="407">
        <f t="shared" si="32"/>
        <v>1.8744037053212446</v>
      </c>
      <c r="G2590" s="408">
        <v>533.50300000000004</v>
      </c>
      <c r="H2590" s="413" t="s">
        <v>173</v>
      </c>
      <c r="I2590" s="413" t="s">
        <v>2959</v>
      </c>
      <c r="J2590" s="243" t="s">
        <v>96</v>
      </c>
      <c r="K2590" s="243" t="s">
        <v>1137</v>
      </c>
      <c r="L2590" s="243" t="s">
        <v>153</v>
      </c>
      <c r="M2590" s="395"/>
      <c r="N2590" s="395"/>
    </row>
    <row r="2591" spans="1:14" ht="15.6" hidden="1">
      <c r="A2591" s="420">
        <v>45925</v>
      </c>
      <c r="B2591" s="413" t="s">
        <v>2103</v>
      </c>
      <c r="C2591" s="406" t="s">
        <v>172</v>
      </c>
      <c r="D2591" s="406" t="s">
        <v>117</v>
      </c>
      <c r="E2591" s="346">
        <v>1000</v>
      </c>
      <c r="F2591" s="407">
        <f t="shared" si="32"/>
        <v>1.8744037053212446</v>
      </c>
      <c r="G2591" s="408">
        <v>533.50300000000004</v>
      </c>
      <c r="H2591" s="409" t="s">
        <v>151</v>
      </c>
      <c r="I2591" s="413" t="s">
        <v>2824</v>
      </c>
      <c r="J2591" s="243" t="s">
        <v>96</v>
      </c>
      <c r="K2591" s="243" t="s">
        <v>1137</v>
      </c>
      <c r="L2591" s="243" t="s">
        <v>153</v>
      </c>
      <c r="M2591" s="395"/>
      <c r="N2591" s="395"/>
    </row>
    <row r="2592" spans="1:14" ht="15.6" hidden="1">
      <c r="A2592" s="420">
        <v>45925</v>
      </c>
      <c r="B2592" s="413" t="s">
        <v>2104</v>
      </c>
      <c r="C2592" s="406" t="s">
        <v>172</v>
      </c>
      <c r="D2592" s="406" t="s">
        <v>117</v>
      </c>
      <c r="E2592" s="346">
        <v>1000</v>
      </c>
      <c r="F2592" s="407">
        <f t="shared" si="32"/>
        <v>1.8744037053212446</v>
      </c>
      <c r="G2592" s="408">
        <v>533.50300000000004</v>
      </c>
      <c r="H2592" s="409" t="s">
        <v>151</v>
      </c>
      <c r="I2592" s="413" t="s">
        <v>2824</v>
      </c>
      <c r="J2592" s="243" t="s">
        <v>96</v>
      </c>
      <c r="K2592" s="243" t="s">
        <v>1137</v>
      </c>
      <c r="L2592" s="243" t="s">
        <v>153</v>
      </c>
      <c r="M2592" s="395"/>
      <c r="N2592" s="395"/>
    </row>
    <row r="2593" spans="1:14" ht="15.6" hidden="1">
      <c r="A2593" s="420">
        <v>45925</v>
      </c>
      <c r="B2593" s="413" t="s">
        <v>4876</v>
      </c>
      <c r="C2593" s="413" t="s">
        <v>172</v>
      </c>
      <c r="D2593" s="177" t="s">
        <v>440</v>
      </c>
      <c r="E2593" s="413">
        <v>1000</v>
      </c>
      <c r="F2593" s="407">
        <f t="shared" ref="F2593:F2624" si="33">E2593/G2593</f>
        <v>1.8744037053212446</v>
      </c>
      <c r="G2593" s="408">
        <v>533.50300000000004</v>
      </c>
      <c r="H2593" s="413" t="s">
        <v>173</v>
      </c>
      <c r="I2593" s="413" t="s">
        <v>2959</v>
      </c>
      <c r="J2593" s="243" t="s">
        <v>96</v>
      </c>
      <c r="K2593" s="243" t="s">
        <v>1137</v>
      </c>
      <c r="L2593" s="243" t="s">
        <v>153</v>
      </c>
      <c r="M2593" s="395"/>
      <c r="N2593" s="395"/>
    </row>
    <row r="2594" spans="1:14" ht="15.6" hidden="1">
      <c r="A2594" s="420">
        <v>45925</v>
      </c>
      <c r="B2594" s="413" t="s">
        <v>4876</v>
      </c>
      <c r="C2594" s="413" t="s">
        <v>172</v>
      </c>
      <c r="D2594" s="177" t="s">
        <v>440</v>
      </c>
      <c r="E2594" s="413">
        <v>1000</v>
      </c>
      <c r="F2594" s="407">
        <f t="shared" si="33"/>
        <v>1.8744037053212446</v>
      </c>
      <c r="G2594" s="408">
        <v>533.50300000000004</v>
      </c>
      <c r="H2594" s="413" t="s">
        <v>173</v>
      </c>
      <c r="I2594" s="413" t="s">
        <v>2959</v>
      </c>
      <c r="J2594" s="243" t="s">
        <v>96</v>
      </c>
      <c r="K2594" s="243" t="s">
        <v>1137</v>
      </c>
      <c r="L2594" s="243" t="s">
        <v>153</v>
      </c>
      <c r="M2594" s="395"/>
      <c r="N2594" s="395"/>
    </row>
    <row r="2595" spans="1:14" ht="15.6" hidden="1">
      <c r="A2595" s="420">
        <v>45925</v>
      </c>
      <c r="B2595" s="413" t="s">
        <v>3013</v>
      </c>
      <c r="C2595" s="413" t="s">
        <v>172</v>
      </c>
      <c r="D2595" s="413" t="s">
        <v>115</v>
      </c>
      <c r="E2595" s="413">
        <v>1000</v>
      </c>
      <c r="F2595" s="407">
        <f t="shared" si="33"/>
        <v>1.8744037053212446</v>
      </c>
      <c r="G2595" s="408">
        <v>533.50300000000004</v>
      </c>
      <c r="H2595" s="413" t="s">
        <v>185</v>
      </c>
      <c r="I2595" s="413" t="s">
        <v>3185</v>
      </c>
      <c r="J2595" s="243" t="s">
        <v>96</v>
      </c>
      <c r="K2595" s="243" t="s">
        <v>1137</v>
      </c>
      <c r="L2595" s="243" t="s">
        <v>153</v>
      </c>
      <c r="M2595" s="76"/>
      <c r="N2595" s="76"/>
    </row>
    <row r="2596" spans="1:14" ht="15.6" hidden="1">
      <c r="A2596" s="420">
        <v>45925</v>
      </c>
      <c r="B2596" s="413" t="s">
        <v>3002</v>
      </c>
      <c r="C2596" s="413" t="s">
        <v>172</v>
      </c>
      <c r="D2596" s="413" t="s">
        <v>115</v>
      </c>
      <c r="E2596" s="413">
        <v>1000</v>
      </c>
      <c r="F2596" s="407">
        <f t="shared" si="33"/>
        <v>1.8744037053212446</v>
      </c>
      <c r="G2596" s="408">
        <v>533.50300000000004</v>
      </c>
      <c r="H2596" s="413" t="s">
        <v>185</v>
      </c>
      <c r="I2596" s="413" t="s">
        <v>3185</v>
      </c>
      <c r="J2596" s="243" t="s">
        <v>96</v>
      </c>
      <c r="K2596" s="243" t="s">
        <v>1137</v>
      </c>
      <c r="L2596" s="243" t="s">
        <v>153</v>
      </c>
      <c r="M2596" s="76"/>
      <c r="N2596" s="76"/>
    </row>
    <row r="2597" spans="1:14" ht="15.6" hidden="1">
      <c r="A2597" s="420">
        <v>45926</v>
      </c>
      <c r="B2597" s="413" t="s">
        <v>2103</v>
      </c>
      <c r="C2597" s="406" t="s">
        <v>172</v>
      </c>
      <c r="D2597" s="406" t="s">
        <v>117</v>
      </c>
      <c r="E2597" s="346">
        <v>1000</v>
      </c>
      <c r="F2597" s="407">
        <f t="shared" si="33"/>
        <v>1.8744037053212446</v>
      </c>
      <c r="G2597" s="408">
        <v>533.50300000000004</v>
      </c>
      <c r="H2597" s="409" t="s">
        <v>151</v>
      </c>
      <c r="I2597" s="413" t="s">
        <v>2824</v>
      </c>
      <c r="J2597" s="243" t="s">
        <v>96</v>
      </c>
      <c r="K2597" s="243" t="s">
        <v>1137</v>
      </c>
      <c r="L2597" s="243" t="s">
        <v>153</v>
      </c>
      <c r="M2597" s="395"/>
      <c r="N2597" s="395"/>
    </row>
    <row r="2598" spans="1:14" ht="15.6" hidden="1">
      <c r="A2598" s="420">
        <v>45926</v>
      </c>
      <c r="B2598" s="413" t="s">
        <v>2104</v>
      </c>
      <c r="C2598" s="406" t="s">
        <v>172</v>
      </c>
      <c r="D2598" s="406" t="s">
        <v>117</v>
      </c>
      <c r="E2598" s="346">
        <v>1000</v>
      </c>
      <c r="F2598" s="407">
        <f t="shared" si="33"/>
        <v>1.8744037053212446</v>
      </c>
      <c r="G2598" s="408">
        <v>533.50300000000004</v>
      </c>
      <c r="H2598" s="409" t="s">
        <v>151</v>
      </c>
      <c r="I2598" s="413" t="s">
        <v>2824</v>
      </c>
      <c r="J2598" s="243" t="s">
        <v>96</v>
      </c>
      <c r="K2598" s="243" t="s">
        <v>1137</v>
      </c>
      <c r="L2598" s="243" t="s">
        <v>153</v>
      </c>
      <c r="M2598" s="395"/>
      <c r="N2598" s="395"/>
    </row>
    <row r="2599" spans="1:14" ht="15.6" hidden="1">
      <c r="A2599" s="411">
        <v>45926</v>
      </c>
      <c r="B2599" s="413" t="s">
        <v>2894</v>
      </c>
      <c r="C2599" s="413" t="s">
        <v>172</v>
      </c>
      <c r="D2599" s="413" t="s">
        <v>116</v>
      </c>
      <c r="E2599" s="414">
        <v>1000</v>
      </c>
      <c r="F2599" s="407">
        <f t="shared" si="33"/>
        <v>1.8744037053212446</v>
      </c>
      <c r="G2599" s="408">
        <v>533.50300000000004</v>
      </c>
      <c r="H2599" s="413" t="s">
        <v>581</v>
      </c>
      <c r="I2599" s="413" t="s">
        <v>2914</v>
      </c>
      <c r="J2599" s="243" t="s">
        <v>96</v>
      </c>
      <c r="K2599" s="243" t="s">
        <v>1137</v>
      </c>
      <c r="L2599" s="243" t="s">
        <v>153</v>
      </c>
      <c r="M2599" s="327"/>
      <c r="N2599" s="327"/>
    </row>
    <row r="2600" spans="1:14" ht="15.6" hidden="1">
      <c r="A2600" s="411">
        <v>45926</v>
      </c>
      <c r="B2600" s="413" t="s">
        <v>2895</v>
      </c>
      <c r="C2600" s="413" t="s">
        <v>172</v>
      </c>
      <c r="D2600" s="413" t="s">
        <v>116</v>
      </c>
      <c r="E2600" s="414">
        <v>1000</v>
      </c>
      <c r="F2600" s="407">
        <f t="shared" si="33"/>
        <v>1.8744037053212446</v>
      </c>
      <c r="G2600" s="408">
        <v>533.50300000000004</v>
      </c>
      <c r="H2600" s="413" t="s">
        <v>581</v>
      </c>
      <c r="I2600" s="413" t="s">
        <v>2914</v>
      </c>
      <c r="J2600" s="243" t="s">
        <v>96</v>
      </c>
      <c r="K2600" s="243" t="s">
        <v>1137</v>
      </c>
      <c r="L2600" s="243" t="s">
        <v>153</v>
      </c>
      <c r="M2600" s="327"/>
      <c r="N2600" s="327"/>
    </row>
    <row r="2601" spans="1:14" ht="15.6" hidden="1">
      <c r="A2601" s="415">
        <v>45926</v>
      </c>
      <c r="B2601" s="413" t="s">
        <v>2897</v>
      </c>
      <c r="C2601" s="413" t="s">
        <v>124</v>
      </c>
      <c r="D2601" s="413" t="s">
        <v>116</v>
      </c>
      <c r="E2601" s="412">
        <v>6000</v>
      </c>
      <c r="F2601" s="407">
        <f t="shared" si="33"/>
        <v>11.246422231927466</v>
      </c>
      <c r="G2601" s="408">
        <v>533.50300000000004</v>
      </c>
      <c r="H2601" s="413" t="s">
        <v>581</v>
      </c>
      <c r="I2601" s="243" t="s">
        <v>2925</v>
      </c>
      <c r="J2601" s="243" t="s">
        <v>96</v>
      </c>
      <c r="K2601" s="243" t="s">
        <v>1137</v>
      </c>
      <c r="L2601" s="243" t="s">
        <v>153</v>
      </c>
      <c r="M2601" s="327"/>
      <c r="N2601" s="327"/>
    </row>
    <row r="2602" spans="1:14" ht="15.6" hidden="1">
      <c r="A2602" s="415">
        <v>45926</v>
      </c>
      <c r="B2602" s="243" t="s">
        <v>2893</v>
      </c>
      <c r="C2602" s="413" t="s">
        <v>180</v>
      </c>
      <c r="D2602" s="413" t="s">
        <v>116</v>
      </c>
      <c r="E2602" s="412">
        <v>2800</v>
      </c>
      <c r="F2602" s="407">
        <f t="shared" si="33"/>
        <v>5.248330374899485</v>
      </c>
      <c r="G2602" s="408">
        <v>533.50300000000004</v>
      </c>
      <c r="H2602" s="413" t="s">
        <v>581</v>
      </c>
      <c r="I2602" s="243" t="s">
        <v>2926</v>
      </c>
      <c r="J2602" s="243" t="s">
        <v>96</v>
      </c>
      <c r="K2602" s="243" t="s">
        <v>1137</v>
      </c>
      <c r="L2602" s="243" t="s">
        <v>153</v>
      </c>
      <c r="M2602" s="395"/>
      <c r="N2602" s="395"/>
    </row>
    <row r="2603" spans="1:14" ht="15.6" hidden="1">
      <c r="A2603" s="420">
        <v>45926</v>
      </c>
      <c r="B2603" s="413" t="s">
        <v>4876</v>
      </c>
      <c r="C2603" s="413" t="s">
        <v>172</v>
      </c>
      <c r="D2603" s="177" t="s">
        <v>440</v>
      </c>
      <c r="E2603" s="413">
        <v>1000</v>
      </c>
      <c r="F2603" s="407">
        <f t="shared" si="33"/>
        <v>1.8744037053212446</v>
      </c>
      <c r="G2603" s="408">
        <v>533.50300000000004</v>
      </c>
      <c r="H2603" s="413" t="s">
        <v>173</v>
      </c>
      <c r="I2603" s="413" t="s">
        <v>2959</v>
      </c>
      <c r="J2603" s="243" t="s">
        <v>96</v>
      </c>
      <c r="K2603" s="243" t="s">
        <v>1137</v>
      </c>
      <c r="L2603" s="243" t="s">
        <v>153</v>
      </c>
      <c r="M2603" s="395"/>
      <c r="N2603" s="395"/>
    </row>
    <row r="2604" spans="1:14" ht="15.6" hidden="1">
      <c r="A2604" s="420">
        <v>45926</v>
      </c>
      <c r="B2604" s="413" t="s">
        <v>4876</v>
      </c>
      <c r="C2604" s="413" t="s">
        <v>172</v>
      </c>
      <c r="D2604" s="177" t="s">
        <v>440</v>
      </c>
      <c r="E2604" s="413">
        <v>1000</v>
      </c>
      <c r="F2604" s="407">
        <f t="shared" si="33"/>
        <v>1.8744037053212446</v>
      </c>
      <c r="G2604" s="408">
        <v>533.50300000000004</v>
      </c>
      <c r="H2604" s="413" t="s">
        <v>173</v>
      </c>
      <c r="I2604" s="413" t="s">
        <v>2959</v>
      </c>
      <c r="J2604" s="243" t="s">
        <v>96</v>
      </c>
      <c r="K2604" s="243" t="s">
        <v>1137</v>
      </c>
      <c r="L2604" s="243" t="s">
        <v>153</v>
      </c>
      <c r="M2604" s="395"/>
      <c r="N2604" s="395"/>
    </row>
    <row r="2605" spans="1:14" ht="15.6" hidden="1">
      <c r="A2605" s="420">
        <v>45926</v>
      </c>
      <c r="B2605" s="413" t="s">
        <v>3176</v>
      </c>
      <c r="C2605" s="413" t="s">
        <v>172</v>
      </c>
      <c r="D2605" s="413" t="s">
        <v>115</v>
      </c>
      <c r="E2605" s="413">
        <v>1500</v>
      </c>
      <c r="F2605" s="407">
        <f t="shared" si="33"/>
        <v>2.8116055579818666</v>
      </c>
      <c r="G2605" s="408">
        <v>533.50300000000004</v>
      </c>
      <c r="H2605" s="413" t="s">
        <v>185</v>
      </c>
      <c r="I2605" s="413" t="s">
        <v>3185</v>
      </c>
      <c r="J2605" s="243" t="s">
        <v>96</v>
      </c>
      <c r="K2605" s="243" t="s">
        <v>1137</v>
      </c>
      <c r="L2605" s="243" t="s">
        <v>153</v>
      </c>
      <c r="M2605" s="76"/>
      <c r="N2605" s="76"/>
    </row>
    <row r="2606" spans="1:14" ht="15.6" hidden="1">
      <c r="A2606" s="420">
        <v>45926</v>
      </c>
      <c r="B2606" s="413" t="s">
        <v>3180</v>
      </c>
      <c r="C2606" s="413" t="s">
        <v>172</v>
      </c>
      <c r="D2606" s="413" t="s">
        <v>115</v>
      </c>
      <c r="E2606" s="413">
        <v>3500</v>
      </c>
      <c r="F2606" s="407">
        <f t="shared" si="33"/>
        <v>6.5604129686243562</v>
      </c>
      <c r="G2606" s="408">
        <v>533.50300000000004</v>
      </c>
      <c r="H2606" s="413" t="s">
        <v>185</v>
      </c>
      <c r="I2606" s="413" t="s">
        <v>3185</v>
      </c>
      <c r="J2606" s="243" t="s">
        <v>96</v>
      </c>
      <c r="K2606" s="243" t="s">
        <v>1137</v>
      </c>
      <c r="L2606" s="243" t="s">
        <v>153</v>
      </c>
      <c r="M2606" s="76"/>
      <c r="N2606" s="76"/>
    </row>
    <row r="2607" spans="1:14" ht="15.6" hidden="1">
      <c r="A2607" s="420">
        <v>45927</v>
      </c>
      <c r="B2607" s="413" t="s">
        <v>2103</v>
      </c>
      <c r="C2607" s="406" t="s">
        <v>172</v>
      </c>
      <c r="D2607" s="406" t="s">
        <v>117</v>
      </c>
      <c r="E2607" s="346">
        <v>1000</v>
      </c>
      <c r="F2607" s="407">
        <f t="shared" si="33"/>
        <v>1.8744037053212446</v>
      </c>
      <c r="G2607" s="408">
        <v>533.50300000000004</v>
      </c>
      <c r="H2607" s="409" t="s">
        <v>151</v>
      </c>
      <c r="I2607" s="413" t="s">
        <v>2824</v>
      </c>
      <c r="J2607" s="243" t="s">
        <v>96</v>
      </c>
      <c r="K2607" s="243" t="s">
        <v>1137</v>
      </c>
      <c r="L2607" s="243" t="s">
        <v>153</v>
      </c>
      <c r="M2607" s="327"/>
      <c r="N2607" s="327"/>
    </row>
    <row r="2608" spans="1:14" ht="15.6" hidden="1">
      <c r="A2608" s="420">
        <v>45927</v>
      </c>
      <c r="B2608" s="413" t="s">
        <v>2819</v>
      </c>
      <c r="C2608" s="406" t="s">
        <v>172</v>
      </c>
      <c r="D2608" s="406" t="s">
        <v>117</v>
      </c>
      <c r="E2608" s="346">
        <v>1000</v>
      </c>
      <c r="F2608" s="407">
        <f t="shared" si="33"/>
        <v>1.8744037053212446</v>
      </c>
      <c r="G2608" s="408">
        <v>533.50300000000004</v>
      </c>
      <c r="H2608" s="409" t="s">
        <v>151</v>
      </c>
      <c r="I2608" s="413" t="s">
        <v>2824</v>
      </c>
      <c r="J2608" s="243" t="s">
        <v>96</v>
      </c>
      <c r="K2608" s="243" t="s">
        <v>1137</v>
      </c>
      <c r="L2608" s="243" t="s">
        <v>153</v>
      </c>
      <c r="M2608" s="327"/>
      <c r="N2608" s="327"/>
    </row>
    <row r="2609" spans="1:14" ht="15.6" hidden="1">
      <c r="A2609" s="418">
        <v>45927</v>
      </c>
      <c r="B2609" s="213" t="s">
        <v>2846</v>
      </c>
      <c r="C2609" s="213" t="s">
        <v>172</v>
      </c>
      <c r="D2609" s="329" t="s">
        <v>115</v>
      </c>
      <c r="E2609" s="419">
        <v>1500</v>
      </c>
      <c r="F2609" s="407">
        <f t="shared" si="33"/>
        <v>2.8116055579818666</v>
      </c>
      <c r="G2609" s="408">
        <v>533.50300000000004</v>
      </c>
      <c r="H2609" s="172" t="s">
        <v>198</v>
      </c>
      <c r="I2609" s="213" t="s">
        <v>2859</v>
      </c>
      <c r="J2609" s="243" t="s">
        <v>96</v>
      </c>
      <c r="K2609" s="243" t="s">
        <v>1137</v>
      </c>
      <c r="L2609" s="243" t="s">
        <v>153</v>
      </c>
      <c r="M2609" s="395"/>
      <c r="N2609" s="395"/>
    </row>
    <row r="2610" spans="1:14" ht="15.6" hidden="1">
      <c r="A2610" s="418">
        <v>45927</v>
      </c>
      <c r="B2610" s="213" t="s">
        <v>2847</v>
      </c>
      <c r="C2610" s="213" t="s">
        <v>172</v>
      </c>
      <c r="D2610" s="329" t="s">
        <v>115</v>
      </c>
      <c r="E2610" s="419">
        <v>1000</v>
      </c>
      <c r="F2610" s="407">
        <f t="shared" si="33"/>
        <v>1.8744037053212446</v>
      </c>
      <c r="G2610" s="408">
        <v>533.50300000000004</v>
      </c>
      <c r="H2610" s="172" t="s">
        <v>198</v>
      </c>
      <c r="I2610" s="213" t="s">
        <v>2859</v>
      </c>
      <c r="J2610" s="243" t="s">
        <v>96</v>
      </c>
      <c r="K2610" s="243" t="s">
        <v>1137</v>
      </c>
      <c r="L2610" s="243" t="s">
        <v>153</v>
      </c>
      <c r="M2610" s="395"/>
      <c r="N2610" s="395"/>
    </row>
    <row r="2611" spans="1:14" ht="15.6" hidden="1">
      <c r="A2611" s="418">
        <v>45927</v>
      </c>
      <c r="B2611" s="213" t="s">
        <v>2848</v>
      </c>
      <c r="C2611" s="213" t="s">
        <v>172</v>
      </c>
      <c r="D2611" s="329" t="s">
        <v>115</v>
      </c>
      <c r="E2611" s="419">
        <v>1000</v>
      </c>
      <c r="F2611" s="407">
        <f t="shared" si="33"/>
        <v>1.8744037053212446</v>
      </c>
      <c r="G2611" s="408">
        <v>533.50300000000004</v>
      </c>
      <c r="H2611" s="172" t="s">
        <v>198</v>
      </c>
      <c r="I2611" s="213" t="s">
        <v>2859</v>
      </c>
      <c r="J2611" s="243" t="s">
        <v>96</v>
      </c>
      <c r="K2611" s="243" t="s">
        <v>1137</v>
      </c>
      <c r="L2611" s="243" t="s">
        <v>153</v>
      </c>
      <c r="M2611" s="395"/>
      <c r="N2611" s="395"/>
    </row>
    <row r="2612" spans="1:14" ht="15.6" hidden="1">
      <c r="A2612" s="418">
        <v>45927</v>
      </c>
      <c r="B2612" s="213" t="s">
        <v>2242</v>
      </c>
      <c r="C2612" s="213" t="s">
        <v>172</v>
      </c>
      <c r="D2612" s="329" t="s">
        <v>115</v>
      </c>
      <c r="E2612" s="419">
        <v>1500</v>
      </c>
      <c r="F2612" s="407">
        <f t="shared" si="33"/>
        <v>2.8116055579818666</v>
      </c>
      <c r="G2612" s="408">
        <v>533.50300000000004</v>
      </c>
      <c r="H2612" s="172" t="s">
        <v>198</v>
      </c>
      <c r="I2612" s="213" t="s">
        <v>2859</v>
      </c>
      <c r="J2612" s="243" t="s">
        <v>96</v>
      </c>
      <c r="K2612" s="243" t="s">
        <v>1137</v>
      </c>
      <c r="L2612" s="243" t="s">
        <v>153</v>
      </c>
      <c r="M2612" s="395"/>
      <c r="N2612" s="395"/>
    </row>
    <row r="2613" spans="1:14" ht="15.6" hidden="1">
      <c r="A2613" s="411">
        <v>45927</v>
      </c>
      <c r="B2613" s="413" t="s">
        <v>2898</v>
      </c>
      <c r="C2613" s="413" t="s">
        <v>172</v>
      </c>
      <c r="D2613" s="413" t="s">
        <v>116</v>
      </c>
      <c r="E2613" s="414">
        <v>1000</v>
      </c>
      <c r="F2613" s="407">
        <f t="shared" si="33"/>
        <v>1.8744037053212446</v>
      </c>
      <c r="G2613" s="408">
        <v>533.50300000000004</v>
      </c>
      <c r="H2613" s="413" t="s">
        <v>581</v>
      </c>
      <c r="I2613" s="413" t="s">
        <v>2914</v>
      </c>
      <c r="J2613" s="243" t="s">
        <v>96</v>
      </c>
      <c r="K2613" s="243" t="s">
        <v>1137</v>
      </c>
      <c r="L2613" s="243" t="s">
        <v>153</v>
      </c>
      <c r="M2613" s="395"/>
      <c r="N2613" s="395"/>
    </row>
    <row r="2614" spans="1:14" ht="15.6" hidden="1">
      <c r="A2614" s="411">
        <v>45927</v>
      </c>
      <c r="B2614" s="413" t="s">
        <v>2899</v>
      </c>
      <c r="C2614" s="413" t="s">
        <v>172</v>
      </c>
      <c r="D2614" s="413" t="s">
        <v>116</v>
      </c>
      <c r="E2614" s="414">
        <v>1000</v>
      </c>
      <c r="F2614" s="407">
        <f t="shared" si="33"/>
        <v>1.8744037053212446</v>
      </c>
      <c r="G2614" s="408">
        <v>533.50300000000004</v>
      </c>
      <c r="H2614" s="413" t="s">
        <v>581</v>
      </c>
      <c r="I2614" s="413" t="s">
        <v>2914</v>
      </c>
      <c r="J2614" s="243" t="s">
        <v>96</v>
      </c>
      <c r="K2614" s="243" t="s">
        <v>1137</v>
      </c>
      <c r="L2614" s="243" t="s">
        <v>153</v>
      </c>
      <c r="M2614" s="395"/>
      <c r="N2614" s="395"/>
    </row>
    <row r="2615" spans="1:14" ht="15.6" hidden="1">
      <c r="A2615" s="411">
        <v>45927</v>
      </c>
      <c r="B2615" s="413" t="s">
        <v>2900</v>
      </c>
      <c r="C2615" s="413" t="s">
        <v>172</v>
      </c>
      <c r="D2615" s="413" t="s">
        <v>116</v>
      </c>
      <c r="E2615" s="414">
        <v>500</v>
      </c>
      <c r="F2615" s="407">
        <f t="shared" si="33"/>
        <v>0.93720185266062228</v>
      </c>
      <c r="G2615" s="408">
        <v>533.50300000000004</v>
      </c>
      <c r="H2615" s="413" t="s">
        <v>581</v>
      </c>
      <c r="I2615" s="413" t="s">
        <v>2914</v>
      </c>
      <c r="J2615" s="243" t="s">
        <v>96</v>
      </c>
      <c r="K2615" s="243" t="s">
        <v>1137</v>
      </c>
      <c r="L2615" s="243" t="s">
        <v>153</v>
      </c>
      <c r="M2615" s="395"/>
      <c r="N2615" s="395"/>
    </row>
    <row r="2616" spans="1:14" ht="15.6" hidden="1">
      <c r="A2616" s="411">
        <v>45927</v>
      </c>
      <c r="B2616" s="413" t="s">
        <v>2901</v>
      </c>
      <c r="C2616" s="413" t="s">
        <v>172</v>
      </c>
      <c r="D2616" s="413" t="s">
        <v>116</v>
      </c>
      <c r="E2616" s="414">
        <v>1000</v>
      </c>
      <c r="F2616" s="407">
        <f t="shared" si="33"/>
        <v>1.8744037053212446</v>
      </c>
      <c r="G2616" s="408">
        <v>533.50300000000004</v>
      </c>
      <c r="H2616" s="413" t="s">
        <v>581</v>
      </c>
      <c r="I2616" s="413" t="s">
        <v>2914</v>
      </c>
      <c r="J2616" s="243" t="s">
        <v>96</v>
      </c>
      <c r="K2616" s="243" t="s">
        <v>1137</v>
      </c>
      <c r="L2616" s="243" t="s">
        <v>153</v>
      </c>
      <c r="M2616" s="395"/>
      <c r="N2616" s="395"/>
    </row>
    <row r="2617" spans="1:14" ht="15.6" hidden="1">
      <c r="A2617" s="411">
        <v>45927</v>
      </c>
      <c r="B2617" s="413" t="s">
        <v>2902</v>
      </c>
      <c r="C2617" s="413" t="s">
        <v>172</v>
      </c>
      <c r="D2617" s="413" t="s">
        <v>116</v>
      </c>
      <c r="E2617" s="414">
        <v>1000</v>
      </c>
      <c r="F2617" s="407">
        <f t="shared" si="33"/>
        <v>1.8744037053212446</v>
      </c>
      <c r="G2617" s="408">
        <v>533.50300000000004</v>
      </c>
      <c r="H2617" s="413" t="s">
        <v>581</v>
      </c>
      <c r="I2617" s="413" t="s">
        <v>2914</v>
      </c>
      <c r="J2617" s="243" t="s">
        <v>96</v>
      </c>
      <c r="K2617" s="243" t="s">
        <v>1137</v>
      </c>
      <c r="L2617" s="243" t="s">
        <v>153</v>
      </c>
      <c r="M2617" s="395"/>
      <c r="N2617" s="395"/>
    </row>
    <row r="2618" spans="1:14" ht="15.6" hidden="1">
      <c r="A2618" s="411">
        <v>45927</v>
      </c>
      <c r="B2618" s="413" t="s">
        <v>2903</v>
      </c>
      <c r="C2618" s="413" t="s">
        <v>172</v>
      </c>
      <c r="D2618" s="413" t="s">
        <v>116</v>
      </c>
      <c r="E2618" s="414">
        <v>1000</v>
      </c>
      <c r="F2618" s="407">
        <f t="shared" si="33"/>
        <v>1.8744037053212446</v>
      </c>
      <c r="G2618" s="408">
        <v>533.50300000000004</v>
      </c>
      <c r="H2618" s="413" t="s">
        <v>581</v>
      </c>
      <c r="I2618" s="413" t="s">
        <v>2914</v>
      </c>
      <c r="J2618" s="243" t="s">
        <v>96</v>
      </c>
      <c r="K2618" s="243" t="s">
        <v>1137</v>
      </c>
      <c r="L2618" s="243" t="s">
        <v>153</v>
      </c>
      <c r="M2618" s="395"/>
      <c r="N2618" s="395"/>
    </row>
    <row r="2619" spans="1:14" ht="15.6" hidden="1">
      <c r="A2619" s="420">
        <v>45927</v>
      </c>
      <c r="B2619" s="413" t="s">
        <v>4876</v>
      </c>
      <c r="C2619" s="413" t="s">
        <v>172</v>
      </c>
      <c r="D2619" s="177" t="s">
        <v>440</v>
      </c>
      <c r="E2619" s="413">
        <v>1000</v>
      </c>
      <c r="F2619" s="407">
        <f t="shared" si="33"/>
        <v>1.8744037053212446</v>
      </c>
      <c r="G2619" s="408">
        <v>533.50300000000004</v>
      </c>
      <c r="H2619" s="413" t="s">
        <v>173</v>
      </c>
      <c r="I2619" s="413" t="s">
        <v>2959</v>
      </c>
      <c r="J2619" s="243" t="s">
        <v>96</v>
      </c>
      <c r="K2619" s="243" t="s">
        <v>1137</v>
      </c>
      <c r="L2619" s="243" t="s">
        <v>153</v>
      </c>
      <c r="M2619" s="395"/>
      <c r="N2619" s="395"/>
    </row>
    <row r="2620" spans="1:14" ht="15.6" hidden="1">
      <c r="A2620" s="420">
        <v>45927</v>
      </c>
      <c r="B2620" s="413" t="s">
        <v>4876</v>
      </c>
      <c r="C2620" s="413" t="s">
        <v>172</v>
      </c>
      <c r="D2620" s="177" t="s">
        <v>440</v>
      </c>
      <c r="E2620" s="413">
        <v>1000</v>
      </c>
      <c r="F2620" s="407">
        <f t="shared" si="33"/>
        <v>1.8744037053212446</v>
      </c>
      <c r="G2620" s="408">
        <v>533.50300000000004</v>
      </c>
      <c r="H2620" s="413" t="s">
        <v>173</v>
      </c>
      <c r="I2620" s="413" t="s">
        <v>2959</v>
      </c>
      <c r="J2620" s="243" t="s">
        <v>96</v>
      </c>
      <c r="K2620" s="243" t="s">
        <v>1137</v>
      </c>
      <c r="L2620" s="243" t="s">
        <v>153</v>
      </c>
      <c r="M2620" s="395"/>
      <c r="N2620" s="395"/>
    </row>
    <row r="2621" spans="1:14" ht="15.6" hidden="1">
      <c r="A2621" s="405">
        <v>45927</v>
      </c>
      <c r="B2621" s="413" t="s">
        <v>3093</v>
      </c>
      <c r="C2621" s="239" t="s">
        <v>194</v>
      </c>
      <c r="D2621" s="239" t="s">
        <v>115</v>
      </c>
      <c r="E2621" s="422">
        <v>1000</v>
      </c>
      <c r="F2621" s="407">
        <f t="shared" si="33"/>
        <v>1.8744037053212446</v>
      </c>
      <c r="G2621" s="408">
        <v>533.50300000000004</v>
      </c>
      <c r="H2621" s="252" t="s">
        <v>195</v>
      </c>
      <c r="I2621" s="413" t="s">
        <v>3101</v>
      </c>
      <c r="J2621" s="243" t="s">
        <v>96</v>
      </c>
      <c r="K2621" s="243" t="s">
        <v>1137</v>
      </c>
      <c r="L2621" s="243" t="s">
        <v>153</v>
      </c>
      <c r="M2621" s="76"/>
      <c r="N2621" s="76"/>
    </row>
    <row r="2622" spans="1:14" ht="15.6" hidden="1">
      <c r="A2622" s="405">
        <v>45927</v>
      </c>
      <c r="B2622" s="413" t="s">
        <v>3094</v>
      </c>
      <c r="C2622" s="239" t="s">
        <v>194</v>
      </c>
      <c r="D2622" s="239" t="s">
        <v>115</v>
      </c>
      <c r="E2622" s="422">
        <v>1000</v>
      </c>
      <c r="F2622" s="407">
        <f t="shared" si="33"/>
        <v>1.8744037053212446</v>
      </c>
      <c r="G2622" s="408">
        <v>533.50300000000004</v>
      </c>
      <c r="H2622" s="252" t="s">
        <v>195</v>
      </c>
      <c r="I2622" s="413" t="s">
        <v>3101</v>
      </c>
      <c r="J2622" s="243" t="s">
        <v>96</v>
      </c>
      <c r="K2622" s="243" t="s">
        <v>1137</v>
      </c>
      <c r="L2622" s="243" t="s">
        <v>153</v>
      </c>
      <c r="M2622" s="76"/>
      <c r="N2622" s="76"/>
    </row>
    <row r="2623" spans="1:14" ht="15.6" hidden="1">
      <c r="A2623" s="420">
        <v>45927</v>
      </c>
      <c r="B2623" s="413" t="s">
        <v>2678</v>
      </c>
      <c r="C2623" s="413" t="s">
        <v>172</v>
      </c>
      <c r="D2623" s="413" t="s">
        <v>118</v>
      </c>
      <c r="E2623" s="416">
        <v>1000</v>
      </c>
      <c r="F2623" s="407">
        <f t="shared" si="33"/>
        <v>1.8744037053212446</v>
      </c>
      <c r="G2623" s="408">
        <v>533.50300000000004</v>
      </c>
      <c r="H2623" s="413" t="s">
        <v>211</v>
      </c>
      <c r="I2623" s="413" t="s">
        <v>3154</v>
      </c>
      <c r="J2623" s="243" t="s">
        <v>96</v>
      </c>
      <c r="K2623" s="243" t="s">
        <v>1137</v>
      </c>
      <c r="L2623" s="243" t="s">
        <v>153</v>
      </c>
      <c r="M2623" s="76"/>
      <c r="N2623" s="76"/>
    </row>
    <row r="2624" spans="1:14" ht="15.6" hidden="1">
      <c r="A2624" s="420">
        <v>45927</v>
      </c>
      <c r="B2624" s="413" t="s">
        <v>2680</v>
      </c>
      <c r="C2624" s="413" t="s">
        <v>172</v>
      </c>
      <c r="D2624" s="413" t="s">
        <v>118</v>
      </c>
      <c r="E2624" s="416">
        <v>1000</v>
      </c>
      <c r="F2624" s="407">
        <f t="shared" si="33"/>
        <v>1.8744037053212446</v>
      </c>
      <c r="G2624" s="408">
        <v>533.50300000000004</v>
      </c>
      <c r="H2624" s="413" t="s">
        <v>211</v>
      </c>
      <c r="I2624" s="413" t="s">
        <v>3154</v>
      </c>
      <c r="J2624" s="243" t="s">
        <v>96</v>
      </c>
      <c r="K2624" s="243" t="s">
        <v>1137</v>
      </c>
      <c r="L2624" s="243" t="s">
        <v>153</v>
      </c>
      <c r="M2624" s="76"/>
      <c r="N2624" s="76"/>
    </row>
    <row r="2625" spans="1:14" ht="15.6" hidden="1">
      <c r="A2625" s="420">
        <v>45928</v>
      </c>
      <c r="B2625" s="413" t="s">
        <v>2103</v>
      </c>
      <c r="C2625" s="406" t="s">
        <v>172</v>
      </c>
      <c r="D2625" s="406" t="s">
        <v>117</v>
      </c>
      <c r="E2625" s="346">
        <v>1000</v>
      </c>
      <c r="F2625" s="407"/>
      <c r="G2625" s="408">
        <v>533.50300000000004</v>
      </c>
      <c r="H2625" s="409" t="s">
        <v>151</v>
      </c>
      <c r="I2625" s="413" t="s">
        <v>2824</v>
      </c>
      <c r="J2625" s="243" t="s">
        <v>96</v>
      </c>
      <c r="K2625" s="243" t="s">
        <v>1137</v>
      </c>
      <c r="L2625" s="243" t="s">
        <v>153</v>
      </c>
      <c r="M2625" s="351"/>
      <c r="N2625" s="327"/>
    </row>
    <row r="2626" spans="1:14" ht="15.6" hidden="1">
      <c r="A2626" s="420">
        <v>45928</v>
      </c>
      <c r="B2626" s="413" t="s">
        <v>2387</v>
      </c>
      <c r="C2626" s="406" t="s">
        <v>172</v>
      </c>
      <c r="D2626" s="406" t="s">
        <v>117</v>
      </c>
      <c r="E2626" s="346">
        <v>1000</v>
      </c>
      <c r="F2626" s="407">
        <f t="shared" ref="F2626:F2640" si="34">E2626/G2626</f>
        <v>1.8744037053212446</v>
      </c>
      <c r="G2626" s="408">
        <v>533.50300000000004</v>
      </c>
      <c r="H2626" s="409" t="s">
        <v>151</v>
      </c>
      <c r="I2626" s="413" t="s">
        <v>2824</v>
      </c>
      <c r="J2626" s="243" t="s">
        <v>96</v>
      </c>
      <c r="K2626" s="243" t="s">
        <v>1137</v>
      </c>
      <c r="L2626" s="243" t="s">
        <v>153</v>
      </c>
      <c r="M2626" s="327"/>
      <c r="N2626" s="327"/>
    </row>
    <row r="2627" spans="1:14" ht="15.6" hidden="1">
      <c r="A2627" s="420">
        <v>45928</v>
      </c>
      <c r="B2627" s="413" t="s">
        <v>2820</v>
      </c>
      <c r="C2627" s="406" t="s">
        <v>172</v>
      </c>
      <c r="D2627" s="406" t="s">
        <v>117</v>
      </c>
      <c r="E2627" s="346">
        <v>9000</v>
      </c>
      <c r="F2627" s="407">
        <f t="shared" si="34"/>
        <v>16.869633347891202</v>
      </c>
      <c r="G2627" s="408">
        <v>533.50300000000004</v>
      </c>
      <c r="H2627" s="409" t="s">
        <v>151</v>
      </c>
      <c r="I2627" s="413" t="s">
        <v>2829</v>
      </c>
      <c r="J2627" s="243" t="s">
        <v>96</v>
      </c>
      <c r="K2627" s="243" t="s">
        <v>1137</v>
      </c>
      <c r="L2627" s="243" t="s">
        <v>153</v>
      </c>
      <c r="M2627" s="327"/>
      <c r="N2627" s="327"/>
    </row>
    <row r="2628" spans="1:14" ht="15.6" hidden="1">
      <c r="A2628" s="418">
        <v>45928</v>
      </c>
      <c r="B2628" s="213" t="s">
        <v>2849</v>
      </c>
      <c r="C2628" s="213" t="s">
        <v>172</v>
      </c>
      <c r="D2628" s="329" t="s">
        <v>115</v>
      </c>
      <c r="E2628" s="419">
        <v>1500</v>
      </c>
      <c r="F2628" s="407">
        <f t="shared" si="34"/>
        <v>2.8116055579818666</v>
      </c>
      <c r="G2628" s="408">
        <v>533.50300000000004</v>
      </c>
      <c r="H2628" s="172" t="s">
        <v>198</v>
      </c>
      <c r="I2628" s="213" t="s">
        <v>2859</v>
      </c>
      <c r="J2628" s="243" t="s">
        <v>96</v>
      </c>
      <c r="K2628" s="243" t="s">
        <v>1137</v>
      </c>
      <c r="L2628" s="243" t="s">
        <v>153</v>
      </c>
      <c r="M2628" s="395"/>
      <c r="N2628" s="395"/>
    </row>
    <row r="2629" spans="1:14" ht="15.6" hidden="1">
      <c r="A2629" s="418">
        <v>45928</v>
      </c>
      <c r="B2629" s="213" t="s">
        <v>2847</v>
      </c>
      <c r="C2629" s="213" t="s">
        <v>172</v>
      </c>
      <c r="D2629" s="329" t="s">
        <v>115</v>
      </c>
      <c r="E2629" s="419">
        <v>1000</v>
      </c>
      <c r="F2629" s="407">
        <f t="shared" si="34"/>
        <v>1.8744037053212446</v>
      </c>
      <c r="G2629" s="408">
        <v>533.50300000000004</v>
      </c>
      <c r="H2629" s="172" t="s">
        <v>198</v>
      </c>
      <c r="I2629" s="213" t="s">
        <v>2859</v>
      </c>
      <c r="J2629" s="243" t="s">
        <v>96</v>
      </c>
      <c r="K2629" s="243" t="s">
        <v>1137</v>
      </c>
      <c r="L2629" s="243" t="s">
        <v>153</v>
      </c>
      <c r="M2629" s="395"/>
      <c r="N2629" s="395"/>
    </row>
    <row r="2630" spans="1:14" ht="15.6" hidden="1">
      <c r="A2630" s="418">
        <v>45928</v>
      </c>
      <c r="B2630" s="213" t="s">
        <v>2850</v>
      </c>
      <c r="C2630" s="213" t="s">
        <v>172</v>
      </c>
      <c r="D2630" s="329" t="s">
        <v>115</v>
      </c>
      <c r="E2630" s="419">
        <v>1000</v>
      </c>
      <c r="F2630" s="407">
        <f t="shared" si="34"/>
        <v>1.8744037053212446</v>
      </c>
      <c r="G2630" s="408">
        <v>533.50300000000004</v>
      </c>
      <c r="H2630" s="172" t="s">
        <v>198</v>
      </c>
      <c r="I2630" s="213" t="s">
        <v>2859</v>
      </c>
      <c r="J2630" s="243" t="s">
        <v>96</v>
      </c>
      <c r="K2630" s="243" t="s">
        <v>1137</v>
      </c>
      <c r="L2630" s="243" t="s">
        <v>153</v>
      </c>
      <c r="M2630" s="395"/>
      <c r="N2630" s="395"/>
    </row>
    <row r="2631" spans="1:14" ht="15.6" hidden="1">
      <c r="A2631" s="418">
        <v>45928</v>
      </c>
      <c r="B2631" s="213" t="s">
        <v>2851</v>
      </c>
      <c r="C2631" s="213" t="s">
        <v>172</v>
      </c>
      <c r="D2631" s="329" t="s">
        <v>115</v>
      </c>
      <c r="E2631" s="419">
        <v>1000</v>
      </c>
      <c r="F2631" s="407">
        <f t="shared" si="34"/>
        <v>1.8744037053212446</v>
      </c>
      <c r="G2631" s="408">
        <v>533.50300000000004</v>
      </c>
      <c r="H2631" s="172" t="s">
        <v>198</v>
      </c>
      <c r="I2631" s="213" t="s">
        <v>2859</v>
      </c>
      <c r="J2631" s="243" t="s">
        <v>96</v>
      </c>
      <c r="K2631" s="243" t="s">
        <v>1137</v>
      </c>
      <c r="L2631" s="243" t="s">
        <v>153</v>
      </c>
      <c r="M2631" s="395"/>
      <c r="N2631" s="395"/>
    </row>
    <row r="2632" spans="1:14" ht="15.6" hidden="1">
      <c r="A2632" s="418">
        <v>45928</v>
      </c>
      <c r="B2632" s="213" t="s">
        <v>2848</v>
      </c>
      <c r="C2632" s="213" t="s">
        <v>172</v>
      </c>
      <c r="D2632" s="329" t="s">
        <v>115</v>
      </c>
      <c r="E2632" s="419">
        <v>1000</v>
      </c>
      <c r="F2632" s="407">
        <f t="shared" si="34"/>
        <v>1.8744037053212446</v>
      </c>
      <c r="G2632" s="408">
        <v>533.50300000000004</v>
      </c>
      <c r="H2632" s="172" t="s">
        <v>198</v>
      </c>
      <c r="I2632" s="213" t="s">
        <v>2859</v>
      </c>
      <c r="J2632" s="243" t="s">
        <v>96</v>
      </c>
      <c r="K2632" s="243" t="s">
        <v>1137</v>
      </c>
      <c r="L2632" s="243" t="s">
        <v>153</v>
      </c>
      <c r="M2632" s="395"/>
      <c r="N2632" s="395"/>
    </row>
    <row r="2633" spans="1:14" ht="15.6" hidden="1">
      <c r="A2633" s="418">
        <v>45928</v>
      </c>
      <c r="B2633" s="213" t="s">
        <v>2852</v>
      </c>
      <c r="C2633" s="213" t="s">
        <v>172</v>
      </c>
      <c r="D2633" s="329" t="s">
        <v>115</v>
      </c>
      <c r="E2633" s="419">
        <v>1500</v>
      </c>
      <c r="F2633" s="407">
        <f t="shared" si="34"/>
        <v>2.8116055579818666</v>
      </c>
      <c r="G2633" s="408">
        <v>533.50300000000004</v>
      </c>
      <c r="H2633" s="172" t="s">
        <v>198</v>
      </c>
      <c r="I2633" s="213" t="s">
        <v>2859</v>
      </c>
      <c r="J2633" s="243" t="s">
        <v>96</v>
      </c>
      <c r="K2633" s="243" t="s">
        <v>1137</v>
      </c>
      <c r="L2633" s="243" t="s">
        <v>153</v>
      </c>
      <c r="M2633" s="395"/>
      <c r="N2633" s="395"/>
    </row>
    <row r="2634" spans="1:14" ht="15.6" hidden="1">
      <c r="A2634" s="418">
        <v>45928</v>
      </c>
      <c r="B2634" s="213" t="s">
        <v>2853</v>
      </c>
      <c r="C2634" s="213" t="s">
        <v>172</v>
      </c>
      <c r="D2634" s="329" t="s">
        <v>115</v>
      </c>
      <c r="E2634" s="419">
        <v>9000</v>
      </c>
      <c r="F2634" s="407">
        <f t="shared" si="34"/>
        <v>16.869633347891202</v>
      </c>
      <c r="G2634" s="408">
        <v>533.50300000000004</v>
      </c>
      <c r="H2634" s="172" t="s">
        <v>198</v>
      </c>
      <c r="I2634" s="213" t="s">
        <v>2870</v>
      </c>
      <c r="J2634" s="243" t="s">
        <v>96</v>
      </c>
      <c r="K2634" s="243" t="s">
        <v>1137</v>
      </c>
      <c r="L2634" s="243" t="s">
        <v>153</v>
      </c>
      <c r="M2634" s="395"/>
      <c r="N2634" s="395"/>
    </row>
    <row r="2635" spans="1:14" ht="15.6" hidden="1">
      <c r="A2635" s="411">
        <v>45928</v>
      </c>
      <c r="B2635" s="413" t="s">
        <v>2904</v>
      </c>
      <c r="C2635" s="413" t="s">
        <v>172</v>
      </c>
      <c r="D2635" s="413" t="s">
        <v>116</v>
      </c>
      <c r="E2635" s="414">
        <v>1000</v>
      </c>
      <c r="F2635" s="407">
        <f t="shared" si="34"/>
        <v>1.7827155035636482</v>
      </c>
      <c r="G2635" s="408">
        <v>560.94200000000001</v>
      </c>
      <c r="H2635" s="413" t="s">
        <v>581</v>
      </c>
      <c r="I2635" s="413" t="s">
        <v>2914</v>
      </c>
      <c r="J2635" s="243" t="s">
        <v>96</v>
      </c>
      <c r="K2635" s="243" t="s">
        <v>1906</v>
      </c>
      <c r="L2635" s="243" t="s">
        <v>153</v>
      </c>
      <c r="M2635" s="395"/>
      <c r="N2635" s="395"/>
    </row>
    <row r="2636" spans="1:14" ht="15.6" hidden="1">
      <c r="A2636" s="411">
        <v>45928</v>
      </c>
      <c r="B2636" s="413" t="s">
        <v>2903</v>
      </c>
      <c r="C2636" s="413" t="s">
        <v>172</v>
      </c>
      <c r="D2636" s="413" t="s">
        <v>116</v>
      </c>
      <c r="E2636" s="414">
        <v>1000</v>
      </c>
      <c r="F2636" s="407">
        <f t="shared" si="34"/>
        <v>1.7827155035636482</v>
      </c>
      <c r="G2636" s="408">
        <v>560.94200000000001</v>
      </c>
      <c r="H2636" s="413" t="s">
        <v>581</v>
      </c>
      <c r="I2636" s="413" t="s">
        <v>2914</v>
      </c>
      <c r="J2636" s="243" t="s">
        <v>96</v>
      </c>
      <c r="K2636" s="243" t="s">
        <v>1906</v>
      </c>
      <c r="L2636" s="243" t="s">
        <v>153</v>
      </c>
      <c r="M2636" s="395"/>
      <c r="N2636" s="395"/>
    </row>
    <row r="2637" spans="1:14" ht="15.6" hidden="1">
      <c r="A2637" s="420">
        <v>45928</v>
      </c>
      <c r="B2637" s="413" t="s">
        <v>4876</v>
      </c>
      <c r="C2637" s="413" t="s">
        <v>172</v>
      </c>
      <c r="D2637" s="177" t="s">
        <v>440</v>
      </c>
      <c r="E2637" s="413">
        <v>1000</v>
      </c>
      <c r="F2637" s="407">
        <f t="shared" si="34"/>
        <v>1.7827155035636482</v>
      </c>
      <c r="G2637" s="408">
        <v>560.94200000000001</v>
      </c>
      <c r="H2637" s="413" t="s">
        <v>173</v>
      </c>
      <c r="I2637" s="413" t="s">
        <v>2959</v>
      </c>
      <c r="J2637" s="243" t="s">
        <v>96</v>
      </c>
      <c r="K2637" s="243" t="s">
        <v>1906</v>
      </c>
      <c r="L2637" s="243" t="s">
        <v>153</v>
      </c>
      <c r="M2637" s="395"/>
      <c r="N2637" s="395"/>
    </row>
    <row r="2638" spans="1:14" ht="15.6" hidden="1">
      <c r="A2638" s="420">
        <v>45928</v>
      </c>
      <c r="B2638" s="413" t="s">
        <v>4876</v>
      </c>
      <c r="C2638" s="413" t="s">
        <v>172</v>
      </c>
      <c r="D2638" s="177" t="s">
        <v>440</v>
      </c>
      <c r="E2638" s="413">
        <v>1000</v>
      </c>
      <c r="F2638" s="407">
        <f t="shared" si="34"/>
        <v>1.7827155035636482</v>
      </c>
      <c r="G2638" s="408">
        <v>560.94200000000001</v>
      </c>
      <c r="H2638" s="413" t="s">
        <v>173</v>
      </c>
      <c r="I2638" s="413" t="s">
        <v>2959</v>
      </c>
      <c r="J2638" s="243" t="s">
        <v>96</v>
      </c>
      <c r="K2638" s="243" t="s">
        <v>1906</v>
      </c>
      <c r="L2638" s="243" t="s">
        <v>153</v>
      </c>
      <c r="M2638" s="395"/>
      <c r="N2638" s="395"/>
    </row>
    <row r="2639" spans="1:14" ht="15.6" hidden="1">
      <c r="A2639" s="420">
        <v>45928</v>
      </c>
      <c r="B2639" s="413" t="s">
        <v>4876</v>
      </c>
      <c r="C2639" s="413" t="s">
        <v>172</v>
      </c>
      <c r="D2639" s="177" t="s">
        <v>440</v>
      </c>
      <c r="E2639" s="413">
        <v>1000</v>
      </c>
      <c r="F2639" s="407">
        <f t="shared" si="34"/>
        <v>1.7827155035636482</v>
      </c>
      <c r="G2639" s="408">
        <v>560.94200000000001</v>
      </c>
      <c r="H2639" s="413" t="s">
        <v>173</v>
      </c>
      <c r="I2639" s="413" t="s">
        <v>2959</v>
      </c>
      <c r="J2639" s="243" t="s">
        <v>96</v>
      </c>
      <c r="K2639" s="243" t="s">
        <v>1906</v>
      </c>
      <c r="L2639" s="243" t="s">
        <v>153</v>
      </c>
      <c r="M2639" s="395"/>
      <c r="N2639" s="395"/>
    </row>
    <row r="2640" spans="1:14" ht="15.6" hidden="1">
      <c r="A2640" s="420">
        <v>45928</v>
      </c>
      <c r="B2640" s="413" t="s">
        <v>4917</v>
      </c>
      <c r="C2640" s="413" t="s">
        <v>172</v>
      </c>
      <c r="D2640" s="177" t="s">
        <v>440</v>
      </c>
      <c r="E2640" s="413">
        <v>1000</v>
      </c>
      <c r="F2640" s="407">
        <f t="shared" si="34"/>
        <v>1.7827155035636482</v>
      </c>
      <c r="G2640" s="408">
        <v>560.94200000000001</v>
      </c>
      <c r="H2640" s="413" t="s">
        <v>173</v>
      </c>
      <c r="I2640" s="413" t="s">
        <v>2959</v>
      </c>
      <c r="J2640" s="243" t="s">
        <v>96</v>
      </c>
      <c r="K2640" s="243" t="s">
        <v>1906</v>
      </c>
      <c r="L2640" s="243" t="s">
        <v>153</v>
      </c>
      <c r="M2640" s="327"/>
      <c r="N2640" s="327"/>
    </row>
    <row r="2641" spans="1:14" ht="15.6" hidden="1">
      <c r="A2641" s="420">
        <v>45928</v>
      </c>
      <c r="B2641" s="413" t="s">
        <v>4876</v>
      </c>
      <c r="C2641" s="413" t="s">
        <v>172</v>
      </c>
      <c r="D2641" s="177" t="s">
        <v>440</v>
      </c>
      <c r="E2641" s="413">
        <v>1000</v>
      </c>
      <c r="F2641" s="407"/>
      <c r="G2641" s="408">
        <v>560.94200000000001</v>
      </c>
      <c r="H2641" s="413" t="s">
        <v>173</v>
      </c>
      <c r="I2641" s="413" t="s">
        <v>2959</v>
      </c>
      <c r="J2641" s="243" t="s">
        <v>96</v>
      </c>
      <c r="K2641" s="243" t="s">
        <v>1906</v>
      </c>
      <c r="L2641" s="243" t="s">
        <v>153</v>
      </c>
      <c r="M2641" s="351"/>
      <c r="N2641" s="327"/>
    </row>
    <row r="2642" spans="1:14" ht="15.6" hidden="1">
      <c r="A2642" s="420">
        <v>45928</v>
      </c>
      <c r="B2642" s="413" t="s">
        <v>2954</v>
      </c>
      <c r="C2642" s="413" t="s">
        <v>366</v>
      </c>
      <c r="D2642" s="177" t="s">
        <v>440</v>
      </c>
      <c r="E2642" s="413">
        <v>3500</v>
      </c>
      <c r="F2642" s="407">
        <f t="shared" ref="F2642:F2705" si="35">E2642/G2642</f>
        <v>6.239504262472769</v>
      </c>
      <c r="G2642" s="408">
        <v>560.94200000000001</v>
      </c>
      <c r="H2642" s="413" t="s">
        <v>173</v>
      </c>
      <c r="I2642" s="413" t="s">
        <v>2963</v>
      </c>
      <c r="J2642" s="243" t="s">
        <v>96</v>
      </c>
      <c r="K2642" s="243" t="s">
        <v>1906</v>
      </c>
      <c r="L2642" s="243" t="s">
        <v>153</v>
      </c>
      <c r="M2642" s="327"/>
      <c r="N2642" s="327"/>
    </row>
    <row r="2643" spans="1:14" ht="15.6" hidden="1">
      <c r="A2643" s="405">
        <v>45928</v>
      </c>
      <c r="B2643" s="413" t="s">
        <v>3095</v>
      </c>
      <c r="C2643" s="239" t="s">
        <v>194</v>
      </c>
      <c r="D2643" s="239" t="s">
        <v>115</v>
      </c>
      <c r="E2643" s="422">
        <v>1000</v>
      </c>
      <c r="F2643" s="407">
        <f t="shared" si="35"/>
        <v>1.7827155035636482</v>
      </c>
      <c r="G2643" s="408">
        <v>560.94200000000001</v>
      </c>
      <c r="H2643" s="252" t="s">
        <v>195</v>
      </c>
      <c r="I2643" s="413" t="s">
        <v>3101</v>
      </c>
      <c r="J2643" s="243" t="s">
        <v>96</v>
      </c>
      <c r="K2643" s="243" t="s">
        <v>1906</v>
      </c>
      <c r="L2643" s="243" t="s">
        <v>153</v>
      </c>
      <c r="M2643" s="76"/>
      <c r="N2643" s="76"/>
    </row>
    <row r="2644" spans="1:14" ht="15.6" hidden="1">
      <c r="A2644" s="405">
        <v>45928</v>
      </c>
      <c r="B2644" s="243" t="s">
        <v>3096</v>
      </c>
      <c r="C2644" s="239" t="s">
        <v>194</v>
      </c>
      <c r="D2644" s="239" t="s">
        <v>115</v>
      </c>
      <c r="E2644" s="422">
        <v>9000</v>
      </c>
      <c r="F2644" s="407">
        <f t="shared" si="35"/>
        <v>16.044439532072836</v>
      </c>
      <c r="G2644" s="408">
        <v>560.94200000000001</v>
      </c>
      <c r="H2644" s="252" t="s">
        <v>195</v>
      </c>
      <c r="I2644" s="413" t="s">
        <v>3110</v>
      </c>
      <c r="J2644" s="243" t="s">
        <v>96</v>
      </c>
      <c r="K2644" s="243" t="s">
        <v>1906</v>
      </c>
      <c r="L2644" s="243" t="s">
        <v>153</v>
      </c>
      <c r="M2644" s="76"/>
      <c r="N2644" s="76"/>
    </row>
    <row r="2645" spans="1:14" ht="15.6" hidden="1">
      <c r="A2645" s="405">
        <v>45928</v>
      </c>
      <c r="B2645" s="413" t="s">
        <v>3094</v>
      </c>
      <c r="C2645" s="239" t="s">
        <v>194</v>
      </c>
      <c r="D2645" s="239" t="s">
        <v>115</v>
      </c>
      <c r="E2645" s="422">
        <v>1000</v>
      </c>
      <c r="F2645" s="407">
        <f t="shared" si="35"/>
        <v>1.7827155035636482</v>
      </c>
      <c r="G2645" s="408">
        <v>560.94200000000001</v>
      </c>
      <c r="H2645" s="252" t="s">
        <v>195</v>
      </c>
      <c r="I2645" s="413" t="s">
        <v>3101</v>
      </c>
      <c r="J2645" s="243" t="s">
        <v>96</v>
      </c>
      <c r="K2645" s="243" t="s">
        <v>1906</v>
      </c>
      <c r="L2645" s="243" t="s">
        <v>153</v>
      </c>
      <c r="M2645" s="76"/>
      <c r="N2645" s="76"/>
    </row>
    <row r="2646" spans="1:14" ht="15.6" hidden="1">
      <c r="A2646" s="420">
        <v>45928</v>
      </c>
      <c r="B2646" s="413" t="s">
        <v>2678</v>
      </c>
      <c r="C2646" s="413" t="s">
        <v>172</v>
      </c>
      <c r="D2646" s="413" t="s">
        <v>118</v>
      </c>
      <c r="E2646" s="416">
        <v>1000</v>
      </c>
      <c r="F2646" s="407">
        <f t="shared" si="35"/>
        <v>1.7827155035636482</v>
      </c>
      <c r="G2646" s="408">
        <v>560.94200000000001</v>
      </c>
      <c r="H2646" s="413" t="s">
        <v>211</v>
      </c>
      <c r="I2646" s="413" t="s">
        <v>3154</v>
      </c>
      <c r="J2646" s="243" t="s">
        <v>96</v>
      </c>
      <c r="K2646" s="243" t="s">
        <v>1906</v>
      </c>
      <c r="L2646" s="243" t="s">
        <v>153</v>
      </c>
      <c r="M2646" s="76"/>
      <c r="N2646" s="76"/>
    </row>
    <row r="2647" spans="1:14" ht="15.6" hidden="1">
      <c r="A2647" s="420">
        <v>45928</v>
      </c>
      <c r="B2647" s="413" t="s">
        <v>3149</v>
      </c>
      <c r="C2647" s="413" t="s">
        <v>172</v>
      </c>
      <c r="D2647" s="413" t="s">
        <v>118</v>
      </c>
      <c r="E2647" s="416">
        <v>9000</v>
      </c>
      <c r="F2647" s="407">
        <f t="shared" si="35"/>
        <v>16.044439532072836</v>
      </c>
      <c r="G2647" s="408">
        <v>560.94200000000001</v>
      </c>
      <c r="H2647" s="413" t="s">
        <v>211</v>
      </c>
      <c r="I2647" s="413" t="s">
        <v>3165</v>
      </c>
      <c r="J2647" s="243" t="s">
        <v>96</v>
      </c>
      <c r="K2647" s="243" t="s">
        <v>1906</v>
      </c>
      <c r="L2647" s="243" t="s">
        <v>153</v>
      </c>
      <c r="M2647" s="76"/>
      <c r="N2647" s="76"/>
    </row>
    <row r="2648" spans="1:14" ht="15.6" hidden="1">
      <c r="A2648" s="420">
        <v>45928</v>
      </c>
      <c r="B2648" s="413" t="s">
        <v>2680</v>
      </c>
      <c r="C2648" s="413" t="s">
        <v>172</v>
      </c>
      <c r="D2648" s="413" t="s">
        <v>118</v>
      </c>
      <c r="E2648" s="416">
        <v>1000</v>
      </c>
      <c r="F2648" s="407">
        <f t="shared" si="35"/>
        <v>1.7827155035636482</v>
      </c>
      <c r="G2648" s="408">
        <v>560.94200000000001</v>
      </c>
      <c r="H2648" s="413" t="s">
        <v>211</v>
      </c>
      <c r="I2648" s="413" t="s">
        <v>3154</v>
      </c>
      <c r="J2648" s="243" t="s">
        <v>96</v>
      </c>
      <c r="K2648" s="243" t="s">
        <v>1906</v>
      </c>
      <c r="L2648" s="243" t="s">
        <v>153</v>
      </c>
      <c r="M2648" s="76"/>
      <c r="N2648" s="76"/>
    </row>
    <row r="2649" spans="1:14" ht="15.6" hidden="1">
      <c r="A2649" s="420">
        <v>45929</v>
      </c>
      <c r="B2649" s="413" t="s">
        <v>2821</v>
      </c>
      <c r="C2649" s="406" t="s">
        <v>172</v>
      </c>
      <c r="D2649" s="406" t="s">
        <v>117</v>
      </c>
      <c r="E2649" s="346">
        <v>1000</v>
      </c>
      <c r="F2649" s="407">
        <f t="shared" si="35"/>
        <v>1.7827155035636482</v>
      </c>
      <c r="G2649" s="408">
        <v>560.94200000000001</v>
      </c>
      <c r="H2649" s="409" t="s">
        <v>151</v>
      </c>
      <c r="I2649" s="413" t="s">
        <v>2824</v>
      </c>
      <c r="J2649" s="243" t="s">
        <v>96</v>
      </c>
      <c r="K2649" s="243" t="s">
        <v>1906</v>
      </c>
      <c r="L2649" s="243" t="s">
        <v>153</v>
      </c>
      <c r="M2649" s="327"/>
      <c r="N2649" s="327"/>
    </row>
    <row r="2650" spans="1:14" ht="15.6" hidden="1">
      <c r="A2650" s="420">
        <v>45929</v>
      </c>
      <c r="B2650" s="346" t="s">
        <v>2822</v>
      </c>
      <c r="C2650" s="406" t="s">
        <v>150</v>
      </c>
      <c r="D2650" s="406" t="s">
        <v>117</v>
      </c>
      <c r="E2650" s="346">
        <v>12500</v>
      </c>
      <c r="F2650" s="407">
        <f t="shared" si="35"/>
        <v>22.283943794545603</v>
      </c>
      <c r="G2650" s="408">
        <v>560.94200000000001</v>
      </c>
      <c r="H2650" s="409" t="s">
        <v>151</v>
      </c>
      <c r="I2650" s="413" t="s">
        <v>2830</v>
      </c>
      <c r="J2650" s="243" t="s">
        <v>96</v>
      </c>
      <c r="K2650" s="243" t="s">
        <v>1906</v>
      </c>
      <c r="L2650" s="243" t="s">
        <v>153</v>
      </c>
      <c r="M2650" s="395"/>
      <c r="N2650" s="395"/>
    </row>
    <row r="2651" spans="1:14" ht="15.6" hidden="1">
      <c r="A2651" s="420">
        <v>45929</v>
      </c>
      <c r="B2651" s="413" t="s">
        <v>2823</v>
      </c>
      <c r="C2651" s="406" t="s">
        <v>2394</v>
      </c>
      <c r="D2651" s="406" t="s">
        <v>117</v>
      </c>
      <c r="E2651" s="346">
        <v>30000</v>
      </c>
      <c r="F2651" s="407">
        <f t="shared" si="35"/>
        <v>53.481465106909447</v>
      </c>
      <c r="G2651" s="408">
        <v>560.94200000000001</v>
      </c>
      <c r="H2651" s="409" t="s">
        <v>151</v>
      </c>
      <c r="I2651" s="413" t="s">
        <v>2824</v>
      </c>
      <c r="J2651" s="243" t="s">
        <v>96</v>
      </c>
      <c r="K2651" s="243" t="s">
        <v>1906</v>
      </c>
      <c r="L2651" s="243" t="s">
        <v>153</v>
      </c>
      <c r="M2651" s="395"/>
      <c r="N2651" s="395"/>
    </row>
    <row r="2652" spans="1:14" ht="15.6" hidden="1">
      <c r="A2652" s="418">
        <v>45929</v>
      </c>
      <c r="B2652" s="243" t="s">
        <v>2854</v>
      </c>
      <c r="C2652" s="239" t="s">
        <v>150</v>
      </c>
      <c r="D2652" s="239" t="s">
        <v>115</v>
      </c>
      <c r="E2652" s="419">
        <v>10000</v>
      </c>
      <c r="F2652" s="407">
        <f t="shared" si="35"/>
        <v>17.827155035636483</v>
      </c>
      <c r="G2652" s="408">
        <v>560.94200000000001</v>
      </c>
      <c r="H2652" s="172" t="s">
        <v>198</v>
      </c>
      <c r="I2652" s="213" t="s">
        <v>2871</v>
      </c>
      <c r="J2652" s="243" t="s">
        <v>96</v>
      </c>
      <c r="K2652" s="243" t="s">
        <v>1906</v>
      </c>
      <c r="L2652" s="243" t="s">
        <v>153</v>
      </c>
      <c r="M2652" s="327"/>
      <c r="N2652" s="327"/>
    </row>
    <row r="2653" spans="1:14" ht="15.6" hidden="1">
      <c r="A2653" s="418">
        <v>45929</v>
      </c>
      <c r="B2653" s="213" t="s">
        <v>2855</v>
      </c>
      <c r="C2653" s="213" t="s">
        <v>2394</v>
      </c>
      <c r="D2653" s="329" t="s">
        <v>115</v>
      </c>
      <c r="E2653" s="419">
        <v>60000</v>
      </c>
      <c r="F2653" s="407">
        <f t="shared" si="35"/>
        <v>106.96293021381889</v>
      </c>
      <c r="G2653" s="408">
        <v>560.94200000000001</v>
      </c>
      <c r="H2653" s="172" t="s">
        <v>198</v>
      </c>
      <c r="I2653" s="213" t="s">
        <v>2872</v>
      </c>
      <c r="J2653" s="243" t="s">
        <v>96</v>
      </c>
      <c r="K2653" s="243" t="s">
        <v>1906</v>
      </c>
      <c r="L2653" s="243" t="s">
        <v>153</v>
      </c>
      <c r="M2653" s="327"/>
      <c r="N2653" s="327"/>
    </row>
    <row r="2654" spans="1:14" ht="15.6" hidden="1">
      <c r="A2654" s="418">
        <v>45929</v>
      </c>
      <c r="B2654" s="213" t="s">
        <v>2856</v>
      </c>
      <c r="C2654" s="213" t="s">
        <v>172</v>
      </c>
      <c r="D2654" s="329" t="s">
        <v>115</v>
      </c>
      <c r="E2654" s="419">
        <v>2500</v>
      </c>
      <c r="F2654" s="407">
        <f t="shared" si="35"/>
        <v>4.4567887589091209</v>
      </c>
      <c r="G2654" s="408">
        <v>560.94200000000001</v>
      </c>
      <c r="H2654" s="172" t="s">
        <v>198</v>
      </c>
      <c r="I2654" s="213" t="s">
        <v>2859</v>
      </c>
      <c r="J2654" s="243" t="s">
        <v>96</v>
      </c>
      <c r="K2654" s="243" t="s">
        <v>1906</v>
      </c>
      <c r="L2654" s="243" t="s">
        <v>153</v>
      </c>
      <c r="M2654" s="327"/>
      <c r="N2654" s="327"/>
    </row>
    <row r="2655" spans="1:14" ht="15.6" hidden="1">
      <c r="A2655" s="411">
        <v>45929</v>
      </c>
      <c r="B2655" s="413" t="s">
        <v>2905</v>
      </c>
      <c r="C2655" s="413" t="s">
        <v>172</v>
      </c>
      <c r="D2655" s="413" t="s">
        <v>116</v>
      </c>
      <c r="E2655" s="414">
        <v>1500</v>
      </c>
      <c r="F2655" s="407">
        <f t="shared" si="35"/>
        <v>2.6740732553454722</v>
      </c>
      <c r="G2655" s="408">
        <v>560.94200000000001</v>
      </c>
      <c r="H2655" s="413" t="s">
        <v>581</v>
      </c>
      <c r="I2655" s="413" t="s">
        <v>2914</v>
      </c>
      <c r="J2655" s="243" t="s">
        <v>96</v>
      </c>
      <c r="K2655" s="243" t="s">
        <v>1906</v>
      </c>
      <c r="L2655" s="243" t="s">
        <v>153</v>
      </c>
      <c r="M2655" s="395"/>
      <c r="N2655" s="395"/>
    </row>
    <row r="2656" spans="1:14" ht="15.6" hidden="1">
      <c r="A2656" s="411">
        <v>45929</v>
      </c>
      <c r="B2656" s="413" t="s">
        <v>2906</v>
      </c>
      <c r="C2656" s="413" t="s">
        <v>172</v>
      </c>
      <c r="D2656" s="413" t="s">
        <v>116</v>
      </c>
      <c r="E2656" s="414">
        <v>500</v>
      </c>
      <c r="F2656" s="407">
        <f t="shared" si="35"/>
        <v>0.89135775178182408</v>
      </c>
      <c r="G2656" s="408">
        <v>560.94200000000001</v>
      </c>
      <c r="H2656" s="413" t="s">
        <v>581</v>
      </c>
      <c r="I2656" s="413" t="s">
        <v>2914</v>
      </c>
      <c r="J2656" s="243" t="s">
        <v>96</v>
      </c>
      <c r="K2656" s="243" t="s">
        <v>1906</v>
      </c>
      <c r="L2656" s="243" t="s">
        <v>153</v>
      </c>
      <c r="M2656" s="395"/>
      <c r="N2656" s="395"/>
    </row>
    <row r="2657" spans="1:14" ht="15.6" hidden="1">
      <c r="A2657" s="411">
        <v>45929</v>
      </c>
      <c r="B2657" s="413" t="s">
        <v>2884</v>
      </c>
      <c r="C2657" s="413" t="s">
        <v>172</v>
      </c>
      <c r="D2657" s="413" t="s">
        <v>116</v>
      </c>
      <c r="E2657" s="414">
        <v>1500</v>
      </c>
      <c r="F2657" s="407">
        <f t="shared" si="35"/>
        <v>2.6740732553454722</v>
      </c>
      <c r="G2657" s="408">
        <v>560.94200000000001</v>
      </c>
      <c r="H2657" s="413" t="s">
        <v>581</v>
      </c>
      <c r="I2657" s="413" t="s">
        <v>2914</v>
      </c>
      <c r="J2657" s="243" t="s">
        <v>96</v>
      </c>
      <c r="K2657" s="243" t="s">
        <v>1906</v>
      </c>
      <c r="L2657" s="243" t="s">
        <v>153</v>
      </c>
      <c r="M2657" s="395"/>
      <c r="N2657" s="395"/>
    </row>
    <row r="2658" spans="1:14" ht="15.6" hidden="1">
      <c r="A2658" s="411">
        <v>45929</v>
      </c>
      <c r="B2658" s="413" t="s">
        <v>2907</v>
      </c>
      <c r="C2658" s="416" t="s">
        <v>150</v>
      </c>
      <c r="D2658" s="413" t="s">
        <v>117</v>
      </c>
      <c r="E2658" s="414">
        <v>7500</v>
      </c>
      <c r="F2658" s="407">
        <f t="shared" si="35"/>
        <v>13.370366276727362</v>
      </c>
      <c r="G2658" s="408">
        <v>560.94200000000001</v>
      </c>
      <c r="H2658" s="413" t="s">
        <v>581</v>
      </c>
      <c r="I2658" s="413" t="s">
        <v>2927</v>
      </c>
      <c r="J2658" s="243" t="s">
        <v>96</v>
      </c>
      <c r="K2658" s="243" t="s">
        <v>1906</v>
      </c>
      <c r="L2658" s="243" t="s">
        <v>153</v>
      </c>
      <c r="M2658" s="395"/>
      <c r="N2658" s="395"/>
    </row>
    <row r="2659" spans="1:14" ht="15.6" hidden="1">
      <c r="A2659" s="418">
        <v>45929</v>
      </c>
      <c r="B2659" s="419" t="s">
        <v>4917</v>
      </c>
      <c r="C2659" s="419" t="s">
        <v>172</v>
      </c>
      <c r="D2659" s="177" t="s">
        <v>440</v>
      </c>
      <c r="E2659" s="419">
        <v>1000</v>
      </c>
      <c r="F2659" s="407">
        <f t="shared" si="35"/>
        <v>1.7827155035636482</v>
      </c>
      <c r="G2659" s="408">
        <v>560.94200000000001</v>
      </c>
      <c r="H2659" s="419" t="s">
        <v>182</v>
      </c>
      <c r="I2659" s="419" t="s">
        <v>2936</v>
      </c>
      <c r="J2659" s="243" t="s">
        <v>96</v>
      </c>
      <c r="K2659" s="243" t="s">
        <v>1906</v>
      </c>
      <c r="L2659" s="243" t="s">
        <v>153</v>
      </c>
      <c r="M2659" s="395"/>
      <c r="N2659" s="395"/>
    </row>
    <row r="2660" spans="1:14" ht="15.6" hidden="1">
      <c r="A2660" s="418">
        <v>45929</v>
      </c>
      <c r="B2660" s="419" t="s">
        <v>4912</v>
      </c>
      <c r="C2660" s="419" t="s">
        <v>172</v>
      </c>
      <c r="D2660" s="177" t="s">
        <v>440</v>
      </c>
      <c r="E2660" s="419">
        <v>1000</v>
      </c>
      <c r="F2660" s="407">
        <f t="shared" si="35"/>
        <v>1.7827155035636482</v>
      </c>
      <c r="G2660" s="408">
        <v>560.94200000000001</v>
      </c>
      <c r="H2660" s="419" t="s">
        <v>182</v>
      </c>
      <c r="I2660" s="419" t="s">
        <v>2936</v>
      </c>
      <c r="J2660" s="243" t="s">
        <v>96</v>
      </c>
      <c r="K2660" s="243" t="s">
        <v>1906</v>
      </c>
      <c r="L2660" s="243" t="s">
        <v>153</v>
      </c>
      <c r="M2660" s="395"/>
      <c r="N2660" s="395"/>
    </row>
    <row r="2661" spans="1:14" ht="15.6" hidden="1">
      <c r="A2661" s="418">
        <v>45929</v>
      </c>
      <c r="B2661" s="419" t="s">
        <v>4954</v>
      </c>
      <c r="C2661" s="419" t="s">
        <v>172</v>
      </c>
      <c r="D2661" s="177" t="s">
        <v>440</v>
      </c>
      <c r="E2661" s="419">
        <v>1000</v>
      </c>
      <c r="F2661" s="407">
        <f t="shared" si="35"/>
        <v>1.7827155035636482</v>
      </c>
      <c r="G2661" s="408">
        <v>560.94200000000001</v>
      </c>
      <c r="H2661" s="419" t="s">
        <v>182</v>
      </c>
      <c r="I2661" s="419" t="s">
        <v>2936</v>
      </c>
      <c r="J2661" s="243" t="s">
        <v>96</v>
      </c>
      <c r="K2661" s="243" t="s">
        <v>1906</v>
      </c>
      <c r="L2661" s="243" t="s">
        <v>153</v>
      </c>
      <c r="M2661" s="395"/>
      <c r="N2661" s="395"/>
    </row>
    <row r="2662" spans="1:14" ht="15.6" hidden="1">
      <c r="A2662" s="418">
        <v>45929</v>
      </c>
      <c r="B2662" s="419" t="s">
        <v>4917</v>
      </c>
      <c r="C2662" s="419" t="s">
        <v>172</v>
      </c>
      <c r="D2662" s="177" t="s">
        <v>440</v>
      </c>
      <c r="E2662" s="419">
        <v>1000</v>
      </c>
      <c r="F2662" s="407">
        <f t="shared" si="35"/>
        <v>1.7827155035636482</v>
      </c>
      <c r="G2662" s="408">
        <v>560.94200000000001</v>
      </c>
      <c r="H2662" s="419" t="s">
        <v>182</v>
      </c>
      <c r="I2662" s="419" t="s">
        <v>2936</v>
      </c>
      <c r="J2662" s="243" t="s">
        <v>96</v>
      </c>
      <c r="K2662" s="243" t="s">
        <v>1906</v>
      </c>
      <c r="L2662" s="243" t="s">
        <v>153</v>
      </c>
      <c r="M2662" s="395"/>
      <c r="N2662" s="395"/>
    </row>
    <row r="2663" spans="1:14" ht="15.6" hidden="1">
      <c r="A2663" s="418">
        <v>45929</v>
      </c>
      <c r="B2663" s="419" t="s">
        <v>4917</v>
      </c>
      <c r="C2663" s="419" t="s">
        <v>172</v>
      </c>
      <c r="D2663" s="177" t="s">
        <v>440</v>
      </c>
      <c r="E2663" s="419">
        <v>1000</v>
      </c>
      <c r="F2663" s="407">
        <f t="shared" si="35"/>
        <v>1.7827155035636482</v>
      </c>
      <c r="G2663" s="408">
        <v>560.94200000000001</v>
      </c>
      <c r="H2663" s="419" t="s">
        <v>182</v>
      </c>
      <c r="I2663" s="419" t="s">
        <v>2936</v>
      </c>
      <c r="J2663" s="243" t="s">
        <v>96</v>
      </c>
      <c r="K2663" s="243" t="s">
        <v>1906</v>
      </c>
      <c r="L2663" s="243" t="s">
        <v>153</v>
      </c>
      <c r="M2663" s="395"/>
      <c r="N2663" s="395"/>
    </row>
    <row r="2664" spans="1:14" ht="15.6" hidden="1">
      <c r="A2664" s="418">
        <v>45929</v>
      </c>
      <c r="B2664" s="419" t="s">
        <v>4912</v>
      </c>
      <c r="C2664" s="419" t="s">
        <v>172</v>
      </c>
      <c r="D2664" s="177" t="s">
        <v>440</v>
      </c>
      <c r="E2664" s="419">
        <v>1000</v>
      </c>
      <c r="F2664" s="407">
        <f t="shared" si="35"/>
        <v>1.7827155035636482</v>
      </c>
      <c r="G2664" s="408">
        <v>560.94200000000001</v>
      </c>
      <c r="H2664" s="419" t="s">
        <v>182</v>
      </c>
      <c r="I2664" s="419" t="s">
        <v>2936</v>
      </c>
      <c r="J2664" s="243" t="s">
        <v>96</v>
      </c>
      <c r="K2664" s="243" t="s">
        <v>1906</v>
      </c>
      <c r="L2664" s="243" t="s">
        <v>153</v>
      </c>
      <c r="M2664" s="395"/>
      <c r="N2664" s="395"/>
    </row>
    <row r="2665" spans="1:14" ht="15.6" hidden="1">
      <c r="A2665" s="418">
        <v>45929</v>
      </c>
      <c r="B2665" s="331" t="s">
        <v>2934</v>
      </c>
      <c r="C2665" s="331" t="s">
        <v>150</v>
      </c>
      <c r="D2665" s="177" t="s">
        <v>440</v>
      </c>
      <c r="E2665" s="419">
        <v>10000</v>
      </c>
      <c r="F2665" s="407">
        <f t="shared" si="35"/>
        <v>17.827155035636483</v>
      </c>
      <c r="G2665" s="408">
        <v>560.94200000000001</v>
      </c>
      <c r="H2665" s="419" t="s">
        <v>182</v>
      </c>
      <c r="I2665" s="419" t="s">
        <v>2947</v>
      </c>
      <c r="J2665" s="243" t="s">
        <v>96</v>
      </c>
      <c r="K2665" s="243" t="s">
        <v>1906</v>
      </c>
      <c r="L2665" s="243" t="s">
        <v>153</v>
      </c>
      <c r="M2665" s="327"/>
      <c r="N2665" s="327"/>
    </row>
    <row r="2666" spans="1:14" ht="15.6" hidden="1">
      <c r="A2666" s="420">
        <v>45929</v>
      </c>
      <c r="B2666" s="413" t="s">
        <v>4955</v>
      </c>
      <c r="C2666" s="413" t="s">
        <v>172</v>
      </c>
      <c r="D2666" s="177" t="s">
        <v>440</v>
      </c>
      <c r="E2666" s="413">
        <v>1000</v>
      </c>
      <c r="F2666" s="407">
        <f t="shared" si="35"/>
        <v>1.7827155035636482</v>
      </c>
      <c r="G2666" s="408">
        <v>560.94200000000001</v>
      </c>
      <c r="H2666" s="413" t="s">
        <v>173</v>
      </c>
      <c r="I2666" s="413" t="s">
        <v>2959</v>
      </c>
      <c r="J2666" s="243" t="s">
        <v>96</v>
      </c>
      <c r="K2666" s="243" t="s">
        <v>1906</v>
      </c>
      <c r="L2666" s="243" t="s">
        <v>153</v>
      </c>
      <c r="M2666" s="327"/>
      <c r="N2666" s="327"/>
    </row>
    <row r="2667" spans="1:14" ht="15.6" hidden="1">
      <c r="A2667" s="420">
        <v>45929</v>
      </c>
      <c r="B2667" s="413" t="s">
        <v>4955</v>
      </c>
      <c r="C2667" s="413" t="s">
        <v>172</v>
      </c>
      <c r="D2667" s="177" t="s">
        <v>440</v>
      </c>
      <c r="E2667" s="413">
        <v>1000</v>
      </c>
      <c r="F2667" s="407">
        <f t="shared" si="35"/>
        <v>1.7827155035636482</v>
      </c>
      <c r="G2667" s="408">
        <v>560.94200000000001</v>
      </c>
      <c r="H2667" s="413" t="s">
        <v>173</v>
      </c>
      <c r="I2667" s="413" t="s">
        <v>2959</v>
      </c>
      <c r="J2667" s="243" t="s">
        <v>96</v>
      </c>
      <c r="K2667" s="243" t="s">
        <v>1906</v>
      </c>
      <c r="L2667" s="243" t="s">
        <v>153</v>
      </c>
      <c r="M2667" s="327"/>
      <c r="N2667" s="327"/>
    </row>
    <row r="2668" spans="1:14" ht="15.6" hidden="1">
      <c r="A2668" s="420">
        <v>45929</v>
      </c>
      <c r="B2668" s="413" t="s">
        <v>4955</v>
      </c>
      <c r="C2668" s="413" t="s">
        <v>172</v>
      </c>
      <c r="D2668" s="177" t="s">
        <v>440</v>
      </c>
      <c r="E2668" s="413">
        <v>1000</v>
      </c>
      <c r="F2668" s="407">
        <f t="shared" si="35"/>
        <v>1.7827155035636482</v>
      </c>
      <c r="G2668" s="408">
        <v>560.94200000000001</v>
      </c>
      <c r="H2668" s="413" t="s">
        <v>173</v>
      </c>
      <c r="I2668" s="413" t="s">
        <v>2959</v>
      </c>
      <c r="J2668" s="243" t="s">
        <v>96</v>
      </c>
      <c r="K2668" s="243" t="s">
        <v>1906</v>
      </c>
      <c r="L2668" s="243" t="s">
        <v>153</v>
      </c>
      <c r="M2668" s="327"/>
      <c r="N2668" s="327"/>
    </row>
    <row r="2669" spans="1:14" ht="15.6" hidden="1">
      <c r="A2669" s="420">
        <v>45929</v>
      </c>
      <c r="B2669" s="413" t="s">
        <v>4955</v>
      </c>
      <c r="C2669" s="413" t="s">
        <v>172</v>
      </c>
      <c r="D2669" s="177" t="s">
        <v>440</v>
      </c>
      <c r="E2669" s="413">
        <v>1000</v>
      </c>
      <c r="F2669" s="407">
        <f t="shared" si="35"/>
        <v>1.7827155035636482</v>
      </c>
      <c r="G2669" s="408">
        <v>560.94200000000001</v>
      </c>
      <c r="H2669" s="413" t="s">
        <v>173</v>
      </c>
      <c r="I2669" s="413" t="s">
        <v>2959</v>
      </c>
      <c r="J2669" s="243" t="s">
        <v>96</v>
      </c>
      <c r="K2669" s="243" t="s">
        <v>1906</v>
      </c>
      <c r="L2669" s="243" t="s">
        <v>153</v>
      </c>
      <c r="M2669" s="327"/>
      <c r="N2669" s="327"/>
    </row>
    <row r="2670" spans="1:14" ht="15.6" hidden="1">
      <c r="A2670" s="420">
        <v>45929</v>
      </c>
      <c r="B2670" s="413" t="s">
        <v>4955</v>
      </c>
      <c r="C2670" s="413" t="s">
        <v>172</v>
      </c>
      <c r="D2670" s="177" t="s">
        <v>440</v>
      </c>
      <c r="E2670" s="413">
        <v>1000</v>
      </c>
      <c r="F2670" s="407">
        <f t="shared" si="35"/>
        <v>1.7827155035636482</v>
      </c>
      <c r="G2670" s="408">
        <v>560.94200000000001</v>
      </c>
      <c r="H2670" s="413" t="s">
        <v>173</v>
      </c>
      <c r="I2670" s="413" t="s">
        <v>2959</v>
      </c>
      <c r="J2670" s="243" t="s">
        <v>96</v>
      </c>
      <c r="K2670" s="243" t="s">
        <v>1906</v>
      </c>
      <c r="L2670" s="243" t="s">
        <v>153</v>
      </c>
      <c r="M2670" s="177"/>
      <c r="N2670" s="177"/>
    </row>
    <row r="2671" spans="1:14" ht="15.6" hidden="1">
      <c r="A2671" s="420">
        <v>45929</v>
      </c>
      <c r="B2671" s="413" t="s">
        <v>4956</v>
      </c>
      <c r="C2671" s="413" t="s">
        <v>366</v>
      </c>
      <c r="D2671" s="177" t="s">
        <v>440</v>
      </c>
      <c r="E2671" s="413">
        <v>12500</v>
      </c>
      <c r="F2671" s="407">
        <f t="shared" si="35"/>
        <v>22.283943794545603</v>
      </c>
      <c r="G2671" s="408">
        <v>560.94200000000001</v>
      </c>
      <c r="H2671" s="413" t="s">
        <v>173</v>
      </c>
      <c r="I2671" s="413" t="s">
        <v>2963</v>
      </c>
      <c r="J2671" s="243" t="s">
        <v>96</v>
      </c>
      <c r="K2671" s="243" t="s">
        <v>1906</v>
      </c>
      <c r="L2671" s="243" t="s">
        <v>153</v>
      </c>
      <c r="M2671" s="395"/>
      <c r="N2671" s="395"/>
    </row>
    <row r="2672" spans="1:14" ht="15.6" hidden="1">
      <c r="A2672" s="420">
        <v>45929</v>
      </c>
      <c r="B2672" s="331" t="s">
        <v>2956</v>
      </c>
      <c r="C2672" s="331" t="s">
        <v>150</v>
      </c>
      <c r="D2672" s="177" t="s">
        <v>440</v>
      </c>
      <c r="E2672" s="413">
        <v>10000</v>
      </c>
      <c r="F2672" s="407">
        <f t="shared" si="35"/>
        <v>17.827155035636483</v>
      </c>
      <c r="G2672" s="408">
        <v>560.94200000000001</v>
      </c>
      <c r="H2672" s="413" t="s">
        <v>173</v>
      </c>
      <c r="I2672" s="413" t="s">
        <v>2970</v>
      </c>
      <c r="J2672" s="243" t="s">
        <v>96</v>
      </c>
      <c r="K2672" s="243" t="s">
        <v>1906</v>
      </c>
      <c r="L2672" s="243" t="s">
        <v>153</v>
      </c>
      <c r="M2672" s="395"/>
      <c r="N2672" s="395"/>
    </row>
    <row r="2673" spans="1:14" ht="15.6" hidden="1">
      <c r="A2673" s="420">
        <v>45929</v>
      </c>
      <c r="B2673" s="413" t="s">
        <v>2974</v>
      </c>
      <c r="C2673" s="413" t="s">
        <v>150</v>
      </c>
      <c r="D2673" s="177" t="s">
        <v>440</v>
      </c>
      <c r="E2673" s="413">
        <v>10000</v>
      </c>
      <c r="F2673" s="407">
        <f t="shared" si="35"/>
        <v>17.827155035636483</v>
      </c>
      <c r="G2673" s="408">
        <v>560.94200000000001</v>
      </c>
      <c r="H2673" s="413" t="s">
        <v>315</v>
      </c>
      <c r="I2673" s="243" t="s">
        <v>2987</v>
      </c>
      <c r="J2673" s="243" t="s">
        <v>96</v>
      </c>
      <c r="K2673" s="243" t="s">
        <v>1906</v>
      </c>
      <c r="L2673" s="243" t="s">
        <v>153</v>
      </c>
      <c r="M2673" s="327"/>
      <c r="N2673" s="327"/>
    </row>
    <row r="2674" spans="1:14" ht="15.6" hidden="1">
      <c r="A2674" s="420">
        <v>45929</v>
      </c>
      <c r="B2674" s="413" t="s">
        <v>2991</v>
      </c>
      <c r="C2674" s="413" t="s">
        <v>150</v>
      </c>
      <c r="D2674" s="177" t="s">
        <v>440</v>
      </c>
      <c r="E2674" s="416">
        <v>10000</v>
      </c>
      <c r="F2674" s="407">
        <f t="shared" si="35"/>
        <v>17.827155035636483</v>
      </c>
      <c r="G2674" s="408">
        <v>560.94200000000001</v>
      </c>
      <c r="H2674" s="413" t="s">
        <v>321</v>
      </c>
      <c r="I2674" s="413" t="s">
        <v>2996</v>
      </c>
      <c r="J2674" s="243" t="s">
        <v>96</v>
      </c>
      <c r="K2674" s="243" t="s">
        <v>1906</v>
      </c>
      <c r="L2674" s="243" t="s">
        <v>153</v>
      </c>
      <c r="M2674" s="327"/>
      <c r="N2674" s="327"/>
    </row>
    <row r="2675" spans="1:14" ht="15.6" hidden="1">
      <c r="A2675" s="420">
        <v>45929</v>
      </c>
      <c r="B2675" s="413" t="s">
        <v>3014</v>
      </c>
      <c r="C2675" s="413" t="s">
        <v>150</v>
      </c>
      <c r="D2675" s="413" t="s">
        <v>115</v>
      </c>
      <c r="E2675" s="414">
        <v>7500</v>
      </c>
      <c r="F2675" s="407">
        <f t="shared" si="35"/>
        <v>13.370366276727362</v>
      </c>
      <c r="G2675" s="408">
        <v>560.94200000000001</v>
      </c>
      <c r="H2675" s="413" t="s">
        <v>188</v>
      </c>
      <c r="I2675" s="243" t="s">
        <v>3024</v>
      </c>
      <c r="J2675" s="243" t="s">
        <v>96</v>
      </c>
      <c r="K2675" s="243" t="s">
        <v>1906</v>
      </c>
      <c r="L2675" s="243" t="s">
        <v>153</v>
      </c>
      <c r="M2675" s="125"/>
      <c r="N2675" s="125"/>
    </row>
    <row r="2676" spans="1:14" ht="15.6" hidden="1">
      <c r="A2676" s="415">
        <v>45929</v>
      </c>
      <c r="B2676" s="413" t="s">
        <v>3051</v>
      </c>
      <c r="C2676" s="413" t="s">
        <v>150</v>
      </c>
      <c r="D2676" s="243" t="s">
        <v>115</v>
      </c>
      <c r="E2676" s="412">
        <v>7500</v>
      </c>
      <c r="F2676" s="407">
        <f t="shared" si="35"/>
        <v>13.370366276727362</v>
      </c>
      <c r="G2676" s="408">
        <v>560.94200000000001</v>
      </c>
      <c r="H2676" s="243" t="s">
        <v>191</v>
      </c>
      <c r="I2676" s="413" t="s">
        <v>3063</v>
      </c>
      <c r="J2676" s="243" t="s">
        <v>96</v>
      </c>
      <c r="K2676" s="243" t="s">
        <v>1906</v>
      </c>
      <c r="L2676" s="243" t="s">
        <v>153</v>
      </c>
      <c r="M2676" s="76"/>
      <c r="N2676" s="76"/>
    </row>
    <row r="2677" spans="1:14" ht="15.6" hidden="1">
      <c r="A2677" s="405">
        <v>45929</v>
      </c>
      <c r="B2677" s="413" t="s">
        <v>3097</v>
      </c>
      <c r="C2677" s="239" t="s">
        <v>194</v>
      </c>
      <c r="D2677" s="239" t="s">
        <v>115</v>
      </c>
      <c r="E2677" s="422">
        <v>1000</v>
      </c>
      <c r="F2677" s="407">
        <f t="shared" si="35"/>
        <v>1.7827155035636482</v>
      </c>
      <c r="G2677" s="408">
        <v>560.94200000000001</v>
      </c>
      <c r="H2677" s="252" t="s">
        <v>195</v>
      </c>
      <c r="I2677" s="413" t="s">
        <v>3101</v>
      </c>
      <c r="J2677" s="243" t="s">
        <v>96</v>
      </c>
      <c r="K2677" s="243" t="s">
        <v>1906</v>
      </c>
      <c r="L2677" s="243" t="s">
        <v>153</v>
      </c>
      <c r="M2677" s="76"/>
      <c r="N2677" s="76"/>
    </row>
    <row r="2678" spans="1:14" ht="15.6" hidden="1">
      <c r="A2678" s="405">
        <v>45929</v>
      </c>
      <c r="B2678" s="243" t="s">
        <v>3098</v>
      </c>
      <c r="C2678" s="239" t="s">
        <v>150</v>
      </c>
      <c r="D2678" s="239" t="s">
        <v>115</v>
      </c>
      <c r="E2678" s="422">
        <v>10000</v>
      </c>
      <c r="F2678" s="407">
        <f t="shared" si="35"/>
        <v>17.827155035636483</v>
      </c>
      <c r="G2678" s="408">
        <v>560.94200000000001</v>
      </c>
      <c r="H2678" s="252" t="s">
        <v>195</v>
      </c>
      <c r="I2678" s="413" t="s">
        <v>3111</v>
      </c>
      <c r="J2678" s="243" t="s">
        <v>96</v>
      </c>
      <c r="K2678" s="243" t="s">
        <v>1906</v>
      </c>
      <c r="L2678" s="243" t="s">
        <v>153</v>
      </c>
      <c r="M2678" s="76"/>
      <c r="N2678" s="76"/>
    </row>
    <row r="2679" spans="1:14" ht="15.6" hidden="1">
      <c r="A2679" s="405">
        <v>45929</v>
      </c>
      <c r="B2679" s="413" t="s">
        <v>3099</v>
      </c>
      <c r="C2679" s="239" t="s">
        <v>194</v>
      </c>
      <c r="D2679" s="239" t="s">
        <v>115</v>
      </c>
      <c r="E2679" s="422">
        <v>1000</v>
      </c>
      <c r="F2679" s="407">
        <f t="shared" si="35"/>
        <v>1.7827155035636482</v>
      </c>
      <c r="G2679" s="408">
        <v>560.94200000000001</v>
      </c>
      <c r="H2679" s="252" t="s">
        <v>195</v>
      </c>
      <c r="I2679" s="413" t="s">
        <v>3101</v>
      </c>
      <c r="J2679" s="243" t="s">
        <v>96</v>
      </c>
      <c r="K2679" s="243" t="s">
        <v>1906</v>
      </c>
      <c r="L2679" s="243" t="s">
        <v>153</v>
      </c>
      <c r="M2679" s="76"/>
      <c r="N2679" s="76"/>
    </row>
    <row r="2680" spans="1:14" ht="15.6" hidden="1">
      <c r="A2680" s="405">
        <v>45929</v>
      </c>
      <c r="B2680" s="243" t="s">
        <v>3100</v>
      </c>
      <c r="C2680" s="243" t="s">
        <v>175</v>
      </c>
      <c r="D2680" s="243" t="s">
        <v>115</v>
      </c>
      <c r="E2680" s="422">
        <v>60000</v>
      </c>
      <c r="F2680" s="407">
        <f t="shared" si="35"/>
        <v>106.96293021381889</v>
      </c>
      <c r="G2680" s="408">
        <v>560.94200000000001</v>
      </c>
      <c r="H2680" s="252" t="s">
        <v>195</v>
      </c>
      <c r="I2680" s="413" t="s">
        <v>3112</v>
      </c>
      <c r="J2680" s="243" t="s">
        <v>96</v>
      </c>
      <c r="K2680" s="243" t="s">
        <v>1906</v>
      </c>
      <c r="L2680" s="243" t="s">
        <v>153</v>
      </c>
      <c r="M2680" s="76"/>
      <c r="N2680" s="76"/>
    </row>
    <row r="2681" spans="1:14" ht="15.6" hidden="1">
      <c r="A2681" s="420">
        <v>45929</v>
      </c>
      <c r="B2681" s="413" t="s">
        <v>3150</v>
      </c>
      <c r="C2681" s="413" t="s">
        <v>172</v>
      </c>
      <c r="D2681" s="413" t="s">
        <v>118</v>
      </c>
      <c r="E2681" s="416">
        <v>1000</v>
      </c>
      <c r="F2681" s="407">
        <f t="shared" si="35"/>
        <v>1.7827155035636482</v>
      </c>
      <c r="G2681" s="408">
        <v>560.94200000000001</v>
      </c>
      <c r="H2681" s="413" t="s">
        <v>211</v>
      </c>
      <c r="I2681" s="413" t="s">
        <v>3154</v>
      </c>
      <c r="J2681" s="243" t="s">
        <v>96</v>
      </c>
      <c r="K2681" s="243" t="s">
        <v>1906</v>
      </c>
      <c r="L2681" s="243" t="s">
        <v>153</v>
      </c>
      <c r="M2681" s="76"/>
      <c r="N2681" s="76"/>
    </row>
    <row r="2682" spans="1:14" ht="15.6" hidden="1">
      <c r="A2682" s="420">
        <v>45929</v>
      </c>
      <c r="B2682" s="243" t="s">
        <v>3151</v>
      </c>
      <c r="C2682" s="239" t="s">
        <v>150</v>
      </c>
      <c r="D2682" s="413" t="s">
        <v>118</v>
      </c>
      <c r="E2682" s="416">
        <v>10000</v>
      </c>
      <c r="F2682" s="407">
        <f t="shared" si="35"/>
        <v>17.827155035636483</v>
      </c>
      <c r="G2682" s="408">
        <v>560.94200000000001</v>
      </c>
      <c r="H2682" s="413" t="s">
        <v>211</v>
      </c>
      <c r="I2682" s="413" t="s">
        <v>3166</v>
      </c>
      <c r="J2682" s="243" t="s">
        <v>96</v>
      </c>
      <c r="K2682" s="243" t="s">
        <v>1906</v>
      </c>
      <c r="L2682" s="243" t="s">
        <v>153</v>
      </c>
      <c r="M2682" s="76"/>
      <c r="N2682" s="76"/>
    </row>
    <row r="2683" spans="1:14" ht="15.6" hidden="1">
      <c r="A2683" s="420">
        <v>45929</v>
      </c>
      <c r="B2683" s="413" t="s">
        <v>3220</v>
      </c>
      <c r="C2683" s="413" t="s">
        <v>175</v>
      </c>
      <c r="D2683" s="413" t="s">
        <v>118</v>
      </c>
      <c r="E2683" s="416">
        <v>60000</v>
      </c>
      <c r="F2683" s="407">
        <f t="shared" si="35"/>
        <v>106.96293021381889</v>
      </c>
      <c r="G2683" s="408">
        <v>560.94200000000001</v>
      </c>
      <c r="H2683" s="413" t="s">
        <v>211</v>
      </c>
      <c r="I2683" s="413" t="s">
        <v>3167</v>
      </c>
      <c r="J2683" s="243" t="s">
        <v>96</v>
      </c>
      <c r="K2683" s="243" t="s">
        <v>1906</v>
      </c>
      <c r="L2683" s="243" t="s">
        <v>153</v>
      </c>
      <c r="M2683" s="76"/>
      <c r="N2683" s="76"/>
    </row>
    <row r="2684" spans="1:14" ht="15.6" hidden="1">
      <c r="A2684" s="420">
        <v>45929</v>
      </c>
      <c r="B2684" s="413" t="s">
        <v>3181</v>
      </c>
      <c r="C2684" s="413" t="s">
        <v>172</v>
      </c>
      <c r="D2684" s="413" t="s">
        <v>115</v>
      </c>
      <c r="E2684" s="413">
        <v>1500</v>
      </c>
      <c r="F2684" s="407">
        <f t="shared" si="35"/>
        <v>2.6740732553454722</v>
      </c>
      <c r="G2684" s="408">
        <v>560.94200000000001</v>
      </c>
      <c r="H2684" s="413" t="s">
        <v>185</v>
      </c>
      <c r="I2684" s="413" t="s">
        <v>3185</v>
      </c>
      <c r="J2684" s="243" t="s">
        <v>96</v>
      </c>
      <c r="K2684" s="243" t="s">
        <v>1906</v>
      </c>
      <c r="L2684" s="243" t="s">
        <v>153</v>
      </c>
      <c r="M2684" s="76"/>
      <c r="N2684" s="76"/>
    </row>
    <row r="2685" spans="1:14" ht="15.6" hidden="1">
      <c r="A2685" s="420">
        <v>45929</v>
      </c>
      <c r="B2685" s="413" t="s">
        <v>3182</v>
      </c>
      <c r="C2685" s="413" t="s">
        <v>172</v>
      </c>
      <c r="D2685" s="413" t="s">
        <v>115</v>
      </c>
      <c r="E2685" s="413">
        <v>1500</v>
      </c>
      <c r="F2685" s="407">
        <f t="shared" si="35"/>
        <v>2.6740732553454722</v>
      </c>
      <c r="G2685" s="408">
        <v>560.94200000000001</v>
      </c>
      <c r="H2685" s="413" t="s">
        <v>185</v>
      </c>
      <c r="I2685" s="413" t="s">
        <v>3185</v>
      </c>
      <c r="J2685" s="243" t="s">
        <v>96</v>
      </c>
      <c r="K2685" s="243" t="s">
        <v>1906</v>
      </c>
      <c r="L2685" s="243" t="s">
        <v>153</v>
      </c>
      <c r="M2685" s="76"/>
      <c r="N2685" s="76"/>
    </row>
    <row r="2686" spans="1:14" ht="15.6" hidden="1">
      <c r="A2686" s="415">
        <v>45929</v>
      </c>
      <c r="B2686" s="413" t="s">
        <v>3007</v>
      </c>
      <c r="C2686" s="413" t="s">
        <v>170</v>
      </c>
      <c r="D2686" s="413" t="s">
        <v>116</v>
      </c>
      <c r="E2686" s="412">
        <v>15625</v>
      </c>
      <c r="F2686" s="407">
        <f t="shared" si="35"/>
        <v>27.854929743182005</v>
      </c>
      <c r="G2686" s="408">
        <v>560.94200000000001</v>
      </c>
      <c r="H2686" s="243" t="s">
        <v>185</v>
      </c>
      <c r="I2686" s="243" t="s">
        <v>3193</v>
      </c>
      <c r="J2686" s="243" t="s">
        <v>96</v>
      </c>
      <c r="K2686" s="243" t="s">
        <v>1906</v>
      </c>
      <c r="L2686" s="243" t="s">
        <v>153</v>
      </c>
      <c r="M2686" s="76"/>
      <c r="N2686" s="76"/>
    </row>
    <row r="2687" spans="1:14" ht="15.6" hidden="1">
      <c r="A2687" s="420">
        <v>45929</v>
      </c>
      <c r="B2687" s="413" t="s">
        <v>3183</v>
      </c>
      <c r="C2687" s="413" t="s">
        <v>150</v>
      </c>
      <c r="D2687" s="413" t="s">
        <v>115</v>
      </c>
      <c r="E2687" s="413">
        <v>7500</v>
      </c>
      <c r="F2687" s="407">
        <f t="shared" si="35"/>
        <v>13.370366276727362</v>
      </c>
      <c r="G2687" s="408">
        <v>560.94200000000001</v>
      </c>
      <c r="H2687" s="413" t="s">
        <v>185</v>
      </c>
      <c r="I2687" s="413" t="s">
        <v>3194</v>
      </c>
      <c r="J2687" s="243" t="s">
        <v>96</v>
      </c>
      <c r="K2687" s="243" t="s">
        <v>1906</v>
      </c>
      <c r="L2687" s="243" t="s">
        <v>153</v>
      </c>
      <c r="M2687" s="76"/>
      <c r="N2687" s="76"/>
    </row>
    <row r="2688" spans="1:14" ht="15.6" hidden="1">
      <c r="A2688" s="420">
        <v>45929</v>
      </c>
      <c r="B2688" s="431" t="s">
        <v>3200</v>
      </c>
      <c r="C2688" s="243" t="s">
        <v>123</v>
      </c>
      <c r="D2688" s="430"/>
      <c r="E2688" s="412"/>
      <c r="F2688" s="407">
        <f t="shared" si="35"/>
        <v>0</v>
      </c>
      <c r="G2688" s="408">
        <f>6402038/12000</f>
        <v>533.50316666666663</v>
      </c>
      <c r="H2688" s="410" t="s">
        <v>146</v>
      </c>
      <c r="I2688" s="423" t="s">
        <v>3209</v>
      </c>
      <c r="J2688" s="243" t="s">
        <v>96</v>
      </c>
      <c r="K2688" s="243" t="s">
        <v>1906</v>
      </c>
      <c r="L2688" s="243" t="s">
        <v>153</v>
      </c>
      <c r="M2688" s="317">
        <v>266752</v>
      </c>
      <c r="N2688" s="76">
        <v>500</v>
      </c>
    </row>
    <row r="2689" spans="1:14" ht="15.6" hidden="1">
      <c r="A2689" s="420">
        <v>45929</v>
      </c>
      <c r="B2689" s="431" t="s">
        <v>3201</v>
      </c>
      <c r="C2689" s="243" t="s">
        <v>123</v>
      </c>
      <c r="D2689" s="433"/>
      <c r="E2689" s="412"/>
      <c r="F2689" s="407">
        <f t="shared" si="35"/>
        <v>0</v>
      </c>
      <c r="G2689" s="408">
        <f>+M2689/5500</f>
        <v>533.50309090909093</v>
      </c>
      <c r="H2689" s="410" t="s">
        <v>146</v>
      </c>
      <c r="I2689" s="423" t="s">
        <v>3210</v>
      </c>
      <c r="J2689" s="243" t="s">
        <v>96</v>
      </c>
      <c r="K2689" s="243" t="s">
        <v>2102</v>
      </c>
      <c r="L2689" s="243" t="s">
        <v>153</v>
      </c>
      <c r="M2689" s="120">
        <v>2934267</v>
      </c>
      <c r="N2689" s="76">
        <v>5500</v>
      </c>
    </row>
    <row r="2690" spans="1:14" ht="15.6" hidden="1">
      <c r="A2690" s="420">
        <v>45929</v>
      </c>
      <c r="B2690" s="431" t="s">
        <v>3202</v>
      </c>
      <c r="C2690" s="243" t="s">
        <v>123</v>
      </c>
      <c r="D2690" s="433"/>
      <c r="E2690" s="414"/>
      <c r="F2690" s="407">
        <f t="shared" si="35"/>
        <v>0</v>
      </c>
      <c r="G2690" s="408">
        <f>+M2690/6000</f>
        <v>533.50316666666663</v>
      </c>
      <c r="H2690" s="410" t="s">
        <v>146</v>
      </c>
      <c r="I2690" s="423" t="s">
        <v>3211</v>
      </c>
      <c r="J2690" s="243" t="s">
        <v>96</v>
      </c>
      <c r="K2690" s="243" t="s">
        <v>1137</v>
      </c>
      <c r="L2690" s="243" t="s">
        <v>153</v>
      </c>
      <c r="M2690" s="120">
        <v>3201019</v>
      </c>
      <c r="N2690" s="76">
        <v>6000</v>
      </c>
    </row>
    <row r="2691" spans="1:14" ht="15.6" hidden="1">
      <c r="A2691" s="411">
        <v>45930</v>
      </c>
      <c r="B2691" s="413" t="s">
        <v>2886</v>
      </c>
      <c r="C2691" s="413" t="s">
        <v>172</v>
      </c>
      <c r="D2691" s="413" t="s">
        <v>116</v>
      </c>
      <c r="E2691" s="414">
        <v>1000</v>
      </c>
      <c r="F2691" s="407">
        <f t="shared" si="35"/>
        <v>1.7827155035636482</v>
      </c>
      <c r="G2691" s="408">
        <v>560.94200000000001</v>
      </c>
      <c r="H2691" s="413" t="s">
        <v>581</v>
      </c>
      <c r="I2691" s="413" t="s">
        <v>2914</v>
      </c>
      <c r="J2691" s="243" t="s">
        <v>96</v>
      </c>
      <c r="K2691" s="243" t="s">
        <v>1906</v>
      </c>
      <c r="L2691" s="243" t="s">
        <v>153</v>
      </c>
      <c r="M2691" s="395"/>
      <c r="N2691" s="395"/>
    </row>
    <row r="2692" spans="1:14" ht="15.6" hidden="1">
      <c r="A2692" s="411">
        <v>45930</v>
      </c>
      <c r="B2692" s="413" t="s">
        <v>2908</v>
      </c>
      <c r="C2692" s="413" t="s">
        <v>172</v>
      </c>
      <c r="D2692" s="413" t="s">
        <v>116</v>
      </c>
      <c r="E2692" s="414">
        <v>500</v>
      </c>
      <c r="F2692" s="407">
        <f t="shared" si="35"/>
        <v>0.89135775178182408</v>
      </c>
      <c r="G2692" s="408">
        <v>560.94200000000001</v>
      </c>
      <c r="H2692" s="413" t="s">
        <v>581</v>
      </c>
      <c r="I2692" s="413" t="s">
        <v>2914</v>
      </c>
      <c r="J2692" s="243" t="s">
        <v>96</v>
      </c>
      <c r="K2692" s="243" t="s">
        <v>1906</v>
      </c>
      <c r="L2692" s="243" t="s">
        <v>153</v>
      </c>
      <c r="M2692" s="395"/>
      <c r="N2692" s="395"/>
    </row>
    <row r="2693" spans="1:14" ht="15.6" hidden="1">
      <c r="A2693" s="411">
        <v>45930</v>
      </c>
      <c r="B2693" s="413" t="s">
        <v>2909</v>
      </c>
      <c r="C2693" s="413" t="s">
        <v>172</v>
      </c>
      <c r="D2693" s="413" t="s">
        <v>116</v>
      </c>
      <c r="E2693" s="414">
        <v>1000</v>
      </c>
      <c r="F2693" s="407">
        <f t="shared" si="35"/>
        <v>1.7827155035636482</v>
      </c>
      <c r="G2693" s="408">
        <v>560.94200000000001</v>
      </c>
      <c r="H2693" s="413" t="s">
        <v>581</v>
      </c>
      <c r="I2693" s="413" t="s">
        <v>2914</v>
      </c>
      <c r="J2693" s="243" t="s">
        <v>96</v>
      </c>
      <c r="K2693" s="243" t="s">
        <v>1906</v>
      </c>
      <c r="L2693" s="243" t="s">
        <v>153</v>
      </c>
      <c r="M2693" s="395"/>
      <c r="N2693" s="395"/>
    </row>
    <row r="2694" spans="1:14" ht="15.6" hidden="1">
      <c r="A2694" s="411">
        <v>45930</v>
      </c>
      <c r="B2694" s="243" t="s">
        <v>2910</v>
      </c>
      <c r="C2694" s="243" t="s">
        <v>172</v>
      </c>
      <c r="D2694" s="243" t="s">
        <v>116</v>
      </c>
      <c r="E2694" s="412">
        <v>1000</v>
      </c>
      <c r="F2694" s="407">
        <f t="shared" si="35"/>
        <v>1.7827155035636482</v>
      </c>
      <c r="G2694" s="408">
        <v>560.94200000000001</v>
      </c>
      <c r="H2694" s="413" t="s">
        <v>581</v>
      </c>
      <c r="I2694" s="413" t="s">
        <v>2914</v>
      </c>
      <c r="J2694" s="243" t="s">
        <v>96</v>
      </c>
      <c r="K2694" s="243" t="s">
        <v>1906</v>
      </c>
      <c r="L2694" s="243" t="s">
        <v>153</v>
      </c>
      <c r="M2694" s="327"/>
      <c r="N2694" s="327"/>
    </row>
    <row r="2695" spans="1:14" ht="15.6" hidden="1">
      <c r="A2695" s="415">
        <v>45930</v>
      </c>
      <c r="B2695" s="243" t="s">
        <v>2911</v>
      </c>
      <c r="C2695" s="413" t="s">
        <v>180</v>
      </c>
      <c r="D2695" s="413" t="s">
        <v>116</v>
      </c>
      <c r="E2695" s="412">
        <v>122074</v>
      </c>
      <c r="F2695" s="407">
        <f t="shared" si="35"/>
        <v>217.62321238202881</v>
      </c>
      <c r="G2695" s="408">
        <v>560.94200000000001</v>
      </c>
      <c r="H2695" s="243" t="s">
        <v>581</v>
      </c>
      <c r="I2695" s="243" t="s">
        <v>2928</v>
      </c>
      <c r="J2695" s="243" t="s">
        <v>96</v>
      </c>
      <c r="K2695" s="243" t="s">
        <v>1906</v>
      </c>
      <c r="L2695" s="243" t="s">
        <v>153</v>
      </c>
      <c r="M2695" s="395"/>
      <c r="N2695" s="395"/>
    </row>
    <row r="2696" spans="1:14" ht="15.6" hidden="1">
      <c r="A2696" s="415">
        <v>45930</v>
      </c>
      <c r="B2696" s="243" t="s">
        <v>2912</v>
      </c>
      <c r="C2696" s="432" t="s">
        <v>624</v>
      </c>
      <c r="D2696" s="413" t="s">
        <v>116</v>
      </c>
      <c r="E2696" s="412">
        <v>45050</v>
      </c>
      <c r="F2696" s="407">
        <f t="shared" si="35"/>
        <v>80.311333435542352</v>
      </c>
      <c r="G2696" s="408">
        <v>560.94200000000001</v>
      </c>
      <c r="H2696" s="243" t="s">
        <v>581</v>
      </c>
      <c r="I2696" s="243" t="s">
        <v>2929</v>
      </c>
      <c r="J2696" s="243" t="s">
        <v>96</v>
      </c>
      <c r="K2696" s="243" t="s">
        <v>1906</v>
      </c>
      <c r="L2696" s="243" t="s">
        <v>153</v>
      </c>
      <c r="M2696" s="395"/>
      <c r="N2696" s="395"/>
    </row>
    <row r="2697" spans="1:14" ht="15.6" hidden="1">
      <c r="A2697" s="411">
        <v>45930</v>
      </c>
      <c r="B2697" s="413" t="s">
        <v>2913</v>
      </c>
      <c r="C2697" s="429" t="s">
        <v>172</v>
      </c>
      <c r="D2697" s="429" t="s">
        <v>116</v>
      </c>
      <c r="E2697" s="414">
        <v>1000</v>
      </c>
      <c r="F2697" s="407">
        <f t="shared" si="35"/>
        <v>1.7827155035636482</v>
      </c>
      <c r="G2697" s="408">
        <v>560.94200000000001</v>
      </c>
      <c r="H2697" s="413" t="s">
        <v>581</v>
      </c>
      <c r="I2697" s="413" t="s">
        <v>2914</v>
      </c>
      <c r="J2697" s="243" t="s">
        <v>96</v>
      </c>
      <c r="K2697" s="243" t="s">
        <v>1906</v>
      </c>
      <c r="L2697" s="243" t="s">
        <v>153</v>
      </c>
      <c r="M2697" s="395"/>
      <c r="N2697" s="395"/>
    </row>
    <row r="2698" spans="1:14" ht="15.6" hidden="1">
      <c r="A2698" s="418">
        <v>45930</v>
      </c>
      <c r="B2698" s="419" t="s">
        <v>4759</v>
      </c>
      <c r="C2698" s="434" t="s">
        <v>175</v>
      </c>
      <c r="D2698" s="177" t="s">
        <v>440</v>
      </c>
      <c r="E2698" s="419">
        <v>390000</v>
      </c>
      <c r="F2698" s="407">
        <f t="shared" si="35"/>
        <v>695.25904638982286</v>
      </c>
      <c r="G2698" s="408">
        <v>560.94200000000001</v>
      </c>
      <c r="H2698" s="419" t="s">
        <v>182</v>
      </c>
      <c r="I2698" s="419" t="s">
        <v>2948</v>
      </c>
      <c r="J2698" s="243" t="s">
        <v>96</v>
      </c>
      <c r="K2698" s="243" t="s">
        <v>1906</v>
      </c>
      <c r="L2698" s="243" t="s">
        <v>153</v>
      </c>
      <c r="M2698" s="327"/>
      <c r="N2698" s="327"/>
    </row>
    <row r="2699" spans="1:14" ht="15.6" hidden="1">
      <c r="A2699" s="418">
        <v>45930</v>
      </c>
      <c r="B2699" s="419" t="s">
        <v>4917</v>
      </c>
      <c r="C2699" s="434" t="s">
        <v>172</v>
      </c>
      <c r="D2699" s="177" t="s">
        <v>440</v>
      </c>
      <c r="E2699" s="419">
        <v>1000</v>
      </c>
      <c r="F2699" s="407">
        <f t="shared" si="35"/>
        <v>1.7827155035636482</v>
      </c>
      <c r="G2699" s="408">
        <v>560.94200000000001</v>
      </c>
      <c r="H2699" s="419" t="s">
        <v>182</v>
      </c>
      <c r="I2699" s="419" t="s">
        <v>2936</v>
      </c>
      <c r="J2699" s="243" t="s">
        <v>96</v>
      </c>
      <c r="K2699" s="243" t="s">
        <v>1906</v>
      </c>
      <c r="L2699" s="243" t="s">
        <v>153</v>
      </c>
      <c r="M2699" s="327"/>
      <c r="N2699" s="327"/>
    </row>
    <row r="2700" spans="1:14" ht="15.6" hidden="1">
      <c r="A2700" s="418">
        <v>45930</v>
      </c>
      <c r="B2700" s="419" t="s">
        <v>4917</v>
      </c>
      <c r="C2700" s="434" t="s">
        <v>172</v>
      </c>
      <c r="D2700" s="177" t="s">
        <v>440</v>
      </c>
      <c r="E2700" s="419">
        <v>1000</v>
      </c>
      <c r="F2700" s="407">
        <f t="shared" si="35"/>
        <v>1.7827155035636482</v>
      </c>
      <c r="G2700" s="408">
        <v>560.94200000000001</v>
      </c>
      <c r="H2700" s="419" t="s">
        <v>182</v>
      </c>
      <c r="I2700" s="419" t="s">
        <v>2936</v>
      </c>
      <c r="J2700" s="243" t="s">
        <v>96</v>
      </c>
      <c r="K2700" s="243" t="s">
        <v>1906</v>
      </c>
      <c r="L2700" s="243" t="s">
        <v>153</v>
      </c>
      <c r="M2700" s="327"/>
      <c r="N2700" s="327"/>
    </row>
    <row r="2701" spans="1:14" ht="15.6" hidden="1">
      <c r="A2701" s="420">
        <v>45930</v>
      </c>
      <c r="B2701" s="413" t="s">
        <v>4957</v>
      </c>
      <c r="C2701" s="429" t="s">
        <v>172</v>
      </c>
      <c r="D2701" s="177" t="s">
        <v>440</v>
      </c>
      <c r="E2701" s="429">
        <v>1000</v>
      </c>
      <c r="F2701" s="407">
        <f t="shared" si="35"/>
        <v>1.7827155035636482</v>
      </c>
      <c r="G2701" s="408">
        <v>560.94200000000001</v>
      </c>
      <c r="H2701" s="413" t="s">
        <v>173</v>
      </c>
      <c r="I2701" s="413" t="s">
        <v>2959</v>
      </c>
      <c r="J2701" s="243" t="s">
        <v>96</v>
      </c>
      <c r="K2701" s="243" t="s">
        <v>1906</v>
      </c>
      <c r="L2701" s="243" t="s">
        <v>153</v>
      </c>
      <c r="M2701" s="395"/>
      <c r="N2701" s="395"/>
    </row>
    <row r="2702" spans="1:14" ht="15.6" hidden="1">
      <c r="A2702" s="420">
        <v>45930</v>
      </c>
      <c r="B2702" s="413" t="s">
        <v>4957</v>
      </c>
      <c r="C2702" s="429" t="s">
        <v>172</v>
      </c>
      <c r="D2702" s="177" t="s">
        <v>440</v>
      </c>
      <c r="E2702" s="413">
        <v>1000</v>
      </c>
      <c r="F2702" s="407">
        <f t="shared" si="35"/>
        <v>1.7827155035636482</v>
      </c>
      <c r="G2702" s="408">
        <v>560.94200000000001</v>
      </c>
      <c r="H2702" s="413" t="s">
        <v>173</v>
      </c>
      <c r="I2702" s="413" t="s">
        <v>2959</v>
      </c>
      <c r="J2702" s="243" t="s">
        <v>96</v>
      </c>
      <c r="K2702" s="243" t="s">
        <v>1906</v>
      </c>
      <c r="L2702" s="243" t="s">
        <v>153</v>
      </c>
      <c r="M2702" s="395"/>
      <c r="N2702" s="395"/>
    </row>
    <row r="2703" spans="1:14" s="339" customFormat="1" ht="15.6" hidden="1">
      <c r="A2703" s="438">
        <v>45931</v>
      </c>
      <c r="B2703" s="329" t="s">
        <v>3302</v>
      </c>
      <c r="C2703" s="329" t="s">
        <v>172</v>
      </c>
      <c r="D2703" s="329" t="s">
        <v>115</v>
      </c>
      <c r="E2703" s="451">
        <v>1000</v>
      </c>
      <c r="F2703" s="407">
        <f t="shared" si="35"/>
        <v>1.8401363172983856</v>
      </c>
      <c r="G2703" s="408">
        <v>543.43799999999999</v>
      </c>
      <c r="H2703" s="329" t="s">
        <v>198</v>
      </c>
      <c r="I2703" s="329" t="s">
        <v>3349</v>
      </c>
      <c r="J2703" s="243" t="s">
        <v>96</v>
      </c>
      <c r="K2703" s="243" t="s">
        <v>1906</v>
      </c>
      <c r="L2703" s="243" t="s">
        <v>153</v>
      </c>
    </row>
    <row r="2704" spans="1:14" ht="15.6" hidden="1">
      <c r="A2704" s="438">
        <v>45931</v>
      </c>
      <c r="B2704" s="329" t="s">
        <v>3303</v>
      </c>
      <c r="C2704" s="329" t="s">
        <v>172</v>
      </c>
      <c r="D2704" s="329" t="s">
        <v>115</v>
      </c>
      <c r="E2704" s="451">
        <v>1000</v>
      </c>
      <c r="F2704" s="407">
        <f t="shared" si="35"/>
        <v>1.8401363172983856</v>
      </c>
      <c r="G2704" s="408">
        <v>543.43799999999999</v>
      </c>
      <c r="H2704" s="329" t="s">
        <v>198</v>
      </c>
      <c r="I2704" s="329" t="s">
        <v>3349</v>
      </c>
      <c r="J2704" s="243" t="s">
        <v>96</v>
      </c>
      <c r="K2704" s="243" t="s">
        <v>1906</v>
      </c>
      <c r="L2704" s="243" t="s">
        <v>153</v>
      </c>
    </row>
    <row r="2705" spans="1:12" ht="15.6" hidden="1">
      <c r="A2705" s="438">
        <v>45931</v>
      </c>
      <c r="B2705" s="329" t="s">
        <v>3304</v>
      </c>
      <c r="C2705" s="329" t="s">
        <v>172</v>
      </c>
      <c r="D2705" s="329" t="s">
        <v>115</v>
      </c>
      <c r="E2705" s="451">
        <v>1000</v>
      </c>
      <c r="F2705" s="407">
        <f t="shared" si="35"/>
        <v>1.8401363172983856</v>
      </c>
      <c r="G2705" s="408">
        <v>543.43799999999999</v>
      </c>
      <c r="H2705" s="329" t="s">
        <v>198</v>
      </c>
      <c r="I2705" s="329" t="s">
        <v>3349</v>
      </c>
      <c r="J2705" s="243" t="s">
        <v>96</v>
      </c>
      <c r="K2705" s="243" t="s">
        <v>1906</v>
      </c>
      <c r="L2705" s="243" t="s">
        <v>153</v>
      </c>
    </row>
    <row r="2706" spans="1:12" ht="15.6" hidden="1">
      <c r="A2706" s="438">
        <v>45931</v>
      </c>
      <c r="B2706" s="329" t="s">
        <v>3305</v>
      </c>
      <c r="C2706" s="329" t="s">
        <v>172</v>
      </c>
      <c r="D2706" s="329" t="s">
        <v>115</v>
      </c>
      <c r="E2706" s="451">
        <v>1000</v>
      </c>
      <c r="F2706" s="407">
        <f t="shared" ref="F2706:F2769" si="36">E2706/G2706</f>
        <v>1.8401363172983856</v>
      </c>
      <c r="G2706" s="408">
        <v>543.43799999999999</v>
      </c>
      <c r="H2706" s="329" t="s">
        <v>198</v>
      </c>
      <c r="I2706" s="329" t="s">
        <v>3349</v>
      </c>
      <c r="J2706" s="243" t="s">
        <v>96</v>
      </c>
      <c r="K2706" s="243" t="s">
        <v>1906</v>
      </c>
      <c r="L2706" s="243" t="s">
        <v>153</v>
      </c>
    </row>
    <row r="2707" spans="1:12" ht="15.6" hidden="1">
      <c r="A2707" s="438">
        <v>45931</v>
      </c>
      <c r="B2707" s="329" t="s">
        <v>3281</v>
      </c>
      <c r="C2707" s="329" t="s">
        <v>2394</v>
      </c>
      <c r="D2707" s="329" t="s">
        <v>115</v>
      </c>
      <c r="E2707" s="451">
        <v>30000</v>
      </c>
      <c r="F2707" s="407">
        <f t="shared" si="36"/>
        <v>55.204089518951562</v>
      </c>
      <c r="G2707" s="408">
        <v>543.43799999999999</v>
      </c>
      <c r="H2707" s="329" t="s">
        <v>198</v>
      </c>
      <c r="I2707" s="329" t="s">
        <v>3350</v>
      </c>
      <c r="J2707" s="243" t="s">
        <v>96</v>
      </c>
      <c r="K2707" s="243" t="s">
        <v>1906</v>
      </c>
      <c r="L2707" s="243" t="s">
        <v>153</v>
      </c>
    </row>
    <row r="2708" spans="1:12" ht="15.6" hidden="1">
      <c r="A2708" s="438">
        <v>45931</v>
      </c>
      <c r="B2708" s="331" t="s">
        <v>4912</v>
      </c>
      <c r="C2708" s="331" t="s">
        <v>172</v>
      </c>
      <c r="D2708" s="331" t="s">
        <v>119</v>
      </c>
      <c r="E2708" s="459">
        <v>1000</v>
      </c>
      <c r="F2708" s="407">
        <f t="shared" si="36"/>
        <v>1.8401363172983856</v>
      </c>
      <c r="G2708" s="408">
        <v>543.43799999999999</v>
      </c>
      <c r="H2708" s="331" t="s">
        <v>182</v>
      </c>
      <c r="I2708" s="331" t="s">
        <v>3447</v>
      </c>
      <c r="J2708" s="243" t="s">
        <v>96</v>
      </c>
      <c r="K2708" s="243" t="s">
        <v>1906</v>
      </c>
      <c r="L2708" s="243" t="s">
        <v>153</v>
      </c>
    </row>
    <row r="2709" spans="1:12" ht="15.6" hidden="1">
      <c r="A2709" s="438">
        <v>45931</v>
      </c>
      <c r="B2709" s="331" t="s">
        <v>4917</v>
      </c>
      <c r="C2709" s="331" t="s">
        <v>172</v>
      </c>
      <c r="D2709" s="331" t="s">
        <v>119</v>
      </c>
      <c r="E2709" s="459">
        <v>1000</v>
      </c>
      <c r="F2709" s="407">
        <f t="shared" si="36"/>
        <v>1.8401363172983856</v>
      </c>
      <c r="G2709" s="408">
        <v>543.43799999999999</v>
      </c>
      <c r="H2709" s="331" t="s">
        <v>182</v>
      </c>
      <c r="I2709" s="331" t="s">
        <v>3447</v>
      </c>
      <c r="J2709" s="243" t="s">
        <v>96</v>
      </c>
      <c r="K2709" s="243" t="s">
        <v>1906</v>
      </c>
      <c r="L2709" s="243" t="s">
        <v>153</v>
      </c>
    </row>
    <row r="2710" spans="1:12" ht="15.6" hidden="1">
      <c r="A2710" s="438">
        <v>45931</v>
      </c>
      <c r="B2710" s="331" t="s">
        <v>4917</v>
      </c>
      <c r="C2710" s="331" t="s">
        <v>172</v>
      </c>
      <c r="D2710" s="331" t="s">
        <v>119</v>
      </c>
      <c r="E2710" s="459">
        <v>1000</v>
      </c>
      <c r="F2710" s="407">
        <f t="shared" si="36"/>
        <v>1.8401363172983856</v>
      </c>
      <c r="G2710" s="408">
        <v>543.43799999999999</v>
      </c>
      <c r="H2710" s="331" t="s">
        <v>182</v>
      </c>
      <c r="I2710" s="331" t="s">
        <v>3447</v>
      </c>
      <c r="J2710" s="243" t="s">
        <v>96</v>
      </c>
      <c r="K2710" s="243" t="s">
        <v>1906</v>
      </c>
      <c r="L2710" s="243" t="s">
        <v>153</v>
      </c>
    </row>
    <row r="2711" spans="1:12" ht="15.6" hidden="1">
      <c r="A2711" s="438">
        <v>45931</v>
      </c>
      <c r="B2711" s="331" t="s">
        <v>4917</v>
      </c>
      <c r="C2711" s="331" t="s">
        <v>172</v>
      </c>
      <c r="D2711" s="331" t="s">
        <v>119</v>
      </c>
      <c r="E2711" s="459">
        <v>1000</v>
      </c>
      <c r="F2711" s="407">
        <f t="shared" si="36"/>
        <v>1.8401363172983856</v>
      </c>
      <c r="G2711" s="408">
        <v>543.43799999999999</v>
      </c>
      <c r="H2711" s="331" t="s">
        <v>182</v>
      </c>
      <c r="I2711" s="331" t="s">
        <v>3447</v>
      </c>
      <c r="J2711" s="243" t="s">
        <v>96</v>
      </c>
      <c r="K2711" s="243" t="s">
        <v>1906</v>
      </c>
      <c r="L2711" s="243" t="s">
        <v>153</v>
      </c>
    </row>
    <row r="2712" spans="1:12" ht="15.6" hidden="1">
      <c r="A2712" s="438">
        <v>45931</v>
      </c>
      <c r="B2712" s="243" t="s">
        <v>4754</v>
      </c>
      <c r="C2712" s="423" t="s">
        <v>2394</v>
      </c>
      <c r="D2712" s="423" t="s">
        <v>119</v>
      </c>
      <c r="E2712" s="471">
        <v>405000</v>
      </c>
      <c r="F2712" s="407">
        <f t="shared" si="36"/>
        <v>745.2552085058461</v>
      </c>
      <c r="G2712" s="408">
        <v>543.43799999999999</v>
      </c>
      <c r="H2712" s="423" t="s">
        <v>173</v>
      </c>
      <c r="I2712" s="423" t="s">
        <v>3483</v>
      </c>
      <c r="J2712" s="243" t="s">
        <v>96</v>
      </c>
      <c r="K2712" s="243" t="s">
        <v>1906</v>
      </c>
      <c r="L2712" s="243" t="s">
        <v>153</v>
      </c>
    </row>
    <row r="2713" spans="1:12" ht="15.6" hidden="1">
      <c r="A2713" s="438">
        <v>45931</v>
      </c>
      <c r="B2713" s="423" t="s">
        <v>4876</v>
      </c>
      <c r="C2713" s="423" t="s">
        <v>172</v>
      </c>
      <c r="D2713" s="423" t="s">
        <v>119</v>
      </c>
      <c r="E2713" s="471">
        <v>1000</v>
      </c>
      <c r="F2713" s="407">
        <f t="shared" si="36"/>
        <v>1.8401363172983856</v>
      </c>
      <c r="G2713" s="408">
        <v>543.43799999999999</v>
      </c>
      <c r="H2713" s="423" t="s">
        <v>173</v>
      </c>
      <c r="I2713" s="423" t="s">
        <v>3484</v>
      </c>
      <c r="J2713" s="243" t="s">
        <v>96</v>
      </c>
      <c r="K2713" s="243" t="s">
        <v>1906</v>
      </c>
      <c r="L2713" s="243" t="s">
        <v>153</v>
      </c>
    </row>
    <row r="2714" spans="1:12" ht="15.6" hidden="1">
      <c r="A2714" s="438">
        <v>45931</v>
      </c>
      <c r="B2714" s="423" t="s">
        <v>4917</v>
      </c>
      <c r="C2714" s="423" t="s">
        <v>172</v>
      </c>
      <c r="D2714" s="423" t="s">
        <v>119</v>
      </c>
      <c r="E2714" s="471">
        <v>1000</v>
      </c>
      <c r="F2714" s="407">
        <f t="shared" si="36"/>
        <v>1.8401363172983856</v>
      </c>
      <c r="G2714" s="408">
        <v>543.43799999999999</v>
      </c>
      <c r="H2714" s="423" t="s">
        <v>173</v>
      </c>
      <c r="I2714" s="423" t="s">
        <v>3484</v>
      </c>
      <c r="J2714" s="243" t="s">
        <v>96</v>
      </c>
      <c r="K2714" s="243" t="s">
        <v>1906</v>
      </c>
      <c r="L2714" s="243" t="s">
        <v>153</v>
      </c>
    </row>
    <row r="2715" spans="1:12" ht="15.6" hidden="1">
      <c r="A2715" s="438">
        <v>45931</v>
      </c>
      <c r="B2715" s="423" t="s">
        <v>4876</v>
      </c>
      <c r="C2715" s="423" t="s">
        <v>172</v>
      </c>
      <c r="D2715" s="423" t="s">
        <v>119</v>
      </c>
      <c r="E2715" s="471">
        <v>1000</v>
      </c>
      <c r="F2715" s="407">
        <f t="shared" si="36"/>
        <v>1.8401363172983856</v>
      </c>
      <c r="G2715" s="408">
        <v>543.43799999999999</v>
      </c>
      <c r="H2715" s="423" t="s">
        <v>173</v>
      </c>
      <c r="I2715" s="423" t="s">
        <v>3484</v>
      </c>
      <c r="J2715" s="243" t="s">
        <v>96</v>
      </c>
      <c r="K2715" s="243" t="s">
        <v>1906</v>
      </c>
      <c r="L2715" s="243" t="s">
        <v>153</v>
      </c>
    </row>
    <row r="2716" spans="1:12" ht="15.6" hidden="1">
      <c r="A2716" s="438">
        <v>45931</v>
      </c>
      <c r="B2716" s="423" t="s">
        <v>4876</v>
      </c>
      <c r="C2716" s="423" t="s">
        <v>172</v>
      </c>
      <c r="D2716" s="423" t="s">
        <v>119</v>
      </c>
      <c r="E2716" s="471">
        <v>1000</v>
      </c>
      <c r="F2716" s="407">
        <f t="shared" si="36"/>
        <v>1.8401363172983856</v>
      </c>
      <c r="G2716" s="408">
        <v>543.43799999999999</v>
      </c>
      <c r="H2716" s="423" t="s">
        <v>173</v>
      </c>
      <c r="I2716" s="423" t="s">
        <v>3484</v>
      </c>
      <c r="J2716" s="243" t="s">
        <v>96</v>
      </c>
      <c r="K2716" s="243" t="s">
        <v>1906</v>
      </c>
      <c r="L2716" s="243" t="s">
        <v>153</v>
      </c>
    </row>
    <row r="2717" spans="1:12" ht="15.6" hidden="1">
      <c r="A2717" s="438">
        <v>45931</v>
      </c>
      <c r="B2717" s="243" t="s">
        <v>3684</v>
      </c>
      <c r="C2717" s="239" t="s">
        <v>194</v>
      </c>
      <c r="D2717" s="239" t="s">
        <v>115</v>
      </c>
      <c r="E2717" s="457">
        <v>1000</v>
      </c>
      <c r="F2717" s="407">
        <f t="shared" si="36"/>
        <v>1.8401363172983856</v>
      </c>
      <c r="G2717" s="408">
        <v>543.43799999999999</v>
      </c>
      <c r="H2717" s="239" t="s">
        <v>195</v>
      </c>
      <c r="I2717" s="243" t="s">
        <v>3747</v>
      </c>
      <c r="J2717" s="243" t="s">
        <v>96</v>
      </c>
      <c r="K2717" s="243" t="s">
        <v>1906</v>
      </c>
      <c r="L2717" s="243" t="s">
        <v>153</v>
      </c>
    </row>
    <row r="2718" spans="1:12" ht="15.6" hidden="1">
      <c r="A2718" s="438">
        <v>45931</v>
      </c>
      <c r="B2718" s="243" t="s">
        <v>3685</v>
      </c>
      <c r="C2718" s="239" t="s">
        <v>194</v>
      </c>
      <c r="D2718" s="239" t="s">
        <v>115</v>
      </c>
      <c r="E2718" s="457">
        <v>1000</v>
      </c>
      <c r="F2718" s="407">
        <f t="shared" si="36"/>
        <v>1.8401363172983856</v>
      </c>
      <c r="G2718" s="408">
        <v>543.43799999999999</v>
      </c>
      <c r="H2718" s="239" t="s">
        <v>195</v>
      </c>
      <c r="I2718" s="243" t="s">
        <v>3747</v>
      </c>
      <c r="J2718" s="243" t="s">
        <v>96</v>
      </c>
      <c r="K2718" s="243" t="s">
        <v>1906</v>
      </c>
      <c r="L2718" s="243" t="s">
        <v>153</v>
      </c>
    </row>
    <row r="2719" spans="1:12" ht="15.6" hidden="1">
      <c r="A2719" s="438">
        <v>45931</v>
      </c>
      <c r="B2719" s="243" t="s">
        <v>3686</v>
      </c>
      <c r="C2719" s="239" t="s">
        <v>194</v>
      </c>
      <c r="D2719" s="239" t="s">
        <v>115</v>
      </c>
      <c r="E2719" s="457">
        <v>1000</v>
      </c>
      <c r="F2719" s="407">
        <f t="shared" si="36"/>
        <v>1.8401363172983856</v>
      </c>
      <c r="G2719" s="408">
        <v>543.43799999999999</v>
      </c>
      <c r="H2719" s="239" t="s">
        <v>195</v>
      </c>
      <c r="I2719" s="243" t="s">
        <v>3747</v>
      </c>
      <c r="J2719" s="243" t="s">
        <v>96</v>
      </c>
      <c r="K2719" s="243" t="s">
        <v>1906</v>
      </c>
      <c r="L2719" s="243" t="s">
        <v>153</v>
      </c>
    </row>
    <row r="2720" spans="1:12" ht="15.6" hidden="1">
      <c r="A2720" s="438">
        <v>45931</v>
      </c>
      <c r="B2720" s="243" t="s">
        <v>3687</v>
      </c>
      <c r="C2720" s="239" t="s">
        <v>194</v>
      </c>
      <c r="D2720" s="239" t="s">
        <v>115</v>
      </c>
      <c r="E2720" s="457">
        <v>1000</v>
      </c>
      <c r="F2720" s="407">
        <f t="shared" si="36"/>
        <v>1.8401363172983856</v>
      </c>
      <c r="G2720" s="408">
        <v>543.43799999999999</v>
      </c>
      <c r="H2720" s="239" t="s">
        <v>195</v>
      </c>
      <c r="I2720" s="243" t="s">
        <v>3747</v>
      </c>
      <c r="J2720" s="243" t="s">
        <v>96</v>
      </c>
      <c r="K2720" s="243" t="s">
        <v>1906</v>
      </c>
      <c r="L2720" s="243" t="s">
        <v>153</v>
      </c>
    </row>
    <row r="2721" spans="1:12" ht="15.6" hidden="1">
      <c r="A2721" s="438">
        <v>45931</v>
      </c>
      <c r="B2721" s="461" t="s">
        <v>3763</v>
      </c>
      <c r="C2721" s="439" t="s">
        <v>172</v>
      </c>
      <c r="D2721" s="461" t="s">
        <v>118</v>
      </c>
      <c r="E2721" s="464">
        <v>1000</v>
      </c>
      <c r="F2721" s="407">
        <f t="shared" si="36"/>
        <v>1.8401363172983856</v>
      </c>
      <c r="G2721" s="408">
        <v>543.43799999999999</v>
      </c>
      <c r="H2721" s="461" t="s">
        <v>211</v>
      </c>
      <c r="I2721" s="461" t="s">
        <v>3910</v>
      </c>
      <c r="J2721" s="243" t="s">
        <v>96</v>
      </c>
      <c r="K2721" s="243" t="s">
        <v>1906</v>
      </c>
      <c r="L2721" s="243" t="s">
        <v>153</v>
      </c>
    </row>
    <row r="2722" spans="1:12" ht="15.6" hidden="1">
      <c r="A2722" s="438">
        <v>45932</v>
      </c>
      <c r="B2722" s="239" t="s">
        <v>3221</v>
      </c>
      <c r="C2722" s="453" t="s">
        <v>2394</v>
      </c>
      <c r="D2722" s="453" t="s">
        <v>117</v>
      </c>
      <c r="E2722" s="458">
        <v>30000</v>
      </c>
      <c r="F2722" s="407">
        <f t="shared" si="36"/>
        <v>55.204089518951562</v>
      </c>
      <c r="G2722" s="408">
        <v>543.43799999999999</v>
      </c>
      <c r="H2722" s="454" t="s">
        <v>151</v>
      </c>
      <c r="I2722" s="239" t="s">
        <v>3263</v>
      </c>
      <c r="J2722" s="243" t="s">
        <v>96</v>
      </c>
      <c r="K2722" s="243" t="s">
        <v>1906</v>
      </c>
      <c r="L2722" s="243" t="s">
        <v>153</v>
      </c>
    </row>
    <row r="2723" spans="1:12" ht="15.6" hidden="1">
      <c r="A2723" s="438">
        <v>45932</v>
      </c>
      <c r="B2723" s="331" t="s">
        <v>4917</v>
      </c>
      <c r="C2723" s="331" t="s">
        <v>172</v>
      </c>
      <c r="D2723" s="331" t="s">
        <v>119</v>
      </c>
      <c r="E2723" s="459">
        <v>1000</v>
      </c>
      <c r="F2723" s="407">
        <f t="shared" si="36"/>
        <v>1.8401363172983856</v>
      </c>
      <c r="G2723" s="408">
        <v>543.43799999999999</v>
      </c>
      <c r="H2723" s="331" t="s">
        <v>182</v>
      </c>
      <c r="I2723" s="331" t="s">
        <v>3447</v>
      </c>
      <c r="J2723" s="243" t="s">
        <v>96</v>
      </c>
      <c r="K2723" s="243" t="s">
        <v>1906</v>
      </c>
      <c r="L2723" s="243" t="s">
        <v>153</v>
      </c>
    </row>
    <row r="2724" spans="1:12" ht="15.6" hidden="1">
      <c r="A2724" s="438">
        <v>45932</v>
      </c>
      <c r="B2724" s="331" t="s">
        <v>4917</v>
      </c>
      <c r="C2724" s="331" t="s">
        <v>172</v>
      </c>
      <c r="D2724" s="331" t="s">
        <v>119</v>
      </c>
      <c r="E2724" s="459">
        <v>1000</v>
      </c>
      <c r="F2724" s="407">
        <f t="shared" si="36"/>
        <v>1.8401363172983856</v>
      </c>
      <c r="G2724" s="408">
        <v>543.43799999999999</v>
      </c>
      <c r="H2724" s="331" t="s">
        <v>182</v>
      </c>
      <c r="I2724" s="331" t="s">
        <v>3447</v>
      </c>
      <c r="J2724" s="243" t="s">
        <v>96</v>
      </c>
      <c r="K2724" s="243" t="s">
        <v>1906</v>
      </c>
      <c r="L2724" s="243" t="s">
        <v>153</v>
      </c>
    </row>
    <row r="2725" spans="1:12" ht="15.6" hidden="1">
      <c r="A2725" s="438">
        <v>45932</v>
      </c>
      <c r="B2725" s="331" t="s">
        <v>4954</v>
      </c>
      <c r="C2725" s="331" t="s">
        <v>172</v>
      </c>
      <c r="D2725" s="331" t="s">
        <v>119</v>
      </c>
      <c r="E2725" s="459">
        <v>1000</v>
      </c>
      <c r="F2725" s="407">
        <f t="shared" si="36"/>
        <v>1.8401363172983856</v>
      </c>
      <c r="G2725" s="408">
        <v>543.43799999999999</v>
      </c>
      <c r="H2725" s="331" t="s">
        <v>182</v>
      </c>
      <c r="I2725" s="331" t="s">
        <v>3447</v>
      </c>
      <c r="J2725" s="243" t="s">
        <v>96</v>
      </c>
      <c r="K2725" s="243" t="s">
        <v>1906</v>
      </c>
      <c r="L2725" s="243" t="s">
        <v>153</v>
      </c>
    </row>
    <row r="2726" spans="1:12" ht="15.6" hidden="1">
      <c r="A2726" s="438">
        <v>45932</v>
      </c>
      <c r="B2726" s="331" t="s">
        <v>4917</v>
      </c>
      <c r="C2726" s="331" t="s">
        <v>172</v>
      </c>
      <c r="D2726" s="331" t="s">
        <v>119</v>
      </c>
      <c r="E2726" s="459">
        <v>1000</v>
      </c>
      <c r="F2726" s="407">
        <f t="shared" si="36"/>
        <v>1.8401363172983856</v>
      </c>
      <c r="G2726" s="408">
        <v>543.43799999999999</v>
      </c>
      <c r="H2726" s="331" t="s">
        <v>182</v>
      </c>
      <c r="I2726" s="331" t="s">
        <v>3447</v>
      </c>
      <c r="J2726" s="243" t="s">
        <v>96</v>
      </c>
      <c r="K2726" s="243" t="s">
        <v>1906</v>
      </c>
      <c r="L2726" s="243" t="s">
        <v>153</v>
      </c>
    </row>
    <row r="2727" spans="1:12" ht="15.6" hidden="1">
      <c r="A2727" s="438">
        <v>45932</v>
      </c>
      <c r="B2727" s="331" t="s">
        <v>4917</v>
      </c>
      <c r="C2727" s="331" t="s">
        <v>172</v>
      </c>
      <c r="D2727" s="331" t="s">
        <v>119</v>
      </c>
      <c r="E2727" s="459">
        <v>1000</v>
      </c>
      <c r="F2727" s="407">
        <f t="shared" si="36"/>
        <v>1.8401363172983856</v>
      </c>
      <c r="G2727" s="408">
        <v>543.43799999999999</v>
      </c>
      <c r="H2727" s="331" t="s">
        <v>182</v>
      </c>
      <c r="I2727" s="331" t="s">
        <v>3447</v>
      </c>
      <c r="J2727" s="243" t="s">
        <v>96</v>
      </c>
      <c r="K2727" s="243" t="s">
        <v>1906</v>
      </c>
      <c r="L2727" s="243" t="s">
        <v>153</v>
      </c>
    </row>
    <row r="2728" spans="1:12" ht="15.6" hidden="1">
      <c r="A2728" s="438">
        <v>45932</v>
      </c>
      <c r="B2728" s="423" t="s">
        <v>4876</v>
      </c>
      <c r="C2728" s="423" t="s">
        <v>172</v>
      </c>
      <c r="D2728" s="423" t="s">
        <v>119</v>
      </c>
      <c r="E2728" s="471">
        <v>1000</v>
      </c>
      <c r="F2728" s="407">
        <f t="shared" si="36"/>
        <v>1.8401363172983856</v>
      </c>
      <c r="G2728" s="408">
        <v>543.43799999999999</v>
      </c>
      <c r="H2728" s="423" t="s">
        <v>173</v>
      </c>
      <c r="I2728" s="423" t="s">
        <v>3484</v>
      </c>
      <c r="J2728" s="243" t="s">
        <v>96</v>
      </c>
      <c r="K2728" s="243" t="s">
        <v>1906</v>
      </c>
      <c r="L2728" s="243" t="s">
        <v>153</v>
      </c>
    </row>
    <row r="2729" spans="1:12" ht="15.6" hidden="1">
      <c r="A2729" s="438">
        <v>45932</v>
      </c>
      <c r="B2729" s="423" t="s">
        <v>4876</v>
      </c>
      <c r="C2729" s="423" t="s">
        <v>172</v>
      </c>
      <c r="D2729" s="423" t="s">
        <v>119</v>
      </c>
      <c r="E2729" s="471">
        <v>1000</v>
      </c>
      <c r="F2729" s="407">
        <f t="shared" si="36"/>
        <v>1.8401363172983856</v>
      </c>
      <c r="G2729" s="408">
        <v>543.43799999999999</v>
      </c>
      <c r="H2729" s="423" t="s">
        <v>173</v>
      </c>
      <c r="I2729" s="423" t="s">
        <v>3484</v>
      </c>
      <c r="J2729" s="243" t="s">
        <v>96</v>
      </c>
      <c r="K2729" s="243" t="s">
        <v>1906</v>
      </c>
      <c r="L2729" s="243" t="s">
        <v>153</v>
      </c>
    </row>
    <row r="2730" spans="1:12" ht="15.6" hidden="1">
      <c r="A2730" s="438">
        <v>45932</v>
      </c>
      <c r="B2730" s="423" t="s">
        <v>4876</v>
      </c>
      <c r="C2730" s="423" t="s">
        <v>172</v>
      </c>
      <c r="D2730" s="423" t="s">
        <v>119</v>
      </c>
      <c r="E2730" s="471">
        <v>1000</v>
      </c>
      <c r="F2730" s="407">
        <f t="shared" si="36"/>
        <v>1.8401363172983856</v>
      </c>
      <c r="G2730" s="408">
        <v>543.43799999999999</v>
      </c>
      <c r="H2730" s="423" t="s">
        <v>173</v>
      </c>
      <c r="I2730" s="423" t="s">
        <v>3484</v>
      </c>
      <c r="J2730" s="243" t="s">
        <v>96</v>
      </c>
      <c r="K2730" s="243" t="s">
        <v>1906</v>
      </c>
      <c r="L2730" s="243" t="s">
        <v>153</v>
      </c>
    </row>
    <row r="2731" spans="1:12" ht="15.6" hidden="1">
      <c r="A2731" s="438">
        <v>45932</v>
      </c>
      <c r="B2731" s="423" t="s">
        <v>4876</v>
      </c>
      <c r="C2731" s="423" t="s">
        <v>172</v>
      </c>
      <c r="D2731" s="423" t="s">
        <v>119</v>
      </c>
      <c r="E2731" s="471">
        <v>1000</v>
      </c>
      <c r="F2731" s="407">
        <f t="shared" si="36"/>
        <v>1.8401363172983856</v>
      </c>
      <c r="G2731" s="408">
        <v>543.43799999999999</v>
      </c>
      <c r="H2731" s="423" t="s">
        <v>173</v>
      </c>
      <c r="I2731" s="423" t="s">
        <v>3484</v>
      </c>
      <c r="J2731" s="243" t="s">
        <v>96</v>
      </c>
      <c r="K2731" s="243" t="s">
        <v>1906</v>
      </c>
      <c r="L2731" s="243" t="s">
        <v>153</v>
      </c>
    </row>
    <row r="2732" spans="1:12" ht="15.6" hidden="1">
      <c r="A2732" s="438">
        <v>45932</v>
      </c>
      <c r="B2732" s="423" t="s">
        <v>4876</v>
      </c>
      <c r="C2732" s="423" t="s">
        <v>172</v>
      </c>
      <c r="D2732" s="423" t="s">
        <v>119</v>
      </c>
      <c r="E2732" s="471">
        <v>1000</v>
      </c>
      <c r="F2732" s="407">
        <f t="shared" si="36"/>
        <v>1.8401363172983856</v>
      </c>
      <c r="G2732" s="408">
        <v>543.43799999999999</v>
      </c>
      <c r="H2732" s="423" t="s">
        <v>173</v>
      </c>
      <c r="I2732" s="423" t="s">
        <v>3484</v>
      </c>
      <c r="J2732" s="243" t="s">
        <v>96</v>
      </c>
      <c r="K2732" s="243" t="s">
        <v>1906</v>
      </c>
      <c r="L2732" s="243" t="s">
        <v>153</v>
      </c>
    </row>
    <row r="2733" spans="1:12" ht="15.6" hidden="1">
      <c r="A2733" s="438">
        <v>45932</v>
      </c>
      <c r="B2733" s="423" t="s">
        <v>4876</v>
      </c>
      <c r="C2733" s="423" t="s">
        <v>172</v>
      </c>
      <c r="D2733" s="423" t="s">
        <v>119</v>
      </c>
      <c r="E2733" s="471">
        <v>1000</v>
      </c>
      <c r="F2733" s="407">
        <f t="shared" si="36"/>
        <v>1.8401363172983856</v>
      </c>
      <c r="G2733" s="408">
        <v>543.43799999999999</v>
      </c>
      <c r="H2733" s="423" t="s">
        <v>173</v>
      </c>
      <c r="I2733" s="423" t="s">
        <v>3484</v>
      </c>
      <c r="J2733" s="243" t="s">
        <v>96</v>
      </c>
      <c r="K2733" s="243" t="s">
        <v>1906</v>
      </c>
      <c r="L2733" s="243" t="s">
        <v>153</v>
      </c>
    </row>
    <row r="2734" spans="1:12" ht="15.6" hidden="1">
      <c r="A2734" s="438">
        <v>45932</v>
      </c>
      <c r="B2734" s="423" t="s">
        <v>4917</v>
      </c>
      <c r="C2734" s="423" t="s">
        <v>172</v>
      </c>
      <c r="D2734" s="423" t="s">
        <v>119</v>
      </c>
      <c r="E2734" s="471">
        <v>1000</v>
      </c>
      <c r="F2734" s="407">
        <f t="shared" si="36"/>
        <v>1.8401363172983856</v>
      </c>
      <c r="G2734" s="408">
        <v>543.43799999999999</v>
      </c>
      <c r="H2734" s="423" t="s">
        <v>173</v>
      </c>
      <c r="I2734" s="423" t="s">
        <v>3484</v>
      </c>
      <c r="J2734" s="243" t="s">
        <v>96</v>
      </c>
      <c r="K2734" s="243" t="s">
        <v>1906</v>
      </c>
      <c r="L2734" s="243" t="s">
        <v>153</v>
      </c>
    </row>
    <row r="2735" spans="1:12" ht="15.6" hidden="1">
      <c r="A2735" s="438">
        <v>45932</v>
      </c>
      <c r="B2735" s="423" t="s">
        <v>4876</v>
      </c>
      <c r="C2735" s="423" t="s">
        <v>172</v>
      </c>
      <c r="D2735" s="423" t="s">
        <v>119</v>
      </c>
      <c r="E2735" s="471">
        <v>1000</v>
      </c>
      <c r="F2735" s="407">
        <f t="shared" si="36"/>
        <v>1.8401363172983856</v>
      </c>
      <c r="G2735" s="408">
        <v>543.43799999999999</v>
      </c>
      <c r="H2735" s="423" t="s">
        <v>173</v>
      </c>
      <c r="I2735" s="423" t="s">
        <v>3484</v>
      </c>
      <c r="J2735" s="243" t="s">
        <v>96</v>
      </c>
      <c r="K2735" s="243" t="s">
        <v>1906</v>
      </c>
      <c r="L2735" s="243" t="s">
        <v>153</v>
      </c>
    </row>
    <row r="2736" spans="1:12" ht="15.6" hidden="1">
      <c r="A2736" s="438">
        <v>45932</v>
      </c>
      <c r="B2736" s="423" t="s">
        <v>4876</v>
      </c>
      <c r="C2736" s="423" t="s">
        <v>172</v>
      </c>
      <c r="D2736" s="423" t="s">
        <v>119</v>
      </c>
      <c r="E2736" s="471">
        <v>1000</v>
      </c>
      <c r="F2736" s="407">
        <f t="shared" si="36"/>
        <v>1.8401363172983856</v>
      </c>
      <c r="G2736" s="408">
        <v>543.43799999999999</v>
      </c>
      <c r="H2736" s="423" t="s">
        <v>173</v>
      </c>
      <c r="I2736" s="423" t="s">
        <v>3484</v>
      </c>
      <c r="J2736" s="243" t="s">
        <v>96</v>
      </c>
      <c r="K2736" s="243" t="s">
        <v>1906</v>
      </c>
      <c r="L2736" s="243" t="s">
        <v>153</v>
      </c>
    </row>
    <row r="2737" spans="1:12" ht="15.6" hidden="1">
      <c r="A2737" s="438">
        <v>45932</v>
      </c>
      <c r="B2737" s="423" t="s">
        <v>4958</v>
      </c>
      <c r="C2737" s="423" t="s">
        <v>366</v>
      </c>
      <c r="D2737" s="423" t="s">
        <v>119</v>
      </c>
      <c r="E2737" s="471">
        <v>9000</v>
      </c>
      <c r="F2737" s="407">
        <f t="shared" si="36"/>
        <v>16.561226855685469</v>
      </c>
      <c r="G2737" s="408">
        <v>543.43799999999999</v>
      </c>
      <c r="H2737" s="423" t="s">
        <v>173</v>
      </c>
      <c r="I2737" s="423" t="s">
        <v>3485</v>
      </c>
      <c r="J2737" s="243" t="s">
        <v>96</v>
      </c>
      <c r="K2737" s="243" t="s">
        <v>1906</v>
      </c>
      <c r="L2737" s="243" t="s">
        <v>153</v>
      </c>
    </row>
    <row r="2738" spans="1:12" ht="15.6" hidden="1">
      <c r="A2738" s="438">
        <v>45932</v>
      </c>
      <c r="B2738" s="423" t="s">
        <v>4959</v>
      </c>
      <c r="C2738" s="423" t="s">
        <v>366</v>
      </c>
      <c r="D2738" s="423" t="s">
        <v>119</v>
      </c>
      <c r="E2738" s="471">
        <v>3500</v>
      </c>
      <c r="F2738" s="407">
        <f t="shared" si="36"/>
        <v>6.4404771105443492</v>
      </c>
      <c r="G2738" s="408">
        <v>543.43799999999999</v>
      </c>
      <c r="H2738" s="423" t="s">
        <v>173</v>
      </c>
      <c r="I2738" s="423" t="s">
        <v>3485</v>
      </c>
      <c r="J2738" s="243" t="s">
        <v>96</v>
      </c>
      <c r="K2738" s="243" t="s">
        <v>1906</v>
      </c>
      <c r="L2738" s="243" t="s">
        <v>153</v>
      </c>
    </row>
    <row r="2739" spans="1:12" ht="15.6" hidden="1">
      <c r="A2739" s="438">
        <v>45932</v>
      </c>
      <c r="B2739" s="243" t="s">
        <v>2998</v>
      </c>
      <c r="C2739" s="243" t="s">
        <v>172</v>
      </c>
      <c r="D2739" s="243" t="s">
        <v>115</v>
      </c>
      <c r="E2739" s="463">
        <v>500</v>
      </c>
      <c r="F2739" s="407">
        <f t="shared" si="36"/>
        <v>0.92006815864919278</v>
      </c>
      <c r="G2739" s="408">
        <v>543.43799999999999</v>
      </c>
      <c r="H2739" s="243" t="s">
        <v>188</v>
      </c>
      <c r="I2739" s="243" t="s">
        <v>3594</v>
      </c>
      <c r="J2739" s="243" t="s">
        <v>96</v>
      </c>
      <c r="K2739" s="243" t="s">
        <v>1906</v>
      </c>
      <c r="L2739" s="243" t="s">
        <v>153</v>
      </c>
    </row>
    <row r="2740" spans="1:12" ht="15.6" hidden="1">
      <c r="A2740" s="438">
        <v>45932</v>
      </c>
      <c r="B2740" s="243" t="s">
        <v>3000</v>
      </c>
      <c r="C2740" s="243" t="s">
        <v>172</v>
      </c>
      <c r="D2740" s="243" t="s">
        <v>115</v>
      </c>
      <c r="E2740" s="463">
        <v>500</v>
      </c>
      <c r="F2740" s="407">
        <f t="shared" si="36"/>
        <v>0.92006815864919278</v>
      </c>
      <c r="G2740" s="408">
        <v>543.43799999999999</v>
      </c>
      <c r="H2740" s="243" t="s">
        <v>188</v>
      </c>
      <c r="I2740" s="243" t="s">
        <v>3594</v>
      </c>
      <c r="J2740" s="243" t="s">
        <v>96</v>
      </c>
      <c r="K2740" s="243" t="s">
        <v>1906</v>
      </c>
      <c r="L2740" s="243" t="s">
        <v>153</v>
      </c>
    </row>
    <row r="2741" spans="1:12" ht="15.6" hidden="1">
      <c r="A2741" s="438">
        <v>45932</v>
      </c>
      <c r="B2741" s="243" t="s">
        <v>3548</v>
      </c>
      <c r="C2741" s="243" t="s">
        <v>180</v>
      </c>
      <c r="D2741" s="243" t="s">
        <v>116</v>
      </c>
      <c r="E2741" s="463">
        <v>12990</v>
      </c>
      <c r="F2741" s="407">
        <f t="shared" si="36"/>
        <v>23.903370761706029</v>
      </c>
      <c r="G2741" s="408">
        <v>543.43799999999999</v>
      </c>
      <c r="H2741" s="243" t="s">
        <v>188</v>
      </c>
      <c r="I2741" s="455" t="s">
        <v>3595</v>
      </c>
      <c r="J2741" s="243" t="s">
        <v>96</v>
      </c>
      <c r="K2741" s="243" t="s">
        <v>1906</v>
      </c>
      <c r="L2741" s="243" t="s">
        <v>153</v>
      </c>
    </row>
    <row r="2742" spans="1:12" ht="15.6" hidden="1">
      <c r="A2742" s="438">
        <v>45932</v>
      </c>
      <c r="B2742" s="243" t="s">
        <v>3614</v>
      </c>
      <c r="C2742" s="243" t="s">
        <v>172</v>
      </c>
      <c r="D2742" s="243" t="s">
        <v>115</v>
      </c>
      <c r="E2742" s="463">
        <v>1000</v>
      </c>
      <c r="F2742" s="407">
        <f t="shared" si="36"/>
        <v>1.8401363172983856</v>
      </c>
      <c r="G2742" s="408">
        <v>543.43799999999999</v>
      </c>
      <c r="H2742" s="243" t="s">
        <v>191</v>
      </c>
      <c r="I2742" s="243" t="s">
        <v>3665</v>
      </c>
      <c r="J2742" s="243" t="s">
        <v>96</v>
      </c>
      <c r="K2742" s="243" t="s">
        <v>1906</v>
      </c>
      <c r="L2742" s="243" t="s">
        <v>153</v>
      </c>
    </row>
    <row r="2743" spans="1:12" ht="15.6" hidden="1">
      <c r="A2743" s="438">
        <v>45932</v>
      </c>
      <c r="B2743" s="243" t="s">
        <v>3615</v>
      </c>
      <c r="C2743" s="243" t="s">
        <v>172</v>
      </c>
      <c r="D2743" s="243" t="s">
        <v>115</v>
      </c>
      <c r="E2743" s="463">
        <v>1000</v>
      </c>
      <c r="F2743" s="407">
        <f t="shared" si="36"/>
        <v>1.8401363172983856</v>
      </c>
      <c r="G2743" s="408">
        <v>543.43799999999999</v>
      </c>
      <c r="H2743" s="243" t="s">
        <v>191</v>
      </c>
      <c r="I2743" s="243" t="s">
        <v>3665</v>
      </c>
      <c r="J2743" s="243" t="s">
        <v>96</v>
      </c>
      <c r="K2743" s="243" t="s">
        <v>1906</v>
      </c>
      <c r="L2743" s="243" t="s">
        <v>153</v>
      </c>
    </row>
    <row r="2744" spans="1:12" ht="15.6" hidden="1">
      <c r="A2744" s="438">
        <v>45932</v>
      </c>
      <c r="B2744" s="243" t="s">
        <v>816</v>
      </c>
      <c r="C2744" s="243" t="s">
        <v>170</v>
      </c>
      <c r="D2744" s="243" t="s">
        <v>116</v>
      </c>
      <c r="E2744" s="463">
        <v>96000</v>
      </c>
      <c r="F2744" s="407">
        <f t="shared" si="36"/>
        <v>176.653086460645</v>
      </c>
      <c r="G2744" s="408">
        <v>543.43799999999999</v>
      </c>
      <c r="H2744" s="455" t="s">
        <v>191</v>
      </c>
      <c r="I2744" s="455" t="s">
        <v>3666</v>
      </c>
      <c r="J2744" s="243" t="s">
        <v>96</v>
      </c>
      <c r="K2744" s="243" t="s">
        <v>1906</v>
      </c>
      <c r="L2744" s="243" t="s">
        <v>153</v>
      </c>
    </row>
    <row r="2745" spans="1:12" ht="15.6" hidden="1">
      <c r="A2745" s="438">
        <v>45932</v>
      </c>
      <c r="B2745" s="243" t="s">
        <v>3688</v>
      </c>
      <c r="C2745" s="239" t="s">
        <v>194</v>
      </c>
      <c r="D2745" s="239" t="s">
        <v>115</v>
      </c>
      <c r="E2745" s="457">
        <v>1000</v>
      </c>
      <c r="F2745" s="407">
        <f t="shared" si="36"/>
        <v>1.8401363172983856</v>
      </c>
      <c r="G2745" s="408">
        <v>543.43799999999999</v>
      </c>
      <c r="H2745" s="239" t="s">
        <v>195</v>
      </c>
      <c r="I2745" s="243" t="s">
        <v>3747</v>
      </c>
      <c r="J2745" s="243" t="s">
        <v>96</v>
      </c>
      <c r="K2745" s="243" t="s">
        <v>1906</v>
      </c>
      <c r="L2745" s="243" t="s">
        <v>153</v>
      </c>
    </row>
    <row r="2746" spans="1:12" ht="15.6" hidden="1">
      <c r="A2746" s="438">
        <v>45932</v>
      </c>
      <c r="B2746" s="243" t="s">
        <v>3689</v>
      </c>
      <c r="C2746" s="239" t="s">
        <v>194</v>
      </c>
      <c r="D2746" s="239" t="s">
        <v>115</v>
      </c>
      <c r="E2746" s="457">
        <v>1000</v>
      </c>
      <c r="F2746" s="407">
        <f t="shared" si="36"/>
        <v>1.8401363172983856</v>
      </c>
      <c r="G2746" s="408">
        <v>543.43799999999999</v>
      </c>
      <c r="H2746" s="239" t="s">
        <v>195</v>
      </c>
      <c r="I2746" s="243" t="s">
        <v>3747</v>
      </c>
      <c r="J2746" s="243" t="s">
        <v>96</v>
      </c>
      <c r="K2746" s="243" t="s">
        <v>1906</v>
      </c>
      <c r="L2746" s="243" t="s">
        <v>153</v>
      </c>
    </row>
    <row r="2747" spans="1:12" ht="15.6" hidden="1">
      <c r="A2747" s="438">
        <v>45932</v>
      </c>
      <c r="B2747" s="423" t="s">
        <v>3939</v>
      </c>
      <c r="C2747" s="423" t="s">
        <v>172</v>
      </c>
      <c r="D2747" s="423" t="s">
        <v>115</v>
      </c>
      <c r="E2747" s="471">
        <v>1500</v>
      </c>
      <c r="F2747" s="407">
        <f t="shared" si="36"/>
        <v>2.7602044759475781</v>
      </c>
      <c r="G2747" s="408">
        <v>543.43799999999999</v>
      </c>
      <c r="H2747" s="423" t="s">
        <v>185</v>
      </c>
      <c r="I2747" s="423" t="s">
        <v>4008</v>
      </c>
      <c r="J2747" s="243" t="s">
        <v>96</v>
      </c>
      <c r="K2747" s="243" t="s">
        <v>1906</v>
      </c>
      <c r="L2747" s="243" t="s">
        <v>153</v>
      </c>
    </row>
    <row r="2748" spans="1:12" ht="15.6" hidden="1">
      <c r="A2748" s="438">
        <v>45932</v>
      </c>
      <c r="B2748" s="423" t="s">
        <v>3940</v>
      </c>
      <c r="C2748" s="423" t="s">
        <v>172</v>
      </c>
      <c r="D2748" s="423" t="s">
        <v>115</v>
      </c>
      <c r="E2748" s="471">
        <v>1500</v>
      </c>
      <c r="F2748" s="407">
        <f t="shared" si="36"/>
        <v>2.7602044759475781</v>
      </c>
      <c r="G2748" s="408">
        <v>543.43799999999999</v>
      </c>
      <c r="H2748" s="423" t="s">
        <v>185</v>
      </c>
      <c r="I2748" s="423" t="s">
        <v>4008</v>
      </c>
      <c r="J2748" s="243" t="s">
        <v>96</v>
      </c>
      <c r="K2748" s="243" t="s">
        <v>1906</v>
      </c>
      <c r="L2748" s="243" t="s">
        <v>153</v>
      </c>
    </row>
    <row r="2749" spans="1:12" ht="15.6" hidden="1">
      <c r="A2749" s="438">
        <v>45932</v>
      </c>
      <c r="B2749" s="423" t="s">
        <v>3007</v>
      </c>
      <c r="C2749" s="423" t="s">
        <v>170</v>
      </c>
      <c r="D2749" s="423" t="s">
        <v>2245</v>
      </c>
      <c r="E2749" s="464">
        <v>31250</v>
      </c>
      <c r="F2749" s="407">
        <f t="shared" si="36"/>
        <v>57.504259915574544</v>
      </c>
      <c r="G2749" s="408">
        <v>543.43799999999999</v>
      </c>
      <c r="H2749" s="423" t="s">
        <v>185</v>
      </c>
      <c r="I2749" s="456" t="s">
        <v>4009</v>
      </c>
      <c r="J2749" s="243" t="s">
        <v>96</v>
      </c>
      <c r="K2749" s="243" t="s">
        <v>1906</v>
      </c>
      <c r="L2749" s="243" t="s">
        <v>153</v>
      </c>
    </row>
    <row r="2750" spans="1:12" ht="15.6" hidden="1">
      <c r="A2750" s="438">
        <v>45933</v>
      </c>
      <c r="B2750" s="239" t="s">
        <v>3222</v>
      </c>
      <c r="C2750" s="453" t="s">
        <v>172</v>
      </c>
      <c r="D2750" s="453" t="s">
        <v>117</v>
      </c>
      <c r="E2750" s="458">
        <v>1000</v>
      </c>
      <c r="F2750" s="407">
        <f t="shared" si="36"/>
        <v>1.8401363172983856</v>
      </c>
      <c r="G2750" s="408">
        <v>543.43799999999999</v>
      </c>
      <c r="H2750" s="454" t="s">
        <v>151</v>
      </c>
      <c r="I2750" s="239" t="s">
        <v>3264</v>
      </c>
      <c r="J2750" s="243" t="s">
        <v>96</v>
      </c>
      <c r="K2750" s="243" t="s">
        <v>1906</v>
      </c>
      <c r="L2750" s="243" t="s">
        <v>153</v>
      </c>
    </row>
    <row r="2751" spans="1:12" ht="15.6" hidden="1">
      <c r="A2751" s="438">
        <v>45933</v>
      </c>
      <c r="B2751" s="239" t="s">
        <v>3223</v>
      </c>
      <c r="C2751" s="453" t="s">
        <v>172</v>
      </c>
      <c r="D2751" s="453" t="s">
        <v>117</v>
      </c>
      <c r="E2751" s="458">
        <v>1000</v>
      </c>
      <c r="F2751" s="407">
        <f t="shared" si="36"/>
        <v>1.8401363172983856</v>
      </c>
      <c r="G2751" s="408">
        <v>543.43799999999999</v>
      </c>
      <c r="H2751" s="454" t="s">
        <v>151</v>
      </c>
      <c r="I2751" s="239" t="s">
        <v>3264</v>
      </c>
      <c r="J2751" s="243" t="s">
        <v>96</v>
      </c>
      <c r="K2751" s="243" t="s">
        <v>1906</v>
      </c>
      <c r="L2751" s="243" t="s">
        <v>153</v>
      </c>
    </row>
    <row r="2752" spans="1:12" ht="15.6" hidden="1">
      <c r="A2752" s="438">
        <v>45933</v>
      </c>
      <c r="B2752" s="329" t="s">
        <v>3306</v>
      </c>
      <c r="C2752" s="329" t="s">
        <v>172</v>
      </c>
      <c r="D2752" s="329" t="s">
        <v>115</v>
      </c>
      <c r="E2752" s="451">
        <v>1000</v>
      </c>
      <c r="F2752" s="407">
        <f t="shared" si="36"/>
        <v>1.8401363172983856</v>
      </c>
      <c r="G2752" s="408">
        <v>543.43799999999999</v>
      </c>
      <c r="H2752" s="329" t="s">
        <v>198</v>
      </c>
      <c r="I2752" s="329" t="s">
        <v>3349</v>
      </c>
      <c r="J2752" s="243" t="s">
        <v>96</v>
      </c>
      <c r="K2752" s="243" t="s">
        <v>1906</v>
      </c>
      <c r="L2752" s="243" t="s">
        <v>153</v>
      </c>
    </row>
    <row r="2753" spans="1:12" ht="15.6" hidden="1">
      <c r="A2753" s="438">
        <v>45933</v>
      </c>
      <c r="B2753" s="329" t="s">
        <v>3307</v>
      </c>
      <c r="C2753" s="329" t="s">
        <v>172</v>
      </c>
      <c r="D2753" s="329" t="s">
        <v>115</v>
      </c>
      <c r="E2753" s="451">
        <v>1000</v>
      </c>
      <c r="F2753" s="407">
        <f t="shared" si="36"/>
        <v>1.8401363172983856</v>
      </c>
      <c r="G2753" s="408">
        <v>543.43799999999999</v>
      </c>
      <c r="H2753" s="329" t="s">
        <v>198</v>
      </c>
      <c r="I2753" s="329" t="s">
        <v>3349</v>
      </c>
      <c r="J2753" s="243" t="s">
        <v>96</v>
      </c>
      <c r="K2753" s="243" t="s">
        <v>1906</v>
      </c>
      <c r="L2753" s="243" t="s">
        <v>153</v>
      </c>
    </row>
    <row r="2754" spans="1:12" ht="15.6" hidden="1">
      <c r="A2754" s="438">
        <v>45933</v>
      </c>
      <c r="B2754" s="329" t="s">
        <v>3305</v>
      </c>
      <c r="C2754" s="329" t="s">
        <v>172</v>
      </c>
      <c r="D2754" s="329" t="s">
        <v>115</v>
      </c>
      <c r="E2754" s="451">
        <v>1000</v>
      </c>
      <c r="F2754" s="407">
        <f t="shared" si="36"/>
        <v>1.8401363172983856</v>
      </c>
      <c r="G2754" s="408">
        <v>543.43799999999999</v>
      </c>
      <c r="H2754" s="329" t="s">
        <v>198</v>
      </c>
      <c r="I2754" s="329" t="s">
        <v>3349</v>
      </c>
      <c r="J2754" s="243" t="s">
        <v>96</v>
      </c>
      <c r="K2754" s="243" t="s">
        <v>1906</v>
      </c>
      <c r="L2754" s="243" t="s">
        <v>153</v>
      </c>
    </row>
    <row r="2755" spans="1:12" ht="15.6" hidden="1">
      <c r="A2755" s="438">
        <v>45933</v>
      </c>
      <c r="B2755" s="243" t="s">
        <v>3371</v>
      </c>
      <c r="C2755" s="423" t="s">
        <v>172</v>
      </c>
      <c r="D2755" s="423" t="s">
        <v>116</v>
      </c>
      <c r="E2755" s="464">
        <v>1000</v>
      </c>
      <c r="F2755" s="407">
        <f t="shared" si="36"/>
        <v>1.8401363172983856</v>
      </c>
      <c r="G2755" s="408">
        <v>543.43799999999999</v>
      </c>
      <c r="H2755" s="423" t="s">
        <v>581</v>
      </c>
      <c r="I2755" s="423" t="s">
        <v>3419</v>
      </c>
      <c r="J2755" s="243" t="s">
        <v>96</v>
      </c>
      <c r="K2755" s="243" t="s">
        <v>1906</v>
      </c>
      <c r="L2755" s="243" t="s">
        <v>153</v>
      </c>
    </row>
    <row r="2756" spans="1:12" ht="15.6" hidden="1">
      <c r="A2756" s="438">
        <v>45933</v>
      </c>
      <c r="B2756" s="243" t="s">
        <v>2884</v>
      </c>
      <c r="C2756" s="423" t="s">
        <v>172</v>
      </c>
      <c r="D2756" s="423" t="s">
        <v>116</v>
      </c>
      <c r="E2756" s="464">
        <v>1000</v>
      </c>
      <c r="F2756" s="407">
        <f t="shared" si="36"/>
        <v>1.8401363172983856</v>
      </c>
      <c r="G2756" s="408">
        <v>543.43799999999999</v>
      </c>
      <c r="H2756" s="423" t="s">
        <v>581</v>
      </c>
      <c r="I2756" s="423" t="s">
        <v>3419</v>
      </c>
      <c r="J2756" s="243" t="s">
        <v>96</v>
      </c>
      <c r="K2756" s="243" t="s">
        <v>1906</v>
      </c>
      <c r="L2756" s="243" t="s">
        <v>153</v>
      </c>
    </row>
    <row r="2757" spans="1:12" ht="15.6" hidden="1">
      <c r="A2757" s="438">
        <v>45933</v>
      </c>
      <c r="B2757" s="331" t="s">
        <v>4917</v>
      </c>
      <c r="C2757" s="331" t="s">
        <v>172</v>
      </c>
      <c r="D2757" s="331" t="s">
        <v>119</v>
      </c>
      <c r="E2757" s="459">
        <v>1000</v>
      </c>
      <c r="F2757" s="407">
        <f t="shared" si="36"/>
        <v>1.8401363172983856</v>
      </c>
      <c r="G2757" s="408">
        <v>543.43799999999999</v>
      </c>
      <c r="H2757" s="331" t="s">
        <v>182</v>
      </c>
      <c r="I2757" s="331" t="s">
        <v>3447</v>
      </c>
      <c r="J2757" s="243" t="s">
        <v>96</v>
      </c>
      <c r="K2757" s="243" t="s">
        <v>1906</v>
      </c>
      <c r="L2757" s="243" t="s">
        <v>153</v>
      </c>
    </row>
    <row r="2758" spans="1:12" ht="15.6" hidden="1">
      <c r="A2758" s="438">
        <v>45933</v>
      </c>
      <c r="B2758" s="331" t="s">
        <v>4917</v>
      </c>
      <c r="C2758" s="331" t="s">
        <v>172</v>
      </c>
      <c r="D2758" s="331" t="s">
        <v>119</v>
      </c>
      <c r="E2758" s="459">
        <v>1000</v>
      </c>
      <c r="F2758" s="407">
        <f t="shared" si="36"/>
        <v>1.8401363172983856</v>
      </c>
      <c r="G2758" s="408">
        <v>543.43799999999999</v>
      </c>
      <c r="H2758" s="331" t="s">
        <v>182</v>
      </c>
      <c r="I2758" s="331" t="s">
        <v>3447</v>
      </c>
      <c r="J2758" s="243" t="s">
        <v>96</v>
      </c>
      <c r="K2758" s="243" t="s">
        <v>1906</v>
      </c>
      <c r="L2758" s="243" t="s">
        <v>153</v>
      </c>
    </row>
    <row r="2759" spans="1:12" ht="15.6" hidden="1">
      <c r="A2759" s="438">
        <v>45933</v>
      </c>
      <c r="B2759" s="243" t="s">
        <v>3690</v>
      </c>
      <c r="C2759" s="239" t="s">
        <v>194</v>
      </c>
      <c r="D2759" s="239" t="s">
        <v>115</v>
      </c>
      <c r="E2759" s="457">
        <v>1000</v>
      </c>
      <c r="F2759" s="407">
        <f t="shared" si="36"/>
        <v>1.8401363172983856</v>
      </c>
      <c r="G2759" s="408">
        <v>543.43799999999999</v>
      </c>
      <c r="H2759" s="239" t="s">
        <v>195</v>
      </c>
      <c r="I2759" s="243" t="s">
        <v>3747</v>
      </c>
      <c r="J2759" s="243" t="s">
        <v>96</v>
      </c>
      <c r="K2759" s="243" t="s">
        <v>1906</v>
      </c>
      <c r="L2759" s="243" t="s">
        <v>153</v>
      </c>
    </row>
    <row r="2760" spans="1:12" ht="15.6" hidden="1">
      <c r="A2760" s="438">
        <v>45933</v>
      </c>
      <c r="B2760" s="243" t="s">
        <v>1814</v>
      </c>
      <c r="C2760" s="243" t="s">
        <v>1815</v>
      </c>
      <c r="D2760" s="239" t="s">
        <v>115</v>
      </c>
      <c r="E2760" s="457">
        <v>1400</v>
      </c>
      <c r="F2760" s="407">
        <f t="shared" si="36"/>
        <v>2.5761908442177397</v>
      </c>
      <c r="G2760" s="408">
        <v>543.43799999999999</v>
      </c>
      <c r="H2760" s="239" t="s">
        <v>195</v>
      </c>
      <c r="I2760" s="243" t="s">
        <v>3748</v>
      </c>
      <c r="J2760" s="243" t="s">
        <v>96</v>
      </c>
      <c r="K2760" s="243" t="s">
        <v>1906</v>
      </c>
      <c r="L2760" s="243" t="s">
        <v>153</v>
      </c>
    </row>
    <row r="2761" spans="1:12" ht="15.6" hidden="1">
      <c r="A2761" s="438">
        <v>45933</v>
      </c>
      <c r="B2761" s="243" t="s">
        <v>3691</v>
      </c>
      <c r="C2761" s="239" t="s">
        <v>194</v>
      </c>
      <c r="D2761" s="239" t="s">
        <v>115</v>
      </c>
      <c r="E2761" s="457">
        <v>1000</v>
      </c>
      <c r="F2761" s="407">
        <f t="shared" si="36"/>
        <v>1.8401363172983856</v>
      </c>
      <c r="G2761" s="408">
        <v>543.43799999999999</v>
      </c>
      <c r="H2761" s="239" t="s">
        <v>195</v>
      </c>
      <c r="I2761" s="243" t="s">
        <v>3747</v>
      </c>
      <c r="J2761" s="243" t="s">
        <v>96</v>
      </c>
      <c r="K2761" s="243" t="s">
        <v>1906</v>
      </c>
      <c r="L2761" s="243" t="s">
        <v>153</v>
      </c>
    </row>
    <row r="2762" spans="1:12" ht="15.6" hidden="1">
      <c r="A2762" s="438">
        <v>45933</v>
      </c>
      <c r="B2762" s="243" t="s">
        <v>3692</v>
      </c>
      <c r="C2762" s="239" t="s">
        <v>194</v>
      </c>
      <c r="D2762" s="239" t="s">
        <v>115</v>
      </c>
      <c r="E2762" s="457">
        <v>1000</v>
      </c>
      <c r="F2762" s="407">
        <f t="shared" si="36"/>
        <v>1.8401363172983856</v>
      </c>
      <c r="G2762" s="408">
        <v>543.43799999999999</v>
      </c>
      <c r="H2762" s="239" t="s">
        <v>195</v>
      </c>
      <c r="I2762" s="243" t="s">
        <v>3747</v>
      </c>
      <c r="J2762" s="243" t="s">
        <v>96</v>
      </c>
      <c r="K2762" s="243" t="s">
        <v>1906</v>
      </c>
      <c r="L2762" s="243" t="s">
        <v>153</v>
      </c>
    </row>
    <row r="2763" spans="1:12" ht="15.6" hidden="1">
      <c r="A2763" s="438">
        <v>45934</v>
      </c>
      <c r="B2763" s="239" t="s">
        <v>3224</v>
      </c>
      <c r="C2763" s="453" t="s">
        <v>172</v>
      </c>
      <c r="D2763" s="453" t="s">
        <v>117</v>
      </c>
      <c r="E2763" s="458">
        <v>1000</v>
      </c>
      <c r="F2763" s="407">
        <f t="shared" si="36"/>
        <v>1.8401363172983856</v>
      </c>
      <c r="G2763" s="408">
        <v>543.43799999999999</v>
      </c>
      <c r="H2763" s="454" t="s">
        <v>151</v>
      </c>
      <c r="I2763" s="239" t="s">
        <v>3264</v>
      </c>
      <c r="J2763" s="243" t="s">
        <v>96</v>
      </c>
      <c r="K2763" s="243" t="s">
        <v>1906</v>
      </c>
      <c r="L2763" s="243" t="s">
        <v>153</v>
      </c>
    </row>
    <row r="2764" spans="1:12" ht="15.6" hidden="1">
      <c r="A2764" s="438">
        <v>45934</v>
      </c>
      <c r="B2764" s="239" t="s">
        <v>3225</v>
      </c>
      <c r="C2764" s="453" t="s">
        <v>172</v>
      </c>
      <c r="D2764" s="453" t="s">
        <v>117</v>
      </c>
      <c r="E2764" s="458">
        <v>1000</v>
      </c>
      <c r="F2764" s="407">
        <f t="shared" si="36"/>
        <v>1.8401363172983856</v>
      </c>
      <c r="G2764" s="408">
        <v>543.43799999999999</v>
      </c>
      <c r="H2764" s="454" t="s">
        <v>151</v>
      </c>
      <c r="I2764" s="239" t="s">
        <v>3264</v>
      </c>
      <c r="J2764" s="243" t="s">
        <v>96</v>
      </c>
      <c r="K2764" s="243" t="s">
        <v>1906</v>
      </c>
      <c r="L2764" s="243" t="s">
        <v>153</v>
      </c>
    </row>
    <row r="2765" spans="1:12" ht="15.6" hidden="1">
      <c r="A2765" s="438">
        <v>45934</v>
      </c>
      <c r="B2765" s="239" t="s">
        <v>3226</v>
      </c>
      <c r="C2765" s="453" t="s">
        <v>2394</v>
      </c>
      <c r="D2765" s="453" t="s">
        <v>117</v>
      </c>
      <c r="E2765" s="458">
        <v>3300</v>
      </c>
      <c r="F2765" s="407">
        <f t="shared" si="36"/>
        <v>6.0724498470846724</v>
      </c>
      <c r="G2765" s="408">
        <v>543.43799999999999</v>
      </c>
      <c r="H2765" s="454" t="s">
        <v>151</v>
      </c>
      <c r="I2765" s="239" t="s">
        <v>3265</v>
      </c>
      <c r="J2765" s="243" t="s">
        <v>96</v>
      </c>
      <c r="K2765" s="243" t="s">
        <v>1906</v>
      </c>
      <c r="L2765" s="243" t="s">
        <v>153</v>
      </c>
    </row>
    <row r="2766" spans="1:12" ht="15.6" hidden="1">
      <c r="A2766" s="438">
        <v>45934</v>
      </c>
      <c r="B2766" s="239" t="s">
        <v>3227</v>
      </c>
      <c r="C2766" s="453" t="s">
        <v>172</v>
      </c>
      <c r="D2766" s="453" t="s">
        <v>117</v>
      </c>
      <c r="E2766" s="458">
        <v>1000</v>
      </c>
      <c r="F2766" s="407">
        <f t="shared" si="36"/>
        <v>1.8401363172983856</v>
      </c>
      <c r="G2766" s="408">
        <v>543.43799999999999</v>
      </c>
      <c r="H2766" s="454" t="s">
        <v>151</v>
      </c>
      <c r="I2766" s="239" t="s">
        <v>3264</v>
      </c>
      <c r="J2766" s="243" t="s">
        <v>96</v>
      </c>
      <c r="K2766" s="243" t="s">
        <v>1906</v>
      </c>
      <c r="L2766" s="243" t="s">
        <v>153</v>
      </c>
    </row>
    <row r="2767" spans="1:12" ht="15.6" hidden="1">
      <c r="A2767" s="438">
        <v>45934</v>
      </c>
      <c r="B2767" s="239" t="s">
        <v>3225</v>
      </c>
      <c r="C2767" s="453" t="s">
        <v>172</v>
      </c>
      <c r="D2767" s="453" t="s">
        <v>117</v>
      </c>
      <c r="E2767" s="458">
        <v>1000</v>
      </c>
      <c r="F2767" s="407">
        <f t="shared" si="36"/>
        <v>1.8401363172983856</v>
      </c>
      <c r="G2767" s="408">
        <v>543.43799999999999</v>
      </c>
      <c r="H2767" s="454" t="s">
        <v>151</v>
      </c>
      <c r="I2767" s="239" t="s">
        <v>3264</v>
      </c>
      <c r="J2767" s="243" t="s">
        <v>96</v>
      </c>
      <c r="K2767" s="243" t="s">
        <v>1906</v>
      </c>
      <c r="L2767" s="243" t="s">
        <v>153</v>
      </c>
    </row>
    <row r="2768" spans="1:12" ht="15.6" hidden="1">
      <c r="A2768" s="438">
        <v>45934</v>
      </c>
      <c r="B2768" s="239" t="s">
        <v>3228</v>
      </c>
      <c r="C2768" s="453" t="s">
        <v>172</v>
      </c>
      <c r="D2768" s="453" t="s">
        <v>117</v>
      </c>
      <c r="E2768" s="458">
        <v>1000</v>
      </c>
      <c r="F2768" s="407">
        <f t="shared" si="36"/>
        <v>1.8401363172983856</v>
      </c>
      <c r="G2768" s="408">
        <v>543.43799999999999</v>
      </c>
      <c r="H2768" s="454" t="s">
        <v>151</v>
      </c>
      <c r="I2768" s="239" t="s">
        <v>3264</v>
      </c>
      <c r="J2768" s="243" t="s">
        <v>96</v>
      </c>
      <c r="K2768" s="243" t="s">
        <v>1906</v>
      </c>
      <c r="L2768" s="243" t="s">
        <v>153</v>
      </c>
    </row>
    <row r="2769" spans="1:12" ht="15.6" hidden="1">
      <c r="A2769" s="438">
        <v>45934</v>
      </c>
      <c r="B2769" s="239" t="s">
        <v>3229</v>
      </c>
      <c r="C2769" s="453" t="s">
        <v>172</v>
      </c>
      <c r="D2769" s="453" t="s">
        <v>117</v>
      </c>
      <c r="E2769" s="458">
        <v>9000</v>
      </c>
      <c r="F2769" s="407">
        <f t="shared" si="36"/>
        <v>16.561226855685469</v>
      </c>
      <c r="G2769" s="408">
        <v>543.43799999999999</v>
      </c>
      <c r="H2769" s="454" t="s">
        <v>151</v>
      </c>
      <c r="I2769" s="239" t="s">
        <v>3266</v>
      </c>
      <c r="J2769" s="243" t="s">
        <v>96</v>
      </c>
      <c r="K2769" s="243" t="s">
        <v>1906</v>
      </c>
      <c r="L2769" s="243" t="s">
        <v>153</v>
      </c>
    </row>
    <row r="2770" spans="1:12" ht="15.6" hidden="1">
      <c r="A2770" s="438">
        <v>45934</v>
      </c>
      <c r="B2770" s="239" t="s">
        <v>3230</v>
      </c>
      <c r="C2770" s="453" t="s">
        <v>2394</v>
      </c>
      <c r="D2770" s="453" t="s">
        <v>117</v>
      </c>
      <c r="E2770" s="458">
        <v>90000</v>
      </c>
      <c r="F2770" s="407">
        <f t="shared" ref="F2770:F2833" si="37">E2770/G2770</f>
        <v>165.6122685568547</v>
      </c>
      <c r="G2770" s="408">
        <v>543.43799999999999</v>
      </c>
      <c r="H2770" s="454" t="s">
        <v>151</v>
      </c>
      <c r="I2770" s="239" t="s">
        <v>3267</v>
      </c>
      <c r="J2770" s="243" t="s">
        <v>96</v>
      </c>
      <c r="K2770" s="243" t="s">
        <v>1906</v>
      </c>
      <c r="L2770" s="243" t="s">
        <v>153</v>
      </c>
    </row>
    <row r="2771" spans="1:12" ht="15.6" hidden="1">
      <c r="A2771" s="438">
        <v>45934</v>
      </c>
      <c r="B2771" s="329" t="s">
        <v>3308</v>
      </c>
      <c r="C2771" s="329" t="s">
        <v>172</v>
      </c>
      <c r="D2771" s="329" t="s">
        <v>115</v>
      </c>
      <c r="E2771" s="451">
        <v>1000</v>
      </c>
      <c r="F2771" s="407">
        <f t="shared" si="37"/>
        <v>1.8401363172983856</v>
      </c>
      <c r="G2771" s="408">
        <v>543.43799999999999</v>
      </c>
      <c r="H2771" s="329" t="s">
        <v>198</v>
      </c>
      <c r="I2771" s="329" t="s">
        <v>3349</v>
      </c>
      <c r="J2771" s="243" t="s">
        <v>96</v>
      </c>
      <c r="K2771" s="243" t="s">
        <v>1906</v>
      </c>
      <c r="L2771" s="243" t="s">
        <v>153</v>
      </c>
    </row>
    <row r="2772" spans="1:12" ht="15.6" hidden="1">
      <c r="A2772" s="438">
        <v>45934</v>
      </c>
      <c r="B2772" s="329" t="s">
        <v>3309</v>
      </c>
      <c r="C2772" s="329" t="s">
        <v>172</v>
      </c>
      <c r="D2772" s="329" t="s">
        <v>115</v>
      </c>
      <c r="E2772" s="451">
        <v>1000</v>
      </c>
      <c r="F2772" s="407">
        <f t="shared" si="37"/>
        <v>1.8401363172983856</v>
      </c>
      <c r="G2772" s="408">
        <v>543.43799999999999</v>
      </c>
      <c r="H2772" s="329" t="s">
        <v>198</v>
      </c>
      <c r="I2772" s="329" t="s">
        <v>3349</v>
      </c>
      <c r="J2772" s="243" t="s">
        <v>96</v>
      </c>
      <c r="K2772" s="243" t="s">
        <v>1906</v>
      </c>
      <c r="L2772" s="243" t="s">
        <v>153</v>
      </c>
    </row>
    <row r="2773" spans="1:12" ht="15.6" hidden="1">
      <c r="A2773" s="438">
        <v>45934</v>
      </c>
      <c r="B2773" s="329" t="s">
        <v>3282</v>
      </c>
      <c r="C2773" s="329" t="s">
        <v>172</v>
      </c>
      <c r="D2773" s="329" t="s">
        <v>115</v>
      </c>
      <c r="E2773" s="451">
        <v>9600</v>
      </c>
      <c r="F2773" s="407">
        <f t="shared" si="37"/>
        <v>17.665308646064499</v>
      </c>
      <c r="G2773" s="408">
        <v>543.43799999999999</v>
      </c>
      <c r="H2773" s="329" t="s">
        <v>198</v>
      </c>
      <c r="I2773" s="329" t="s">
        <v>3351</v>
      </c>
      <c r="J2773" s="243" t="s">
        <v>96</v>
      </c>
      <c r="K2773" s="243" t="s">
        <v>1906</v>
      </c>
      <c r="L2773" s="243" t="s">
        <v>153</v>
      </c>
    </row>
    <row r="2774" spans="1:12" ht="15.6" hidden="1">
      <c r="A2774" s="438">
        <v>45934</v>
      </c>
      <c r="B2774" s="329" t="s">
        <v>3310</v>
      </c>
      <c r="C2774" s="329" t="s">
        <v>172</v>
      </c>
      <c r="D2774" s="329" t="s">
        <v>115</v>
      </c>
      <c r="E2774" s="451">
        <v>1000</v>
      </c>
      <c r="F2774" s="407">
        <f t="shared" si="37"/>
        <v>1.8401363172983856</v>
      </c>
      <c r="G2774" s="408">
        <v>543.43799999999999</v>
      </c>
      <c r="H2774" s="329" t="s">
        <v>198</v>
      </c>
      <c r="I2774" s="329" t="s">
        <v>3349</v>
      </c>
      <c r="J2774" s="243" t="s">
        <v>96</v>
      </c>
      <c r="K2774" s="243" t="s">
        <v>1906</v>
      </c>
      <c r="L2774" s="243" t="s">
        <v>153</v>
      </c>
    </row>
    <row r="2775" spans="1:12" ht="15.6" hidden="1">
      <c r="A2775" s="438">
        <v>45934</v>
      </c>
      <c r="B2775" s="329" t="s">
        <v>3311</v>
      </c>
      <c r="C2775" s="329" t="s">
        <v>172</v>
      </c>
      <c r="D2775" s="329" t="s">
        <v>115</v>
      </c>
      <c r="E2775" s="451">
        <v>1000</v>
      </c>
      <c r="F2775" s="407">
        <f t="shared" si="37"/>
        <v>1.8401363172983856</v>
      </c>
      <c r="G2775" s="408">
        <v>543.43799999999999</v>
      </c>
      <c r="H2775" s="329" t="s">
        <v>198</v>
      </c>
      <c r="I2775" s="329" t="s">
        <v>3349</v>
      </c>
      <c r="J2775" s="243" t="s">
        <v>96</v>
      </c>
      <c r="K2775" s="243" t="s">
        <v>1906</v>
      </c>
      <c r="L2775" s="243" t="s">
        <v>153</v>
      </c>
    </row>
    <row r="2776" spans="1:12" ht="15.6" hidden="1">
      <c r="A2776" s="438">
        <v>45934</v>
      </c>
      <c r="B2776" s="329" t="s">
        <v>3312</v>
      </c>
      <c r="C2776" s="329" t="s">
        <v>172</v>
      </c>
      <c r="D2776" s="329" t="s">
        <v>115</v>
      </c>
      <c r="E2776" s="451">
        <v>1000</v>
      </c>
      <c r="F2776" s="407">
        <f t="shared" si="37"/>
        <v>1.8401363172983856</v>
      </c>
      <c r="G2776" s="408">
        <v>543.43799999999999</v>
      </c>
      <c r="H2776" s="329" t="s">
        <v>198</v>
      </c>
      <c r="I2776" s="329" t="s">
        <v>3349</v>
      </c>
      <c r="J2776" s="243" t="s">
        <v>96</v>
      </c>
      <c r="K2776" s="243" t="s">
        <v>1906</v>
      </c>
      <c r="L2776" s="243" t="s">
        <v>153</v>
      </c>
    </row>
    <row r="2777" spans="1:12" ht="15.6" hidden="1">
      <c r="A2777" s="438">
        <v>45934</v>
      </c>
      <c r="B2777" s="329" t="s">
        <v>3313</v>
      </c>
      <c r="C2777" s="329" t="s">
        <v>172</v>
      </c>
      <c r="D2777" s="329" t="s">
        <v>115</v>
      </c>
      <c r="E2777" s="451">
        <v>1000</v>
      </c>
      <c r="F2777" s="407">
        <f t="shared" si="37"/>
        <v>1.8401363172983856</v>
      </c>
      <c r="G2777" s="408">
        <v>543.43799999999999</v>
      </c>
      <c r="H2777" s="329" t="s">
        <v>198</v>
      </c>
      <c r="I2777" s="329" t="s">
        <v>3349</v>
      </c>
      <c r="J2777" s="243" t="s">
        <v>96</v>
      </c>
      <c r="K2777" s="243" t="s">
        <v>1906</v>
      </c>
      <c r="L2777" s="243" t="s">
        <v>153</v>
      </c>
    </row>
    <row r="2778" spans="1:12" ht="15.6" hidden="1">
      <c r="A2778" s="438">
        <v>45934</v>
      </c>
      <c r="B2778" s="331" t="s">
        <v>4926</v>
      </c>
      <c r="C2778" s="331" t="s">
        <v>172</v>
      </c>
      <c r="D2778" s="331" t="s">
        <v>119</v>
      </c>
      <c r="E2778" s="459">
        <v>50000</v>
      </c>
      <c r="F2778" s="407">
        <f t="shared" si="37"/>
        <v>92.006815864919275</v>
      </c>
      <c r="G2778" s="408">
        <v>543.43799999999999</v>
      </c>
      <c r="H2778" s="331" t="s">
        <v>182</v>
      </c>
      <c r="I2778" s="331" t="s">
        <v>3448</v>
      </c>
      <c r="J2778" s="243" t="s">
        <v>96</v>
      </c>
      <c r="K2778" s="243" t="s">
        <v>1906</v>
      </c>
      <c r="L2778" s="243" t="s">
        <v>153</v>
      </c>
    </row>
    <row r="2779" spans="1:12" ht="15.6" hidden="1">
      <c r="A2779" s="438">
        <v>45934</v>
      </c>
      <c r="B2779" s="331" t="s">
        <v>4960</v>
      </c>
      <c r="C2779" s="331" t="s">
        <v>172</v>
      </c>
      <c r="D2779" s="331" t="s">
        <v>119</v>
      </c>
      <c r="E2779" s="459">
        <v>1000</v>
      </c>
      <c r="F2779" s="407">
        <f t="shared" si="37"/>
        <v>1.8401363172983856</v>
      </c>
      <c r="G2779" s="408">
        <v>543.43799999999999</v>
      </c>
      <c r="H2779" s="331" t="s">
        <v>182</v>
      </c>
      <c r="I2779" s="331" t="s">
        <v>3447</v>
      </c>
      <c r="J2779" s="243" t="s">
        <v>96</v>
      </c>
      <c r="K2779" s="243" t="s">
        <v>1906</v>
      </c>
      <c r="L2779" s="243" t="s">
        <v>153</v>
      </c>
    </row>
    <row r="2780" spans="1:12" ht="15.6" hidden="1">
      <c r="A2780" s="438">
        <v>45934</v>
      </c>
      <c r="B2780" s="331" t="s">
        <v>4917</v>
      </c>
      <c r="C2780" s="331" t="s">
        <v>172</v>
      </c>
      <c r="D2780" s="331" t="s">
        <v>119</v>
      </c>
      <c r="E2780" s="459">
        <v>1000</v>
      </c>
      <c r="F2780" s="407">
        <f t="shared" si="37"/>
        <v>1.8401363172983856</v>
      </c>
      <c r="G2780" s="408">
        <v>543.43799999999999</v>
      </c>
      <c r="H2780" s="331" t="s">
        <v>182</v>
      </c>
      <c r="I2780" s="331" t="s">
        <v>3447</v>
      </c>
      <c r="J2780" s="243" t="s">
        <v>96</v>
      </c>
      <c r="K2780" s="243" t="s">
        <v>1906</v>
      </c>
      <c r="L2780" s="243" t="s">
        <v>153</v>
      </c>
    </row>
    <row r="2781" spans="1:12" ht="15.6" hidden="1">
      <c r="A2781" s="438">
        <v>45934</v>
      </c>
      <c r="B2781" s="331" t="s">
        <v>4917</v>
      </c>
      <c r="C2781" s="331" t="s">
        <v>172</v>
      </c>
      <c r="D2781" s="331" t="s">
        <v>119</v>
      </c>
      <c r="E2781" s="459">
        <v>1500</v>
      </c>
      <c r="F2781" s="407">
        <f t="shared" si="37"/>
        <v>2.7602044759475781</v>
      </c>
      <c r="G2781" s="408">
        <v>543.43799999999999</v>
      </c>
      <c r="H2781" s="331" t="s">
        <v>182</v>
      </c>
      <c r="I2781" s="331" t="s">
        <v>3447</v>
      </c>
      <c r="J2781" s="243" t="s">
        <v>96</v>
      </c>
      <c r="K2781" s="243" t="s">
        <v>1906</v>
      </c>
      <c r="L2781" s="243" t="s">
        <v>153</v>
      </c>
    </row>
    <row r="2782" spans="1:12" ht="15.6" hidden="1">
      <c r="A2782" s="438">
        <v>45934</v>
      </c>
      <c r="B2782" s="331" t="s">
        <v>4912</v>
      </c>
      <c r="C2782" s="331" t="s">
        <v>172</v>
      </c>
      <c r="D2782" s="331" t="s">
        <v>119</v>
      </c>
      <c r="E2782" s="459">
        <v>1000</v>
      </c>
      <c r="F2782" s="407">
        <f t="shared" si="37"/>
        <v>1.8401363172983856</v>
      </c>
      <c r="G2782" s="408">
        <v>543.43799999999999</v>
      </c>
      <c r="H2782" s="331" t="s">
        <v>182</v>
      </c>
      <c r="I2782" s="331" t="s">
        <v>3447</v>
      </c>
      <c r="J2782" s="243" t="s">
        <v>96</v>
      </c>
      <c r="K2782" s="243" t="s">
        <v>1906</v>
      </c>
      <c r="L2782" s="243" t="s">
        <v>153</v>
      </c>
    </row>
    <row r="2783" spans="1:12" ht="15.6" hidden="1">
      <c r="A2783" s="438">
        <v>45934</v>
      </c>
      <c r="B2783" s="331" t="s">
        <v>4917</v>
      </c>
      <c r="C2783" s="331" t="s">
        <v>172</v>
      </c>
      <c r="D2783" s="331" t="s">
        <v>119</v>
      </c>
      <c r="E2783" s="459">
        <v>1000</v>
      </c>
      <c r="F2783" s="407">
        <f t="shared" si="37"/>
        <v>1.8401363172983856</v>
      </c>
      <c r="G2783" s="408">
        <v>543.43799999999999</v>
      </c>
      <c r="H2783" s="331" t="s">
        <v>182</v>
      </c>
      <c r="I2783" s="331" t="s">
        <v>3447</v>
      </c>
      <c r="J2783" s="243" t="s">
        <v>96</v>
      </c>
      <c r="K2783" s="243" t="s">
        <v>1906</v>
      </c>
      <c r="L2783" s="243" t="s">
        <v>153</v>
      </c>
    </row>
    <row r="2784" spans="1:12" ht="15.6" hidden="1">
      <c r="A2784" s="438">
        <v>45934</v>
      </c>
      <c r="B2784" s="331" t="s">
        <v>4758</v>
      </c>
      <c r="C2784" s="331" t="s">
        <v>172</v>
      </c>
      <c r="D2784" s="331" t="s">
        <v>119</v>
      </c>
      <c r="E2784" s="459">
        <v>8000</v>
      </c>
      <c r="F2784" s="407">
        <f t="shared" si="37"/>
        <v>14.721090538387084</v>
      </c>
      <c r="G2784" s="408">
        <v>543.43799999999999</v>
      </c>
      <c r="H2784" s="331" t="s">
        <v>182</v>
      </c>
      <c r="I2784" s="331" t="s">
        <v>3449</v>
      </c>
      <c r="J2784" s="243" t="s">
        <v>96</v>
      </c>
      <c r="K2784" s="243" t="s">
        <v>1906</v>
      </c>
      <c r="L2784" s="243" t="s">
        <v>153</v>
      </c>
    </row>
    <row r="2785" spans="1:12" ht="15.6" hidden="1">
      <c r="A2785" s="438">
        <v>45934</v>
      </c>
      <c r="B2785" s="331" t="s">
        <v>4759</v>
      </c>
      <c r="C2785" s="331" t="s">
        <v>175</v>
      </c>
      <c r="D2785" s="331" t="s">
        <v>119</v>
      </c>
      <c r="E2785" s="459">
        <v>60000</v>
      </c>
      <c r="F2785" s="407">
        <f t="shared" si="37"/>
        <v>110.40817903790312</v>
      </c>
      <c r="G2785" s="408">
        <v>543.43799999999999</v>
      </c>
      <c r="H2785" s="331" t="s">
        <v>182</v>
      </c>
      <c r="I2785" s="331" t="s">
        <v>3450</v>
      </c>
      <c r="J2785" s="243" t="s">
        <v>96</v>
      </c>
      <c r="K2785" s="243" t="s">
        <v>1906</v>
      </c>
      <c r="L2785" s="243" t="s">
        <v>153</v>
      </c>
    </row>
    <row r="2786" spans="1:12" ht="15.6" hidden="1">
      <c r="A2786" s="438">
        <v>45934</v>
      </c>
      <c r="B2786" s="243" t="s">
        <v>1094</v>
      </c>
      <c r="C2786" s="239" t="s">
        <v>194</v>
      </c>
      <c r="D2786" s="239" t="s">
        <v>2417</v>
      </c>
      <c r="E2786" s="457">
        <v>25000</v>
      </c>
      <c r="F2786" s="407">
        <f t="shared" si="37"/>
        <v>46.003407932459638</v>
      </c>
      <c r="G2786" s="408">
        <v>543.43799999999999</v>
      </c>
      <c r="H2786" s="239" t="s">
        <v>195</v>
      </c>
      <c r="I2786" s="243" t="s">
        <v>3749</v>
      </c>
      <c r="J2786" s="243" t="s">
        <v>96</v>
      </c>
      <c r="K2786" s="243" t="s">
        <v>1906</v>
      </c>
      <c r="L2786" s="243" t="s">
        <v>153</v>
      </c>
    </row>
    <row r="2787" spans="1:12" ht="15.6" hidden="1">
      <c r="A2787" s="438">
        <v>45934</v>
      </c>
      <c r="B2787" s="243" t="s">
        <v>3693</v>
      </c>
      <c r="C2787" s="239" t="s">
        <v>175</v>
      </c>
      <c r="D2787" s="239" t="s">
        <v>115</v>
      </c>
      <c r="E2787" s="457">
        <v>18300</v>
      </c>
      <c r="F2787" s="407">
        <f t="shared" si="37"/>
        <v>33.674494606560458</v>
      </c>
      <c r="G2787" s="408">
        <v>543.43799999999999</v>
      </c>
      <c r="H2787" s="239" t="s">
        <v>195</v>
      </c>
      <c r="I2787" s="243" t="s">
        <v>3750</v>
      </c>
      <c r="J2787" s="243" t="s">
        <v>96</v>
      </c>
      <c r="K2787" s="243" t="s">
        <v>1906</v>
      </c>
      <c r="L2787" s="243" t="s">
        <v>153</v>
      </c>
    </row>
    <row r="2788" spans="1:12" ht="15.6" hidden="1">
      <c r="A2788" s="438">
        <v>45934</v>
      </c>
      <c r="B2788" s="243" t="s">
        <v>3694</v>
      </c>
      <c r="C2788" s="239" t="s">
        <v>194</v>
      </c>
      <c r="D2788" s="239" t="s">
        <v>115</v>
      </c>
      <c r="E2788" s="457">
        <v>1000</v>
      </c>
      <c r="F2788" s="407">
        <f t="shared" si="37"/>
        <v>1.8401363172983856</v>
      </c>
      <c r="G2788" s="408">
        <v>543.43799999999999</v>
      </c>
      <c r="H2788" s="239" t="s">
        <v>195</v>
      </c>
      <c r="I2788" s="243" t="s">
        <v>3747</v>
      </c>
      <c r="J2788" s="243" t="s">
        <v>96</v>
      </c>
      <c r="K2788" s="243" t="s">
        <v>1906</v>
      </c>
      <c r="L2788" s="243" t="s">
        <v>153</v>
      </c>
    </row>
    <row r="2789" spans="1:12" ht="15.6" hidden="1">
      <c r="A2789" s="438">
        <v>45934</v>
      </c>
      <c r="B2789" s="243" t="s">
        <v>3695</v>
      </c>
      <c r="C2789" s="239" t="s">
        <v>194</v>
      </c>
      <c r="D2789" s="239" t="s">
        <v>115</v>
      </c>
      <c r="E2789" s="457">
        <v>1000</v>
      </c>
      <c r="F2789" s="407">
        <f t="shared" si="37"/>
        <v>1.8401363172983856</v>
      </c>
      <c r="G2789" s="408">
        <v>543.43799999999999</v>
      </c>
      <c r="H2789" s="239" t="s">
        <v>195</v>
      </c>
      <c r="I2789" s="243" t="s">
        <v>3747</v>
      </c>
      <c r="J2789" s="243" t="s">
        <v>96</v>
      </c>
      <c r="K2789" s="243" t="s">
        <v>1906</v>
      </c>
      <c r="L2789" s="243" t="s">
        <v>153</v>
      </c>
    </row>
    <row r="2790" spans="1:12" ht="15.6" hidden="1">
      <c r="A2790" s="438">
        <v>45934</v>
      </c>
      <c r="B2790" s="243" t="s">
        <v>3696</v>
      </c>
      <c r="C2790" s="239" t="s">
        <v>194</v>
      </c>
      <c r="D2790" s="239" t="s">
        <v>115</v>
      </c>
      <c r="E2790" s="457">
        <v>1000</v>
      </c>
      <c r="F2790" s="407">
        <f t="shared" si="37"/>
        <v>1.8401363172983856</v>
      </c>
      <c r="G2790" s="408">
        <v>543.43799999999999</v>
      </c>
      <c r="H2790" s="239" t="s">
        <v>195</v>
      </c>
      <c r="I2790" s="243" t="s">
        <v>3747</v>
      </c>
      <c r="J2790" s="243" t="s">
        <v>96</v>
      </c>
      <c r="K2790" s="243" t="s">
        <v>1906</v>
      </c>
      <c r="L2790" s="243" t="s">
        <v>153</v>
      </c>
    </row>
    <row r="2791" spans="1:12" ht="15.6" hidden="1">
      <c r="A2791" s="438">
        <v>45934</v>
      </c>
      <c r="B2791" s="243" t="s">
        <v>3697</v>
      </c>
      <c r="C2791" s="239" t="s">
        <v>194</v>
      </c>
      <c r="D2791" s="239" t="s">
        <v>115</v>
      </c>
      <c r="E2791" s="457">
        <v>1000</v>
      </c>
      <c r="F2791" s="407">
        <f t="shared" si="37"/>
        <v>1.8401363172983856</v>
      </c>
      <c r="G2791" s="408">
        <v>543.43799999999999</v>
      </c>
      <c r="H2791" s="239" t="s">
        <v>195</v>
      </c>
      <c r="I2791" s="243" t="s">
        <v>3747</v>
      </c>
      <c r="J2791" s="243" t="s">
        <v>96</v>
      </c>
      <c r="K2791" s="243" t="s">
        <v>1906</v>
      </c>
      <c r="L2791" s="243" t="s">
        <v>153</v>
      </c>
    </row>
    <row r="2792" spans="1:12" ht="15.6" hidden="1">
      <c r="A2792" s="438">
        <v>45934</v>
      </c>
      <c r="B2792" s="243" t="s">
        <v>3698</v>
      </c>
      <c r="C2792" s="239" t="s">
        <v>194</v>
      </c>
      <c r="D2792" s="239" t="s">
        <v>115</v>
      </c>
      <c r="E2792" s="457">
        <v>1000</v>
      </c>
      <c r="F2792" s="407">
        <f t="shared" si="37"/>
        <v>1.8401363172983856</v>
      </c>
      <c r="G2792" s="408">
        <v>543.43799999999999</v>
      </c>
      <c r="H2792" s="239" t="s">
        <v>195</v>
      </c>
      <c r="I2792" s="243" t="s">
        <v>3747</v>
      </c>
      <c r="J2792" s="243" t="s">
        <v>96</v>
      </c>
      <c r="K2792" s="243" t="s">
        <v>1906</v>
      </c>
      <c r="L2792" s="243" t="s">
        <v>153</v>
      </c>
    </row>
    <row r="2793" spans="1:12" ht="15.6" hidden="1">
      <c r="A2793" s="438">
        <v>45934</v>
      </c>
      <c r="B2793" s="243" t="s">
        <v>3699</v>
      </c>
      <c r="C2793" s="239" t="s">
        <v>194</v>
      </c>
      <c r="D2793" s="239" t="s">
        <v>115</v>
      </c>
      <c r="E2793" s="457">
        <v>1000</v>
      </c>
      <c r="F2793" s="407">
        <f t="shared" si="37"/>
        <v>1.8401363172983856</v>
      </c>
      <c r="G2793" s="408">
        <v>543.43799999999999</v>
      </c>
      <c r="H2793" s="239" t="s">
        <v>195</v>
      </c>
      <c r="I2793" s="243" t="s">
        <v>3747</v>
      </c>
      <c r="J2793" s="243" t="s">
        <v>96</v>
      </c>
      <c r="K2793" s="243" t="s">
        <v>1906</v>
      </c>
      <c r="L2793" s="243" t="s">
        <v>153</v>
      </c>
    </row>
    <row r="2794" spans="1:12" ht="15.6" hidden="1">
      <c r="A2794" s="438">
        <v>45934</v>
      </c>
      <c r="B2794" s="243" t="s">
        <v>3700</v>
      </c>
      <c r="C2794" s="239" t="s">
        <v>194</v>
      </c>
      <c r="D2794" s="239" t="s">
        <v>115</v>
      </c>
      <c r="E2794" s="457">
        <v>1000</v>
      </c>
      <c r="F2794" s="407">
        <f t="shared" si="37"/>
        <v>1.8401363172983856</v>
      </c>
      <c r="G2794" s="408">
        <v>543.43799999999999</v>
      </c>
      <c r="H2794" s="239" t="s">
        <v>195</v>
      </c>
      <c r="I2794" s="243" t="s">
        <v>3747</v>
      </c>
      <c r="J2794" s="243" t="s">
        <v>96</v>
      </c>
      <c r="K2794" s="243" t="s">
        <v>1906</v>
      </c>
      <c r="L2794" s="243" t="s">
        <v>153</v>
      </c>
    </row>
    <row r="2795" spans="1:12" ht="15.6" hidden="1">
      <c r="A2795" s="438">
        <v>45934</v>
      </c>
      <c r="B2795" s="243" t="s">
        <v>3701</v>
      </c>
      <c r="C2795" s="243" t="s">
        <v>311</v>
      </c>
      <c r="D2795" s="239" t="s">
        <v>115</v>
      </c>
      <c r="E2795" s="457">
        <v>3000</v>
      </c>
      <c r="F2795" s="407">
        <f t="shared" si="37"/>
        <v>5.5204089518951562</v>
      </c>
      <c r="G2795" s="408">
        <v>543.43799999999999</v>
      </c>
      <c r="H2795" s="239" t="s">
        <v>195</v>
      </c>
      <c r="I2795" s="243" t="s">
        <v>3751</v>
      </c>
      <c r="J2795" s="243" t="s">
        <v>96</v>
      </c>
      <c r="K2795" s="243" t="s">
        <v>1906</v>
      </c>
      <c r="L2795" s="243" t="s">
        <v>153</v>
      </c>
    </row>
    <row r="2796" spans="1:12" ht="15.6" hidden="1">
      <c r="A2796" s="438">
        <v>45934</v>
      </c>
      <c r="B2796" s="243" t="s">
        <v>3702</v>
      </c>
      <c r="C2796" s="239" t="s">
        <v>194</v>
      </c>
      <c r="D2796" s="239" t="s">
        <v>115</v>
      </c>
      <c r="E2796" s="457">
        <v>1000</v>
      </c>
      <c r="F2796" s="407">
        <f t="shared" si="37"/>
        <v>1.8401363172983856</v>
      </c>
      <c r="G2796" s="408">
        <v>543.43799999999999</v>
      </c>
      <c r="H2796" s="239" t="s">
        <v>195</v>
      </c>
      <c r="I2796" s="243" t="s">
        <v>3747</v>
      </c>
      <c r="J2796" s="243" t="s">
        <v>96</v>
      </c>
      <c r="K2796" s="243" t="s">
        <v>1906</v>
      </c>
      <c r="L2796" s="243" t="s">
        <v>153</v>
      </c>
    </row>
    <row r="2797" spans="1:12" ht="15.6" hidden="1">
      <c r="A2797" s="438">
        <v>45934</v>
      </c>
      <c r="B2797" s="461" t="s">
        <v>3764</v>
      </c>
      <c r="C2797" s="439" t="s">
        <v>172</v>
      </c>
      <c r="D2797" s="461" t="s">
        <v>118</v>
      </c>
      <c r="E2797" s="464">
        <v>1000</v>
      </c>
      <c r="F2797" s="407">
        <f t="shared" si="37"/>
        <v>1.8401363172983856</v>
      </c>
      <c r="G2797" s="408">
        <v>543.43799999999999</v>
      </c>
      <c r="H2797" s="461" t="s">
        <v>211</v>
      </c>
      <c r="I2797" s="461" t="s">
        <v>3910</v>
      </c>
      <c r="J2797" s="243" t="s">
        <v>96</v>
      </c>
      <c r="K2797" s="243" t="s">
        <v>1906</v>
      </c>
      <c r="L2797" s="243" t="s">
        <v>153</v>
      </c>
    </row>
    <row r="2798" spans="1:12" ht="15.6" hidden="1">
      <c r="A2798" s="438">
        <v>45934</v>
      </c>
      <c r="B2798" s="461" t="s">
        <v>3765</v>
      </c>
      <c r="C2798" s="439" t="s">
        <v>175</v>
      </c>
      <c r="D2798" s="461" t="s">
        <v>118</v>
      </c>
      <c r="E2798" s="464">
        <v>11000</v>
      </c>
      <c r="F2798" s="407">
        <f t="shared" si="37"/>
        <v>20.241499490282241</v>
      </c>
      <c r="G2798" s="408">
        <v>543.43799999999999</v>
      </c>
      <c r="H2798" s="461" t="s">
        <v>211</v>
      </c>
      <c r="I2798" s="461" t="s">
        <v>3911</v>
      </c>
      <c r="J2798" s="243" t="s">
        <v>96</v>
      </c>
      <c r="K2798" s="243" t="s">
        <v>1906</v>
      </c>
      <c r="L2798" s="243" t="s">
        <v>153</v>
      </c>
    </row>
    <row r="2799" spans="1:12" ht="15.6" hidden="1">
      <c r="A2799" s="438">
        <v>45934</v>
      </c>
      <c r="B2799" s="461" t="s">
        <v>3766</v>
      </c>
      <c r="C2799" s="439" t="s">
        <v>172</v>
      </c>
      <c r="D2799" s="461" t="s">
        <v>118</v>
      </c>
      <c r="E2799" s="464">
        <v>1000</v>
      </c>
      <c r="F2799" s="407">
        <f t="shared" si="37"/>
        <v>1.8401363172983856</v>
      </c>
      <c r="G2799" s="408">
        <v>543.43799999999999</v>
      </c>
      <c r="H2799" s="461" t="s">
        <v>211</v>
      </c>
      <c r="I2799" s="461" t="s">
        <v>3910</v>
      </c>
      <c r="J2799" s="243" t="s">
        <v>96</v>
      </c>
      <c r="K2799" s="243" t="s">
        <v>1906</v>
      </c>
      <c r="L2799" s="243" t="s">
        <v>153</v>
      </c>
    </row>
    <row r="2800" spans="1:12" ht="15.6" hidden="1">
      <c r="A2800" s="438">
        <v>45935</v>
      </c>
      <c r="B2800" s="239" t="s">
        <v>3231</v>
      </c>
      <c r="C2800" s="453" t="s">
        <v>172</v>
      </c>
      <c r="D2800" s="453" t="s">
        <v>117</v>
      </c>
      <c r="E2800" s="458">
        <v>2000</v>
      </c>
      <c r="F2800" s="407">
        <f t="shared" si="37"/>
        <v>3.6802726345967711</v>
      </c>
      <c r="G2800" s="408">
        <v>543.43799999999999</v>
      </c>
      <c r="H2800" s="454" t="s">
        <v>151</v>
      </c>
      <c r="I2800" s="239" t="s">
        <v>3264</v>
      </c>
      <c r="J2800" s="243" t="s">
        <v>96</v>
      </c>
      <c r="K2800" s="243" t="s">
        <v>1906</v>
      </c>
      <c r="L2800" s="243" t="s">
        <v>153</v>
      </c>
    </row>
    <row r="2801" spans="1:12" ht="15.6" hidden="1">
      <c r="A2801" s="438">
        <v>45935</v>
      </c>
      <c r="B2801" s="239" t="s">
        <v>3232</v>
      </c>
      <c r="C2801" s="453" t="s">
        <v>172</v>
      </c>
      <c r="D2801" s="453" t="s">
        <v>117</v>
      </c>
      <c r="E2801" s="458">
        <v>2000</v>
      </c>
      <c r="F2801" s="407">
        <f t="shared" si="37"/>
        <v>3.6802726345967711</v>
      </c>
      <c r="G2801" s="408">
        <v>543.43799999999999</v>
      </c>
      <c r="H2801" s="454" t="s">
        <v>151</v>
      </c>
      <c r="I2801" s="239" t="s">
        <v>3264</v>
      </c>
      <c r="J2801" s="243" t="s">
        <v>96</v>
      </c>
      <c r="K2801" s="243" t="s">
        <v>1906</v>
      </c>
      <c r="L2801" s="243" t="s">
        <v>153</v>
      </c>
    </row>
    <row r="2802" spans="1:12" ht="15.6" hidden="1">
      <c r="A2802" s="438">
        <v>45935</v>
      </c>
      <c r="B2802" s="329" t="s">
        <v>3283</v>
      </c>
      <c r="C2802" s="329" t="s">
        <v>2394</v>
      </c>
      <c r="D2802" s="329" t="s">
        <v>115</v>
      </c>
      <c r="E2802" s="451">
        <v>130000</v>
      </c>
      <c r="F2802" s="407">
        <f t="shared" si="37"/>
        <v>239.21772124879013</v>
      </c>
      <c r="G2802" s="408">
        <v>543.43799999999999</v>
      </c>
      <c r="H2802" s="329" t="s">
        <v>198</v>
      </c>
      <c r="I2802" s="329" t="s">
        <v>3352</v>
      </c>
      <c r="J2802" s="243" t="s">
        <v>96</v>
      </c>
      <c r="K2802" s="243" t="s">
        <v>1906</v>
      </c>
      <c r="L2802" s="243" t="s">
        <v>153</v>
      </c>
    </row>
    <row r="2803" spans="1:12" ht="15.6" hidden="1">
      <c r="A2803" s="438">
        <v>45935</v>
      </c>
      <c r="B2803" s="243" t="s">
        <v>3372</v>
      </c>
      <c r="C2803" s="423" t="s">
        <v>172</v>
      </c>
      <c r="D2803" s="423" t="s">
        <v>116</v>
      </c>
      <c r="E2803" s="464">
        <v>1500</v>
      </c>
      <c r="F2803" s="407">
        <f t="shared" si="37"/>
        <v>2.7602044759475781</v>
      </c>
      <c r="G2803" s="408">
        <v>543.43799999999999</v>
      </c>
      <c r="H2803" s="423" t="s">
        <v>581</v>
      </c>
      <c r="I2803" s="423" t="s">
        <v>3419</v>
      </c>
      <c r="J2803" s="243" t="s">
        <v>96</v>
      </c>
      <c r="K2803" s="243" t="s">
        <v>1906</v>
      </c>
      <c r="L2803" s="243" t="s">
        <v>153</v>
      </c>
    </row>
    <row r="2804" spans="1:12" ht="15.6" hidden="1">
      <c r="A2804" s="438">
        <v>45935</v>
      </c>
      <c r="B2804" s="243" t="s">
        <v>3373</v>
      </c>
      <c r="C2804" s="423" t="s">
        <v>172</v>
      </c>
      <c r="D2804" s="423" t="s">
        <v>116</v>
      </c>
      <c r="E2804" s="464">
        <v>1500</v>
      </c>
      <c r="F2804" s="407">
        <f t="shared" si="37"/>
        <v>2.7602044759475781</v>
      </c>
      <c r="G2804" s="408">
        <v>543.43799999999999</v>
      </c>
      <c r="H2804" s="423" t="s">
        <v>581</v>
      </c>
      <c r="I2804" s="423" t="s">
        <v>3419</v>
      </c>
      <c r="J2804" s="243" t="s">
        <v>96</v>
      </c>
      <c r="K2804" s="243" t="s">
        <v>1906</v>
      </c>
      <c r="L2804" s="243" t="s">
        <v>153</v>
      </c>
    </row>
    <row r="2805" spans="1:12" ht="15.6" hidden="1">
      <c r="A2805" s="438">
        <v>45935</v>
      </c>
      <c r="B2805" s="331" t="s">
        <v>4759</v>
      </c>
      <c r="C2805" s="331" t="s">
        <v>175</v>
      </c>
      <c r="D2805" s="331" t="s">
        <v>119</v>
      </c>
      <c r="E2805" s="459">
        <v>100000</v>
      </c>
      <c r="F2805" s="407">
        <f t="shared" si="37"/>
        <v>184.01363172983855</v>
      </c>
      <c r="G2805" s="408">
        <v>543.43799999999999</v>
      </c>
      <c r="H2805" s="331" t="s">
        <v>182</v>
      </c>
      <c r="I2805" s="331" t="s">
        <v>3451</v>
      </c>
      <c r="J2805" s="243" t="s">
        <v>96</v>
      </c>
      <c r="K2805" s="243" t="s">
        <v>1906</v>
      </c>
      <c r="L2805" s="243" t="s">
        <v>153</v>
      </c>
    </row>
    <row r="2806" spans="1:12" ht="15.6" hidden="1">
      <c r="A2806" s="438">
        <v>45935</v>
      </c>
      <c r="B2806" s="331" t="s">
        <v>4759</v>
      </c>
      <c r="C2806" s="331" t="s">
        <v>175</v>
      </c>
      <c r="D2806" s="331" t="s">
        <v>119</v>
      </c>
      <c r="E2806" s="459">
        <v>100000</v>
      </c>
      <c r="F2806" s="407">
        <f t="shared" si="37"/>
        <v>184.01363172983855</v>
      </c>
      <c r="G2806" s="408">
        <v>543.43799999999999</v>
      </c>
      <c r="H2806" s="331" t="s">
        <v>182</v>
      </c>
      <c r="I2806" s="331" t="s">
        <v>3452</v>
      </c>
      <c r="J2806" s="243" t="s">
        <v>96</v>
      </c>
      <c r="K2806" s="243" t="s">
        <v>1906</v>
      </c>
      <c r="L2806" s="243" t="s">
        <v>153</v>
      </c>
    </row>
    <row r="2807" spans="1:12" ht="15.6" hidden="1">
      <c r="A2807" s="438">
        <v>45935</v>
      </c>
      <c r="B2807" s="331" t="s">
        <v>4761</v>
      </c>
      <c r="C2807" s="331" t="s">
        <v>175</v>
      </c>
      <c r="D2807" s="331" t="s">
        <v>119</v>
      </c>
      <c r="E2807" s="459">
        <v>10000</v>
      </c>
      <c r="F2807" s="407">
        <f t="shared" si="37"/>
        <v>18.401363172983856</v>
      </c>
      <c r="G2807" s="408">
        <v>543.43799999999999</v>
      </c>
      <c r="H2807" s="331" t="s">
        <v>182</v>
      </c>
      <c r="I2807" s="331" t="s">
        <v>3453</v>
      </c>
      <c r="J2807" s="243" t="s">
        <v>96</v>
      </c>
      <c r="K2807" s="243" t="s">
        <v>1906</v>
      </c>
      <c r="L2807" s="243" t="s">
        <v>153</v>
      </c>
    </row>
    <row r="2808" spans="1:12" ht="15.6" hidden="1">
      <c r="A2808" s="438">
        <v>45935</v>
      </c>
      <c r="B2808" s="243" t="s">
        <v>4961</v>
      </c>
      <c r="C2808" s="423" t="s">
        <v>2394</v>
      </c>
      <c r="D2808" s="423" t="s">
        <v>119</v>
      </c>
      <c r="E2808" s="471">
        <v>10000</v>
      </c>
      <c r="F2808" s="407">
        <f t="shared" si="37"/>
        <v>18.401363172983856</v>
      </c>
      <c r="G2808" s="408">
        <v>543.43799999999999</v>
      </c>
      <c r="H2808" s="423" t="s">
        <v>173</v>
      </c>
      <c r="I2808" s="423" t="s">
        <v>3486</v>
      </c>
      <c r="J2808" s="243" t="s">
        <v>96</v>
      </c>
      <c r="K2808" s="243" t="s">
        <v>1906</v>
      </c>
      <c r="L2808" s="243" t="s">
        <v>153</v>
      </c>
    </row>
    <row r="2809" spans="1:12" ht="15.6" hidden="1">
      <c r="A2809" s="438">
        <v>45935</v>
      </c>
      <c r="B2809" s="423" t="s">
        <v>4876</v>
      </c>
      <c r="C2809" s="423" t="s">
        <v>172</v>
      </c>
      <c r="D2809" s="423" t="s">
        <v>119</v>
      </c>
      <c r="E2809" s="471">
        <v>1000</v>
      </c>
      <c r="F2809" s="407">
        <f t="shared" si="37"/>
        <v>1.8401363172983856</v>
      </c>
      <c r="G2809" s="408">
        <v>543.43799999999999</v>
      </c>
      <c r="H2809" s="423" t="s">
        <v>173</v>
      </c>
      <c r="I2809" s="423" t="s">
        <v>3484</v>
      </c>
      <c r="J2809" s="243" t="s">
        <v>96</v>
      </c>
      <c r="K2809" s="243" t="s">
        <v>1906</v>
      </c>
      <c r="L2809" s="243" t="s">
        <v>153</v>
      </c>
    </row>
    <row r="2810" spans="1:12" ht="15.6" hidden="1">
      <c r="A2810" s="438">
        <v>45935</v>
      </c>
      <c r="B2810" s="423" t="s">
        <v>4833</v>
      </c>
      <c r="C2810" s="423" t="s">
        <v>172</v>
      </c>
      <c r="D2810" s="423" t="s">
        <v>119</v>
      </c>
      <c r="E2810" s="471">
        <v>8000</v>
      </c>
      <c r="F2810" s="407">
        <f t="shared" si="37"/>
        <v>14.721090538387084</v>
      </c>
      <c r="G2810" s="408">
        <v>543.43799999999999</v>
      </c>
      <c r="H2810" s="423" t="s">
        <v>173</v>
      </c>
      <c r="I2810" s="423" t="s">
        <v>3487</v>
      </c>
      <c r="J2810" s="243" t="s">
        <v>96</v>
      </c>
      <c r="K2810" s="243" t="s">
        <v>1906</v>
      </c>
      <c r="L2810" s="243" t="s">
        <v>153</v>
      </c>
    </row>
    <row r="2811" spans="1:12" ht="15.6" hidden="1">
      <c r="A2811" s="438">
        <v>45935</v>
      </c>
      <c r="B2811" s="243" t="s">
        <v>4753</v>
      </c>
      <c r="C2811" s="423" t="s">
        <v>2394</v>
      </c>
      <c r="D2811" s="423" t="s">
        <v>119</v>
      </c>
      <c r="E2811" s="471">
        <v>30000</v>
      </c>
      <c r="F2811" s="407">
        <f t="shared" si="37"/>
        <v>55.204089518951562</v>
      </c>
      <c r="G2811" s="408">
        <v>543.43799999999999</v>
      </c>
      <c r="H2811" s="423" t="s">
        <v>173</v>
      </c>
      <c r="I2811" s="423" t="s">
        <v>3488</v>
      </c>
      <c r="J2811" s="243" t="s">
        <v>96</v>
      </c>
      <c r="K2811" s="243" t="s">
        <v>1906</v>
      </c>
      <c r="L2811" s="243" t="s">
        <v>153</v>
      </c>
    </row>
    <row r="2812" spans="1:12" ht="15.6" hidden="1">
      <c r="A2812" s="438">
        <v>45935</v>
      </c>
      <c r="B2812" s="423" t="s">
        <v>4962</v>
      </c>
      <c r="C2812" s="423" t="s">
        <v>172</v>
      </c>
      <c r="D2812" s="423" t="s">
        <v>119</v>
      </c>
      <c r="E2812" s="471">
        <v>1000</v>
      </c>
      <c r="F2812" s="407">
        <f t="shared" si="37"/>
        <v>1.8401363172983856</v>
      </c>
      <c r="G2812" s="408">
        <v>543.43799999999999</v>
      </c>
      <c r="H2812" s="423" t="s">
        <v>173</v>
      </c>
      <c r="I2812" s="423" t="s">
        <v>3484</v>
      </c>
      <c r="J2812" s="243" t="s">
        <v>96</v>
      </c>
      <c r="K2812" s="243" t="s">
        <v>1906</v>
      </c>
      <c r="L2812" s="243" t="s">
        <v>153</v>
      </c>
    </row>
    <row r="2813" spans="1:12" ht="15.6" hidden="1">
      <c r="A2813" s="438">
        <v>45935</v>
      </c>
      <c r="B2813" s="243" t="s">
        <v>3703</v>
      </c>
      <c r="C2813" s="243" t="s">
        <v>175</v>
      </c>
      <c r="D2813" s="243" t="s">
        <v>115</v>
      </c>
      <c r="E2813" s="457">
        <v>130000</v>
      </c>
      <c r="F2813" s="407">
        <f t="shared" si="37"/>
        <v>239.21772124879013</v>
      </c>
      <c r="G2813" s="408">
        <v>543.43799999999999</v>
      </c>
      <c r="H2813" s="239" t="s">
        <v>195</v>
      </c>
      <c r="I2813" s="243" t="s">
        <v>3752</v>
      </c>
      <c r="J2813" s="243" t="s">
        <v>96</v>
      </c>
      <c r="K2813" s="243" t="s">
        <v>1906</v>
      </c>
      <c r="L2813" s="243" t="s">
        <v>153</v>
      </c>
    </row>
    <row r="2814" spans="1:12" ht="15.6" hidden="1">
      <c r="A2814" s="438">
        <v>45935</v>
      </c>
      <c r="B2814" s="243" t="s">
        <v>3704</v>
      </c>
      <c r="C2814" s="239" t="s">
        <v>194</v>
      </c>
      <c r="D2814" s="239" t="s">
        <v>115</v>
      </c>
      <c r="E2814" s="457">
        <v>1000</v>
      </c>
      <c r="F2814" s="407">
        <f t="shared" si="37"/>
        <v>1.8401363172983856</v>
      </c>
      <c r="G2814" s="408">
        <v>543.43799999999999</v>
      </c>
      <c r="H2814" s="239" t="s">
        <v>195</v>
      </c>
      <c r="I2814" s="243" t="s">
        <v>3747</v>
      </c>
      <c r="J2814" s="243" t="s">
        <v>96</v>
      </c>
      <c r="K2814" s="243" t="s">
        <v>1906</v>
      </c>
      <c r="L2814" s="243" t="s">
        <v>153</v>
      </c>
    </row>
    <row r="2815" spans="1:12" ht="15.6" hidden="1">
      <c r="A2815" s="438">
        <v>45935</v>
      </c>
      <c r="B2815" s="243" t="s">
        <v>3705</v>
      </c>
      <c r="C2815" s="243" t="s">
        <v>311</v>
      </c>
      <c r="D2815" s="239" t="s">
        <v>115</v>
      </c>
      <c r="E2815" s="457">
        <v>3000</v>
      </c>
      <c r="F2815" s="407">
        <f t="shared" si="37"/>
        <v>5.5204089518951562</v>
      </c>
      <c r="G2815" s="408">
        <v>543.43799999999999</v>
      </c>
      <c r="H2815" s="239" t="s">
        <v>195</v>
      </c>
      <c r="I2815" s="243" t="s">
        <v>3751</v>
      </c>
      <c r="J2815" s="243" t="s">
        <v>96</v>
      </c>
      <c r="K2815" s="243" t="s">
        <v>1906</v>
      </c>
      <c r="L2815" s="243" t="s">
        <v>153</v>
      </c>
    </row>
    <row r="2816" spans="1:12" ht="15.6" hidden="1">
      <c r="A2816" s="438">
        <v>45935</v>
      </c>
      <c r="B2816" s="243" t="s">
        <v>3702</v>
      </c>
      <c r="C2816" s="239" t="s">
        <v>194</v>
      </c>
      <c r="D2816" s="239" t="s">
        <v>115</v>
      </c>
      <c r="E2816" s="457">
        <v>1000</v>
      </c>
      <c r="F2816" s="407">
        <f t="shared" si="37"/>
        <v>1.8401363172983856</v>
      </c>
      <c r="G2816" s="408">
        <v>543.43799999999999</v>
      </c>
      <c r="H2816" s="239" t="s">
        <v>195</v>
      </c>
      <c r="I2816" s="243" t="s">
        <v>3747</v>
      </c>
      <c r="J2816" s="243" t="s">
        <v>96</v>
      </c>
      <c r="K2816" s="243" t="s">
        <v>1906</v>
      </c>
      <c r="L2816" s="243" t="s">
        <v>153</v>
      </c>
    </row>
    <row r="2817" spans="1:12" ht="15.6" hidden="1">
      <c r="A2817" s="438">
        <v>45935</v>
      </c>
      <c r="B2817" s="243" t="s">
        <v>3706</v>
      </c>
      <c r="C2817" s="239" t="s">
        <v>194</v>
      </c>
      <c r="D2817" s="239" t="s">
        <v>115</v>
      </c>
      <c r="E2817" s="457">
        <v>1000</v>
      </c>
      <c r="F2817" s="407">
        <f t="shared" si="37"/>
        <v>1.8401363172983856</v>
      </c>
      <c r="G2817" s="408">
        <v>543.43799999999999</v>
      </c>
      <c r="H2817" s="239" t="s">
        <v>195</v>
      </c>
      <c r="I2817" s="243" t="s">
        <v>3747</v>
      </c>
      <c r="J2817" s="243" t="s">
        <v>96</v>
      </c>
      <c r="K2817" s="243" t="s">
        <v>1906</v>
      </c>
      <c r="L2817" s="243" t="s">
        <v>153</v>
      </c>
    </row>
    <row r="2818" spans="1:12" ht="15.6" hidden="1">
      <c r="A2818" s="438">
        <v>45935</v>
      </c>
      <c r="B2818" s="243" t="s">
        <v>3701</v>
      </c>
      <c r="C2818" s="243" t="s">
        <v>311</v>
      </c>
      <c r="D2818" s="239" t="s">
        <v>115</v>
      </c>
      <c r="E2818" s="457">
        <v>3000</v>
      </c>
      <c r="F2818" s="407">
        <f t="shared" si="37"/>
        <v>5.5204089518951562</v>
      </c>
      <c r="G2818" s="408">
        <v>543.43799999999999</v>
      </c>
      <c r="H2818" s="239" t="s">
        <v>195</v>
      </c>
      <c r="I2818" s="243" t="s">
        <v>3751</v>
      </c>
      <c r="J2818" s="243" t="s">
        <v>96</v>
      </c>
      <c r="K2818" s="243" t="s">
        <v>1906</v>
      </c>
      <c r="L2818" s="243" t="s">
        <v>153</v>
      </c>
    </row>
    <row r="2819" spans="1:12" ht="15.6" hidden="1">
      <c r="A2819" s="438">
        <v>45935</v>
      </c>
      <c r="B2819" s="243" t="s">
        <v>3702</v>
      </c>
      <c r="C2819" s="239" t="s">
        <v>194</v>
      </c>
      <c r="D2819" s="239" t="s">
        <v>115</v>
      </c>
      <c r="E2819" s="457">
        <v>1000</v>
      </c>
      <c r="F2819" s="407">
        <f t="shared" si="37"/>
        <v>1.8401363172983856</v>
      </c>
      <c r="G2819" s="408">
        <v>543.43799999999999</v>
      </c>
      <c r="H2819" s="239" t="s">
        <v>195</v>
      </c>
      <c r="I2819" s="243" t="s">
        <v>3747</v>
      </c>
      <c r="J2819" s="243" t="s">
        <v>96</v>
      </c>
      <c r="K2819" s="243" t="s">
        <v>1906</v>
      </c>
      <c r="L2819" s="243" t="s">
        <v>153</v>
      </c>
    </row>
    <row r="2820" spans="1:12" ht="15.6" hidden="1">
      <c r="A2820" s="438">
        <v>45935</v>
      </c>
      <c r="B2820" s="461" t="s">
        <v>3767</v>
      </c>
      <c r="C2820" s="439" t="s">
        <v>175</v>
      </c>
      <c r="D2820" s="461" t="s">
        <v>118</v>
      </c>
      <c r="E2820" s="464">
        <v>40000</v>
      </c>
      <c r="F2820" s="407">
        <f t="shared" si="37"/>
        <v>73.605452691935426</v>
      </c>
      <c r="G2820" s="408">
        <v>543.43799999999999</v>
      </c>
      <c r="H2820" s="461" t="s">
        <v>211</v>
      </c>
      <c r="I2820" s="461" t="s">
        <v>3912</v>
      </c>
      <c r="J2820" s="243" t="s">
        <v>96</v>
      </c>
      <c r="K2820" s="243" t="s">
        <v>1906</v>
      </c>
      <c r="L2820" s="243" t="s">
        <v>153</v>
      </c>
    </row>
    <row r="2821" spans="1:12" ht="15.6" hidden="1">
      <c r="A2821" s="438">
        <v>45936</v>
      </c>
      <c r="B2821" s="239" t="s">
        <v>3233</v>
      </c>
      <c r="C2821" s="453" t="s">
        <v>172</v>
      </c>
      <c r="D2821" s="453" t="s">
        <v>117</v>
      </c>
      <c r="E2821" s="458">
        <v>1000</v>
      </c>
      <c r="F2821" s="407">
        <f t="shared" si="37"/>
        <v>1.8401363172983856</v>
      </c>
      <c r="G2821" s="408">
        <v>543.43799999999999</v>
      </c>
      <c r="H2821" s="454" t="s">
        <v>151</v>
      </c>
      <c r="I2821" s="239" t="s">
        <v>3264</v>
      </c>
      <c r="J2821" s="243" t="s">
        <v>96</v>
      </c>
      <c r="K2821" s="243" t="s">
        <v>1906</v>
      </c>
      <c r="L2821" s="243" t="s">
        <v>153</v>
      </c>
    </row>
    <row r="2822" spans="1:12" ht="15.6" hidden="1">
      <c r="A2822" s="438">
        <v>45936</v>
      </c>
      <c r="B2822" s="239" t="s">
        <v>3234</v>
      </c>
      <c r="C2822" s="453" t="s">
        <v>172</v>
      </c>
      <c r="D2822" s="453" t="s">
        <v>117</v>
      </c>
      <c r="E2822" s="458">
        <v>1000</v>
      </c>
      <c r="F2822" s="407">
        <f t="shared" si="37"/>
        <v>1.8401363172983856</v>
      </c>
      <c r="G2822" s="408">
        <v>543.43799999999999</v>
      </c>
      <c r="H2822" s="454" t="s">
        <v>151</v>
      </c>
      <c r="I2822" s="239" t="s">
        <v>3264</v>
      </c>
      <c r="J2822" s="243" t="s">
        <v>96</v>
      </c>
      <c r="K2822" s="243" t="s">
        <v>1906</v>
      </c>
      <c r="L2822" s="243" t="s">
        <v>153</v>
      </c>
    </row>
    <row r="2823" spans="1:12" ht="15.6" hidden="1">
      <c r="A2823" s="438">
        <v>45936</v>
      </c>
      <c r="B2823" s="239" t="s">
        <v>2103</v>
      </c>
      <c r="C2823" s="453" t="s">
        <v>172</v>
      </c>
      <c r="D2823" s="453" t="s">
        <v>117</v>
      </c>
      <c r="E2823" s="458">
        <v>1000</v>
      </c>
      <c r="F2823" s="407">
        <f t="shared" si="37"/>
        <v>1.8401363172983856</v>
      </c>
      <c r="G2823" s="408">
        <v>543.43799999999999</v>
      </c>
      <c r="H2823" s="454" t="s">
        <v>151</v>
      </c>
      <c r="I2823" s="239" t="s">
        <v>3264</v>
      </c>
      <c r="J2823" s="243" t="s">
        <v>96</v>
      </c>
      <c r="K2823" s="243" t="s">
        <v>1906</v>
      </c>
      <c r="L2823" s="243" t="s">
        <v>153</v>
      </c>
    </row>
    <row r="2824" spans="1:12" ht="15.6" hidden="1">
      <c r="A2824" s="438">
        <v>45936</v>
      </c>
      <c r="B2824" s="239" t="s">
        <v>3235</v>
      </c>
      <c r="C2824" s="453" t="s">
        <v>150</v>
      </c>
      <c r="D2824" s="453" t="s">
        <v>117</v>
      </c>
      <c r="E2824" s="458">
        <v>12500</v>
      </c>
      <c r="F2824" s="407">
        <f t="shared" si="37"/>
        <v>23.001703966229819</v>
      </c>
      <c r="G2824" s="408">
        <v>543.43799999999999</v>
      </c>
      <c r="H2824" s="454" t="s">
        <v>151</v>
      </c>
      <c r="I2824" s="239" t="s">
        <v>3268</v>
      </c>
      <c r="J2824" s="243" t="s">
        <v>96</v>
      </c>
      <c r="K2824" s="243" t="s">
        <v>1906</v>
      </c>
      <c r="L2824" s="243" t="s">
        <v>153</v>
      </c>
    </row>
    <row r="2825" spans="1:12" ht="15.6" hidden="1">
      <c r="A2825" s="438">
        <v>45936</v>
      </c>
      <c r="B2825" s="239" t="s">
        <v>3236</v>
      </c>
      <c r="C2825" s="453" t="s">
        <v>2394</v>
      </c>
      <c r="D2825" s="453" t="s">
        <v>117</v>
      </c>
      <c r="E2825" s="458">
        <v>174625</v>
      </c>
      <c r="F2825" s="407">
        <f t="shared" si="37"/>
        <v>321.33380440823055</v>
      </c>
      <c r="G2825" s="408">
        <v>543.43799999999999</v>
      </c>
      <c r="H2825" s="454" t="s">
        <v>151</v>
      </c>
      <c r="I2825" s="239" t="s">
        <v>3269</v>
      </c>
      <c r="J2825" s="243" t="s">
        <v>96</v>
      </c>
      <c r="K2825" s="243" t="s">
        <v>1906</v>
      </c>
      <c r="L2825" s="243" t="s">
        <v>153</v>
      </c>
    </row>
    <row r="2826" spans="1:12" ht="15.6" hidden="1">
      <c r="A2826" s="438">
        <v>45936</v>
      </c>
      <c r="B2826" s="239" t="s">
        <v>2387</v>
      </c>
      <c r="C2826" s="453" t="s">
        <v>172</v>
      </c>
      <c r="D2826" s="453" t="s">
        <v>117</v>
      </c>
      <c r="E2826" s="458">
        <v>1000</v>
      </c>
      <c r="F2826" s="407">
        <f t="shared" si="37"/>
        <v>1.8401363172983856</v>
      </c>
      <c r="G2826" s="408">
        <v>543.43799999999999</v>
      </c>
      <c r="H2826" s="454" t="s">
        <v>151</v>
      </c>
      <c r="I2826" s="239" t="s">
        <v>3264</v>
      </c>
      <c r="J2826" s="243" t="s">
        <v>96</v>
      </c>
      <c r="K2826" s="243" t="s">
        <v>1906</v>
      </c>
      <c r="L2826" s="243" t="s">
        <v>153</v>
      </c>
    </row>
    <row r="2827" spans="1:12" ht="15.6" hidden="1">
      <c r="A2827" s="438">
        <v>45936</v>
      </c>
      <c r="B2827" s="329" t="s">
        <v>3314</v>
      </c>
      <c r="C2827" s="329" t="s">
        <v>172</v>
      </c>
      <c r="D2827" s="329" t="s">
        <v>115</v>
      </c>
      <c r="E2827" s="451">
        <v>1000</v>
      </c>
      <c r="F2827" s="407">
        <f t="shared" si="37"/>
        <v>1.8401363172983856</v>
      </c>
      <c r="G2827" s="408">
        <v>543.43799999999999</v>
      </c>
      <c r="H2827" s="329" t="s">
        <v>198</v>
      </c>
      <c r="I2827" s="329" t="s">
        <v>3349</v>
      </c>
      <c r="J2827" s="243" t="s">
        <v>96</v>
      </c>
      <c r="K2827" s="243" t="s">
        <v>1906</v>
      </c>
      <c r="L2827" s="243" t="s">
        <v>153</v>
      </c>
    </row>
    <row r="2828" spans="1:12" ht="15.6" hidden="1">
      <c r="A2828" s="438">
        <v>45936</v>
      </c>
      <c r="B2828" s="439" t="s">
        <v>3284</v>
      </c>
      <c r="C2828" s="439" t="s">
        <v>150</v>
      </c>
      <c r="D2828" s="439" t="s">
        <v>115</v>
      </c>
      <c r="E2828" s="451">
        <v>10000</v>
      </c>
      <c r="F2828" s="407">
        <f t="shared" si="37"/>
        <v>18.401363172983856</v>
      </c>
      <c r="G2828" s="408">
        <v>543.43799999999999</v>
      </c>
      <c r="H2828" s="329" t="s">
        <v>198</v>
      </c>
      <c r="I2828" s="329" t="s">
        <v>3353</v>
      </c>
      <c r="J2828" s="243" t="s">
        <v>96</v>
      </c>
      <c r="K2828" s="243" t="s">
        <v>1906</v>
      </c>
      <c r="L2828" s="243" t="s">
        <v>153</v>
      </c>
    </row>
    <row r="2829" spans="1:12" ht="15.6" hidden="1">
      <c r="A2829" s="438">
        <v>45936</v>
      </c>
      <c r="B2829" s="329" t="s">
        <v>3285</v>
      </c>
      <c r="C2829" s="329" t="s">
        <v>263</v>
      </c>
      <c r="D2829" s="329" t="s">
        <v>2417</v>
      </c>
      <c r="E2829" s="451">
        <v>160000</v>
      </c>
      <c r="F2829" s="407">
        <f t="shared" si="37"/>
        <v>294.4218107677417</v>
      </c>
      <c r="G2829" s="408">
        <v>543.43799999999999</v>
      </c>
      <c r="H2829" s="329" t="s">
        <v>198</v>
      </c>
      <c r="I2829" s="329" t="s">
        <v>3354</v>
      </c>
      <c r="J2829" s="243" t="s">
        <v>96</v>
      </c>
      <c r="K2829" s="243" t="s">
        <v>1906</v>
      </c>
      <c r="L2829" s="243" t="s">
        <v>153</v>
      </c>
    </row>
    <row r="2830" spans="1:12" ht="15.6" hidden="1">
      <c r="A2830" s="438">
        <v>45936</v>
      </c>
      <c r="B2830" s="329" t="s">
        <v>3286</v>
      </c>
      <c r="C2830" s="329" t="s">
        <v>4118</v>
      </c>
      <c r="D2830" s="329" t="s">
        <v>2417</v>
      </c>
      <c r="E2830" s="451">
        <v>20000</v>
      </c>
      <c r="F2830" s="407">
        <f t="shared" si="37"/>
        <v>36.802726345967713</v>
      </c>
      <c r="G2830" s="408">
        <v>543.43799999999999</v>
      </c>
      <c r="H2830" s="329" t="s">
        <v>198</v>
      </c>
      <c r="I2830" s="329" t="s">
        <v>3355</v>
      </c>
      <c r="J2830" s="243" t="s">
        <v>96</v>
      </c>
      <c r="K2830" s="243" t="s">
        <v>1906</v>
      </c>
      <c r="L2830" s="243" t="s">
        <v>153</v>
      </c>
    </row>
    <row r="2831" spans="1:12" ht="15.6" hidden="1">
      <c r="A2831" s="438">
        <v>45936</v>
      </c>
      <c r="B2831" s="329" t="s">
        <v>3315</v>
      </c>
      <c r="C2831" s="329" t="s">
        <v>172</v>
      </c>
      <c r="D2831" s="329" t="s">
        <v>115</v>
      </c>
      <c r="E2831" s="451">
        <v>1000</v>
      </c>
      <c r="F2831" s="407">
        <f t="shared" si="37"/>
        <v>1.8401363172983856</v>
      </c>
      <c r="G2831" s="408">
        <v>543.43799999999999</v>
      </c>
      <c r="H2831" s="329" t="s">
        <v>198</v>
      </c>
      <c r="I2831" s="329" t="s">
        <v>3349</v>
      </c>
      <c r="J2831" s="243" t="s">
        <v>96</v>
      </c>
      <c r="K2831" s="243" t="s">
        <v>1906</v>
      </c>
      <c r="L2831" s="243" t="s">
        <v>153</v>
      </c>
    </row>
    <row r="2832" spans="1:12" ht="15.6" hidden="1">
      <c r="A2832" s="438">
        <v>45936</v>
      </c>
      <c r="B2832" s="329" t="s">
        <v>3313</v>
      </c>
      <c r="C2832" s="329" t="s">
        <v>172</v>
      </c>
      <c r="D2832" s="329" t="s">
        <v>115</v>
      </c>
      <c r="E2832" s="451">
        <v>1000</v>
      </c>
      <c r="F2832" s="407">
        <f t="shared" si="37"/>
        <v>1.8401363172983856</v>
      </c>
      <c r="G2832" s="408">
        <v>543.43799999999999</v>
      </c>
      <c r="H2832" s="329" t="s">
        <v>198</v>
      </c>
      <c r="I2832" s="329" t="s">
        <v>3349</v>
      </c>
      <c r="J2832" s="243" t="s">
        <v>96</v>
      </c>
      <c r="K2832" s="243" t="s">
        <v>1906</v>
      </c>
      <c r="L2832" s="243" t="s">
        <v>153</v>
      </c>
    </row>
    <row r="2833" spans="1:12" ht="15.6" hidden="1">
      <c r="A2833" s="438">
        <v>45936</v>
      </c>
      <c r="B2833" s="243" t="s">
        <v>3374</v>
      </c>
      <c r="C2833" s="423" t="s">
        <v>172</v>
      </c>
      <c r="D2833" s="423" t="s">
        <v>116</v>
      </c>
      <c r="E2833" s="464">
        <v>1000</v>
      </c>
      <c r="F2833" s="407">
        <f t="shared" si="37"/>
        <v>1.8401363172983856</v>
      </c>
      <c r="G2833" s="408">
        <v>543.43799999999999</v>
      </c>
      <c r="H2833" s="423" t="s">
        <v>581</v>
      </c>
      <c r="I2833" s="423" t="s">
        <v>3419</v>
      </c>
      <c r="J2833" s="243" t="s">
        <v>96</v>
      </c>
      <c r="K2833" s="243" t="s">
        <v>1906</v>
      </c>
      <c r="L2833" s="243" t="s">
        <v>153</v>
      </c>
    </row>
    <row r="2834" spans="1:12" ht="15.6" hidden="1">
      <c r="A2834" s="438">
        <v>45936</v>
      </c>
      <c r="B2834" s="243" t="s">
        <v>3375</v>
      </c>
      <c r="C2834" s="423" t="s">
        <v>172</v>
      </c>
      <c r="D2834" s="423" t="s">
        <v>116</v>
      </c>
      <c r="E2834" s="464">
        <v>500</v>
      </c>
      <c r="F2834" s="407">
        <f t="shared" ref="F2834:F2897" si="38">E2834/G2834</f>
        <v>0.92006815864919278</v>
      </c>
      <c r="G2834" s="408">
        <v>543.43799999999999</v>
      </c>
      <c r="H2834" s="423" t="s">
        <v>581</v>
      </c>
      <c r="I2834" s="423" t="s">
        <v>3419</v>
      </c>
      <c r="J2834" s="243" t="s">
        <v>96</v>
      </c>
      <c r="K2834" s="243" t="s">
        <v>1906</v>
      </c>
      <c r="L2834" s="243" t="s">
        <v>153</v>
      </c>
    </row>
    <row r="2835" spans="1:12" ht="15.6" hidden="1">
      <c r="A2835" s="438">
        <v>45936</v>
      </c>
      <c r="B2835" s="243" t="s">
        <v>2875</v>
      </c>
      <c r="C2835" s="423" t="s">
        <v>172</v>
      </c>
      <c r="D2835" s="423" t="s">
        <v>116</v>
      </c>
      <c r="E2835" s="464">
        <v>1000</v>
      </c>
      <c r="F2835" s="407">
        <f t="shared" si="38"/>
        <v>1.8401363172983856</v>
      </c>
      <c r="G2835" s="408">
        <v>543.43799999999999</v>
      </c>
      <c r="H2835" s="423" t="s">
        <v>581</v>
      </c>
      <c r="I2835" s="423" t="s">
        <v>3419</v>
      </c>
      <c r="J2835" s="243" t="s">
        <v>96</v>
      </c>
      <c r="K2835" s="243" t="s">
        <v>1906</v>
      </c>
      <c r="L2835" s="243" t="s">
        <v>153</v>
      </c>
    </row>
    <row r="2836" spans="1:12" ht="15.6" hidden="1">
      <c r="A2836" s="438">
        <v>45936</v>
      </c>
      <c r="B2836" s="243" t="s">
        <v>3376</v>
      </c>
      <c r="C2836" s="422" t="s">
        <v>150</v>
      </c>
      <c r="D2836" s="243" t="s">
        <v>117</v>
      </c>
      <c r="E2836" s="464">
        <v>7500</v>
      </c>
      <c r="F2836" s="407">
        <f t="shared" si="38"/>
        <v>13.801022379737891</v>
      </c>
      <c r="G2836" s="408">
        <v>543.43799999999999</v>
      </c>
      <c r="H2836" s="423" t="s">
        <v>581</v>
      </c>
      <c r="I2836" s="423" t="s">
        <v>3420</v>
      </c>
      <c r="J2836" s="243" t="s">
        <v>96</v>
      </c>
      <c r="K2836" s="243" t="s">
        <v>1906</v>
      </c>
      <c r="L2836" s="243" t="s">
        <v>153</v>
      </c>
    </row>
    <row r="2837" spans="1:12" ht="15.6" hidden="1">
      <c r="A2837" s="438">
        <v>45936</v>
      </c>
      <c r="B2837" s="243" t="s">
        <v>3377</v>
      </c>
      <c r="C2837" s="423" t="s">
        <v>172</v>
      </c>
      <c r="D2837" s="423" t="s">
        <v>116</v>
      </c>
      <c r="E2837" s="464">
        <v>1000</v>
      </c>
      <c r="F2837" s="407">
        <f t="shared" si="38"/>
        <v>1.8401363172983856</v>
      </c>
      <c r="G2837" s="408">
        <v>543.43799999999999</v>
      </c>
      <c r="H2837" s="423" t="s">
        <v>581</v>
      </c>
      <c r="I2837" s="423" t="s">
        <v>3419</v>
      </c>
      <c r="J2837" s="243" t="s">
        <v>96</v>
      </c>
      <c r="K2837" s="243" t="s">
        <v>1906</v>
      </c>
      <c r="L2837" s="243" t="s">
        <v>153</v>
      </c>
    </row>
    <row r="2838" spans="1:12" ht="15.6" hidden="1">
      <c r="A2838" s="438">
        <v>45936</v>
      </c>
      <c r="B2838" s="423" t="s">
        <v>3378</v>
      </c>
      <c r="C2838" s="423" t="s">
        <v>302</v>
      </c>
      <c r="D2838" s="423" t="s">
        <v>116</v>
      </c>
      <c r="E2838" s="464">
        <v>80000</v>
      </c>
      <c r="F2838" s="407">
        <f t="shared" si="38"/>
        <v>147.21090538387085</v>
      </c>
      <c r="G2838" s="408">
        <v>543.43799999999999</v>
      </c>
      <c r="H2838" s="423" t="s">
        <v>581</v>
      </c>
      <c r="I2838" s="456" t="s">
        <v>3421</v>
      </c>
      <c r="J2838" s="243" t="s">
        <v>96</v>
      </c>
      <c r="K2838" s="243" t="s">
        <v>1906</v>
      </c>
      <c r="L2838" s="243" t="s">
        <v>153</v>
      </c>
    </row>
    <row r="2839" spans="1:12" ht="15.6" hidden="1">
      <c r="A2839" s="438">
        <v>45936</v>
      </c>
      <c r="B2839" s="423" t="s">
        <v>3379</v>
      </c>
      <c r="C2839" s="423" t="s">
        <v>180</v>
      </c>
      <c r="D2839" s="423" t="s">
        <v>116</v>
      </c>
      <c r="E2839" s="464">
        <v>2625</v>
      </c>
      <c r="F2839" s="407">
        <f t="shared" si="38"/>
        <v>4.8303578329082617</v>
      </c>
      <c r="G2839" s="408">
        <v>543.43799999999999</v>
      </c>
      <c r="H2839" s="423" t="s">
        <v>581</v>
      </c>
      <c r="I2839" s="456" t="s">
        <v>3422</v>
      </c>
      <c r="J2839" s="243" t="s">
        <v>96</v>
      </c>
      <c r="K2839" s="243" t="s">
        <v>1906</v>
      </c>
      <c r="L2839" s="243" t="s">
        <v>153</v>
      </c>
    </row>
    <row r="2840" spans="1:12" ht="15.6" hidden="1">
      <c r="A2840" s="438">
        <v>45936</v>
      </c>
      <c r="B2840" s="423" t="s">
        <v>3380</v>
      </c>
      <c r="C2840" s="423" t="s">
        <v>302</v>
      </c>
      <c r="D2840" s="423" t="s">
        <v>116</v>
      </c>
      <c r="E2840" s="464">
        <v>40000</v>
      </c>
      <c r="F2840" s="407">
        <f t="shared" si="38"/>
        <v>73.605452691935426</v>
      </c>
      <c r="G2840" s="408">
        <v>543.43799999999999</v>
      </c>
      <c r="H2840" s="423" t="s">
        <v>581</v>
      </c>
      <c r="I2840" s="456" t="s">
        <v>3423</v>
      </c>
      <c r="J2840" s="243" t="s">
        <v>96</v>
      </c>
      <c r="K2840" s="243" t="s">
        <v>1906</v>
      </c>
      <c r="L2840" s="243" t="s">
        <v>153</v>
      </c>
    </row>
    <row r="2841" spans="1:12" ht="15.6" hidden="1">
      <c r="A2841" s="438">
        <v>45936</v>
      </c>
      <c r="B2841" s="331" t="s">
        <v>3439</v>
      </c>
      <c r="C2841" s="331" t="s">
        <v>150</v>
      </c>
      <c r="D2841" s="331" t="s">
        <v>2472</v>
      </c>
      <c r="E2841" s="459">
        <v>10000</v>
      </c>
      <c r="F2841" s="407">
        <f t="shared" si="38"/>
        <v>18.401363172983856</v>
      </c>
      <c r="G2841" s="408">
        <v>543.43799999999999</v>
      </c>
      <c r="H2841" s="331" t="s">
        <v>182</v>
      </c>
      <c r="I2841" s="331" t="s">
        <v>3454</v>
      </c>
      <c r="J2841" s="243" t="s">
        <v>96</v>
      </c>
      <c r="K2841" s="243" t="s">
        <v>1906</v>
      </c>
      <c r="L2841" s="243" t="s">
        <v>153</v>
      </c>
    </row>
    <row r="2842" spans="1:12" ht="15.6" hidden="1">
      <c r="A2842" s="438">
        <v>45936</v>
      </c>
      <c r="B2842" s="331" t="s">
        <v>4821</v>
      </c>
      <c r="C2842" s="331" t="s">
        <v>175</v>
      </c>
      <c r="D2842" s="331" t="s">
        <v>119</v>
      </c>
      <c r="E2842" s="459">
        <v>30000</v>
      </c>
      <c r="F2842" s="407">
        <f t="shared" si="38"/>
        <v>55.204089518951562</v>
      </c>
      <c r="G2842" s="408">
        <v>543.43799999999999</v>
      </c>
      <c r="H2842" s="331" t="s">
        <v>182</v>
      </c>
      <c r="I2842" s="331" t="s">
        <v>3455</v>
      </c>
      <c r="J2842" s="243" t="s">
        <v>96</v>
      </c>
      <c r="K2842" s="243" t="s">
        <v>1906</v>
      </c>
      <c r="L2842" s="243" t="s">
        <v>153</v>
      </c>
    </row>
    <row r="2843" spans="1:12" ht="15.6" hidden="1">
      <c r="A2843" s="438">
        <v>45936</v>
      </c>
      <c r="B2843" s="331" t="s">
        <v>4917</v>
      </c>
      <c r="C2843" s="331" t="s">
        <v>172</v>
      </c>
      <c r="D2843" s="331" t="s">
        <v>119</v>
      </c>
      <c r="E2843" s="459">
        <v>1000</v>
      </c>
      <c r="F2843" s="407">
        <f t="shared" si="38"/>
        <v>1.8401363172983856</v>
      </c>
      <c r="G2843" s="408">
        <v>543.43799999999999</v>
      </c>
      <c r="H2843" s="331" t="s">
        <v>182</v>
      </c>
      <c r="I2843" s="331" t="s">
        <v>3447</v>
      </c>
      <c r="J2843" s="243" t="s">
        <v>96</v>
      </c>
      <c r="K2843" s="243" t="s">
        <v>1906</v>
      </c>
      <c r="L2843" s="243" t="s">
        <v>153</v>
      </c>
    </row>
    <row r="2844" spans="1:12" ht="15.6" hidden="1">
      <c r="A2844" s="438">
        <v>45936</v>
      </c>
      <c r="B2844" s="331" t="s">
        <v>4917</v>
      </c>
      <c r="C2844" s="331" t="s">
        <v>172</v>
      </c>
      <c r="D2844" s="331" t="s">
        <v>119</v>
      </c>
      <c r="E2844" s="459">
        <v>1500</v>
      </c>
      <c r="F2844" s="407">
        <f t="shared" si="38"/>
        <v>2.7602044759475781</v>
      </c>
      <c r="G2844" s="408">
        <v>543.43799999999999</v>
      </c>
      <c r="H2844" s="331" t="s">
        <v>182</v>
      </c>
      <c r="I2844" s="331" t="s">
        <v>3447</v>
      </c>
      <c r="J2844" s="243" t="s">
        <v>96</v>
      </c>
      <c r="K2844" s="243" t="s">
        <v>1906</v>
      </c>
      <c r="L2844" s="243" t="s">
        <v>153</v>
      </c>
    </row>
    <row r="2845" spans="1:12" ht="15.6" hidden="1">
      <c r="A2845" s="438">
        <v>45936</v>
      </c>
      <c r="B2845" s="331" t="s">
        <v>3473</v>
      </c>
      <c r="C2845" s="331" t="s">
        <v>150</v>
      </c>
      <c r="D2845" s="243" t="s">
        <v>119</v>
      </c>
      <c r="E2845" s="471">
        <v>10000</v>
      </c>
      <c r="F2845" s="407">
        <f t="shared" si="38"/>
        <v>18.401363172983856</v>
      </c>
      <c r="G2845" s="408">
        <v>543.43799999999999</v>
      </c>
      <c r="H2845" s="423" t="s">
        <v>173</v>
      </c>
      <c r="I2845" s="423" t="s">
        <v>3489</v>
      </c>
      <c r="J2845" s="243" t="s">
        <v>96</v>
      </c>
      <c r="K2845" s="243" t="s">
        <v>1906</v>
      </c>
      <c r="L2845" s="243" t="s">
        <v>153</v>
      </c>
    </row>
    <row r="2846" spans="1:12" ht="15.6" hidden="1">
      <c r="A2846" s="438">
        <v>45936</v>
      </c>
      <c r="B2846" s="243" t="s">
        <v>3506</v>
      </c>
      <c r="C2846" s="243" t="s">
        <v>150</v>
      </c>
      <c r="D2846" s="243" t="s">
        <v>119</v>
      </c>
      <c r="E2846" s="460">
        <v>10000</v>
      </c>
      <c r="F2846" s="407">
        <f t="shared" si="38"/>
        <v>18.401363172983856</v>
      </c>
      <c r="G2846" s="408">
        <v>543.43799999999999</v>
      </c>
      <c r="H2846" s="243" t="s">
        <v>315</v>
      </c>
      <c r="I2846" s="243" t="s">
        <v>3509</v>
      </c>
      <c r="J2846" s="243" t="s">
        <v>96</v>
      </c>
      <c r="K2846" s="243" t="s">
        <v>1906</v>
      </c>
      <c r="L2846" s="243" t="s">
        <v>153</v>
      </c>
    </row>
    <row r="2847" spans="1:12" ht="15.6" hidden="1">
      <c r="A2847" s="438">
        <v>45936</v>
      </c>
      <c r="B2847" s="243" t="s">
        <v>3526</v>
      </c>
      <c r="C2847" s="243" t="s">
        <v>150</v>
      </c>
      <c r="D2847" s="243" t="s">
        <v>119</v>
      </c>
      <c r="E2847" s="457">
        <v>10000</v>
      </c>
      <c r="F2847" s="407">
        <f t="shared" si="38"/>
        <v>18.401363172983856</v>
      </c>
      <c r="G2847" s="408">
        <v>543.43799999999999</v>
      </c>
      <c r="H2847" s="243" t="s">
        <v>321</v>
      </c>
      <c r="I2847" s="243" t="s">
        <v>3531</v>
      </c>
      <c r="J2847" s="243" t="s">
        <v>96</v>
      </c>
      <c r="K2847" s="243" t="s">
        <v>1906</v>
      </c>
      <c r="L2847" s="243" t="s">
        <v>153</v>
      </c>
    </row>
    <row r="2848" spans="1:12" ht="15.6" hidden="1">
      <c r="A2848" s="438">
        <v>45936</v>
      </c>
      <c r="B2848" s="243" t="s">
        <v>3549</v>
      </c>
      <c r="C2848" s="243" t="s">
        <v>150</v>
      </c>
      <c r="D2848" s="243" t="s">
        <v>115</v>
      </c>
      <c r="E2848" s="463">
        <v>7500</v>
      </c>
      <c r="F2848" s="407">
        <f t="shared" si="38"/>
        <v>13.801022379737891</v>
      </c>
      <c r="G2848" s="408">
        <v>543.43799999999999</v>
      </c>
      <c r="H2848" s="243" t="s">
        <v>188</v>
      </c>
      <c r="I2848" s="243" t="s">
        <v>3596</v>
      </c>
      <c r="J2848" s="243" t="s">
        <v>96</v>
      </c>
      <c r="K2848" s="243" t="s">
        <v>1906</v>
      </c>
      <c r="L2848" s="243" t="s">
        <v>153</v>
      </c>
    </row>
    <row r="2849" spans="1:12" ht="15.6" hidden="1">
      <c r="A2849" s="438">
        <v>45936</v>
      </c>
      <c r="B2849" s="243" t="s">
        <v>3616</v>
      </c>
      <c r="C2849" s="243" t="s">
        <v>172</v>
      </c>
      <c r="D2849" s="243" t="s">
        <v>115</v>
      </c>
      <c r="E2849" s="463">
        <v>500</v>
      </c>
      <c r="F2849" s="407">
        <f t="shared" si="38"/>
        <v>0.92006815864919278</v>
      </c>
      <c r="G2849" s="408">
        <v>543.43799999999999</v>
      </c>
      <c r="H2849" s="243" t="s">
        <v>191</v>
      </c>
      <c r="I2849" s="243" t="s">
        <v>3665</v>
      </c>
      <c r="J2849" s="243" t="s">
        <v>96</v>
      </c>
      <c r="K2849" s="243" t="s">
        <v>1906</v>
      </c>
      <c r="L2849" s="243" t="s">
        <v>153</v>
      </c>
    </row>
    <row r="2850" spans="1:12" ht="15.6" hidden="1">
      <c r="A2850" s="438">
        <v>45936</v>
      </c>
      <c r="B2850" s="243" t="s">
        <v>3617</v>
      </c>
      <c r="C2850" s="243" t="s">
        <v>172</v>
      </c>
      <c r="D2850" s="243" t="s">
        <v>115</v>
      </c>
      <c r="E2850" s="463">
        <v>500</v>
      </c>
      <c r="F2850" s="407">
        <f t="shared" si="38"/>
        <v>0.92006815864919278</v>
      </c>
      <c r="G2850" s="408">
        <v>543.43799999999999</v>
      </c>
      <c r="H2850" s="243" t="s">
        <v>191</v>
      </c>
      <c r="I2850" s="243" t="s">
        <v>3665</v>
      </c>
      <c r="J2850" s="243" t="s">
        <v>96</v>
      </c>
      <c r="K2850" s="243" t="s">
        <v>1906</v>
      </c>
      <c r="L2850" s="243" t="s">
        <v>153</v>
      </c>
    </row>
    <row r="2851" spans="1:12" ht="15.6" hidden="1">
      <c r="A2851" s="438">
        <v>45936</v>
      </c>
      <c r="B2851" s="243" t="s">
        <v>3616</v>
      </c>
      <c r="C2851" s="243" t="s">
        <v>172</v>
      </c>
      <c r="D2851" s="243" t="s">
        <v>115</v>
      </c>
      <c r="E2851" s="463">
        <v>500</v>
      </c>
      <c r="F2851" s="407">
        <f t="shared" si="38"/>
        <v>0.92006815864919278</v>
      </c>
      <c r="G2851" s="408">
        <v>543.43799999999999</v>
      </c>
      <c r="H2851" s="243" t="s">
        <v>191</v>
      </c>
      <c r="I2851" s="243" t="s">
        <v>3665</v>
      </c>
      <c r="J2851" s="243" t="s">
        <v>96</v>
      </c>
      <c r="K2851" s="243" t="s">
        <v>1906</v>
      </c>
      <c r="L2851" s="243" t="s">
        <v>153</v>
      </c>
    </row>
    <row r="2852" spans="1:12" ht="15.6" hidden="1">
      <c r="A2852" s="438">
        <v>45936</v>
      </c>
      <c r="B2852" s="243" t="s">
        <v>3617</v>
      </c>
      <c r="C2852" s="243" t="s">
        <v>172</v>
      </c>
      <c r="D2852" s="243" t="s">
        <v>115</v>
      </c>
      <c r="E2852" s="463">
        <v>500</v>
      </c>
      <c r="F2852" s="407">
        <f t="shared" si="38"/>
        <v>0.92006815864919278</v>
      </c>
      <c r="G2852" s="408">
        <v>543.43799999999999</v>
      </c>
      <c r="H2852" s="243" t="s">
        <v>191</v>
      </c>
      <c r="I2852" s="243" t="s">
        <v>3665</v>
      </c>
      <c r="J2852" s="243" t="s">
        <v>96</v>
      </c>
      <c r="K2852" s="243" t="s">
        <v>1906</v>
      </c>
      <c r="L2852" s="243" t="s">
        <v>153</v>
      </c>
    </row>
    <row r="2853" spans="1:12" ht="15.6" hidden="1">
      <c r="A2853" s="438">
        <v>45936</v>
      </c>
      <c r="B2853" s="243" t="s">
        <v>3618</v>
      </c>
      <c r="C2853" s="243" t="s">
        <v>150</v>
      </c>
      <c r="D2853" s="243" t="s">
        <v>115</v>
      </c>
      <c r="E2853" s="463">
        <v>7500</v>
      </c>
      <c r="F2853" s="407">
        <f t="shared" si="38"/>
        <v>13.801022379737891</v>
      </c>
      <c r="G2853" s="408">
        <v>543.43799999999999</v>
      </c>
      <c r="H2853" s="243" t="s">
        <v>191</v>
      </c>
      <c r="I2853" s="243" t="s">
        <v>3667</v>
      </c>
      <c r="J2853" s="243" t="s">
        <v>96</v>
      </c>
      <c r="K2853" s="243" t="s">
        <v>1906</v>
      </c>
      <c r="L2853" s="243" t="s">
        <v>153</v>
      </c>
    </row>
    <row r="2854" spans="1:12" ht="15.6" hidden="1">
      <c r="A2854" s="438">
        <v>45936</v>
      </c>
      <c r="B2854" s="243" t="s">
        <v>3619</v>
      </c>
      <c r="C2854" s="243" t="s">
        <v>180</v>
      </c>
      <c r="D2854" s="243" t="s">
        <v>116</v>
      </c>
      <c r="E2854" s="463">
        <v>7740</v>
      </c>
      <c r="F2854" s="407">
        <f t="shared" si="38"/>
        <v>14.242655095889504</v>
      </c>
      <c r="G2854" s="408">
        <v>543.43799999999999</v>
      </c>
      <c r="H2854" s="243" t="s">
        <v>191</v>
      </c>
      <c r="I2854" s="455" t="s">
        <v>3668</v>
      </c>
      <c r="J2854" s="243" t="s">
        <v>96</v>
      </c>
      <c r="K2854" s="243" t="s">
        <v>1906</v>
      </c>
      <c r="L2854" s="243" t="s">
        <v>153</v>
      </c>
    </row>
    <row r="2855" spans="1:12" ht="15.6" hidden="1">
      <c r="A2855" s="438">
        <v>45936</v>
      </c>
      <c r="B2855" s="243" t="s">
        <v>3620</v>
      </c>
      <c r="C2855" s="243" t="s">
        <v>172</v>
      </c>
      <c r="D2855" s="243" t="s">
        <v>115</v>
      </c>
      <c r="E2855" s="463">
        <v>1000</v>
      </c>
      <c r="F2855" s="407">
        <f t="shared" si="38"/>
        <v>1.8401363172983856</v>
      </c>
      <c r="G2855" s="408">
        <v>543.43799999999999</v>
      </c>
      <c r="H2855" s="243" t="s">
        <v>191</v>
      </c>
      <c r="I2855" s="243" t="s">
        <v>3665</v>
      </c>
      <c r="J2855" s="243" t="s">
        <v>96</v>
      </c>
      <c r="K2855" s="243" t="s">
        <v>1906</v>
      </c>
      <c r="L2855" s="243" t="s">
        <v>153</v>
      </c>
    </row>
    <row r="2856" spans="1:12" ht="15.6" hidden="1">
      <c r="A2856" s="438">
        <v>45936</v>
      </c>
      <c r="B2856" s="243" t="s">
        <v>2196</v>
      </c>
      <c r="C2856" s="243" t="s">
        <v>172</v>
      </c>
      <c r="D2856" s="243" t="s">
        <v>115</v>
      </c>
      <c r="E2856" s="463">
        <v>1500</v>
      </c>
      <c r="F2856" s="407">
        <f t="shared" si="38"/>
        <v>2.7602044759475781</v>
      </c>
      <c r="G2856" s="408">
        <v>543.43799999999999</v>
      </c>
      <c r="H2856" s="243" t="s">
        <v>191</v>
      </c>
      <c r="I2856" s="243" t="s">
        <v>3665</v>
      </c>
      <c r="J2856" s="243" t="s">
        <v>96</v>
      </c>
      <c r="K2856" s="243" t="s">
        <v>1906</v>
      </c>
      <c r="L2856" s="243" t="s">
        <v>153</v>
      </c>
    </row>
    <row r="2857" spans="1:12" ht="15.6" hidden="1">
      <c r="A2857" s="438">
        <v>45936</v>
      </c>
      <c r="B2857" s="243" t="s">
        <v>3707</v>
      </c>
      <c r="C2857" s="239" t="s">
        <v>194</v>
      </c>
      <c r="D2857" s="239" t="s">
        <v>115</v>
      </c>
      <c r="E2857" s="457">
        <v>1000</v>
      </c>
      <c r="F2857" s="407">
        <f t="shared" si="38"/>
        <v>1.8401363172983856</v>
      </c>
      <c r="G2857" s="408">
        <v>543.43799999999999</v>
      </c>
      <c r="H2857" s="239" t="s">
        <v>195</v>
      </c>
      <c r="I2857" s="243" t="s">
        <v>3747</v>
      </c>
      <c r="J2857" s="243" t="s">
        <v>96</v>
      </c>
      <c r="K2857" s="243" t="s">
        <v>1906</v>
      </c>
      <c r="L2857" s="243" t="s">
        <v>153</v>
      </c>
    </row>
    <row r="2858" spans="1:12" ht="15.6" hidden="1">
      <c r="A2858" s="438">
        <v>45936</v>
      </c>
      <c r="B2858" s="243" t="s">
        <v>3705</v>
      </c>
      <c r="C2858" s="243" t="s">
        <v>311</v>
      </c>
      <c r="D2858" s="239" t="s">
        <v>115</v>
      </c>
      <c r="E2858" s="457">
        <v>3000</v>
      </c>
      <c r="F2858" s="407">
        <f t="shared" si="38"/>
        <v>5.5204089518951562</v>
      </c>
      <c r="G2858" s="408">
        <v>543.43799999999999</v>
      </c>
      <c r="H2858" s="239" t="s">
        <v>195</v>
      </c>
      <c r="I2858" s="243" t="s">
        <v>3751</v>
      </c>
      <c r="J2858" s="243" t="s">
        <v>96</v>
      </c>
      <c r="K2858" s="243" t="s">
        <v>1906</v>
      </c>
      <c r="L2858" s="243" t="s">
        <v>153</v>
      </c>
    </row>
    <row r="2859" spans="1:12" ht="15.6" hidden="1">
      <c r="A2859" s="438">
        <v>45936</v>
      </c>
      <c r="B2859" s="243" t="s">
        <v>3702</v>
      </c>
      <c r="C2859" s="239" t="s">
        <v>194</v>
      </c>
      <c r="D2859" s="239" t="s">
        <v>115</v>
      </c>
      <c r="E2859" s="457">
        <v>1000</v>
      </c>
      <c r="F2859" s="407">
        <f t="shared" si="38"/>
        <v>1.8401363172983856</v>
      </c>
      <c r="G2859" s="408">
        <v>543.43799999999999</v>
      </c>
      <c r="H2859" s="239" t="s">
        <v>195</v>
      </c>
      <c r="I2859" s="243" t="s">
        <v>3747</v>
      </c>
      <c r="J2859" s="243" t="s">
        <v>96</v>
      </c>
      <c r="K2859" s="243" t="s">
        <v>1906</v>
      </c>
      <c r="L2859" s="243" t="s">
        <v>153</v>
      </c>
    </row>
    <row r="2860" spans="1:12" ht="15.6" hidden="1">
      <c r="A2860" s="438">
        <v>45936</v>
      </c>
      <c r="B2860" s="243" t="s">
        <v>3708</v>
      </c>
      <c r="C2860" s="239" t="s">
        <v>194</v>
      </c>
      <c r="D2860" s="239" t="s">
        <v>115</v>
      </c>
      <c r="E2860" s="457">
        <v>1000</v>
      </c>
      <c r="F2860" s="407">
        <f t="shared" si="38"/>
        <v>1.8401363172983856</v>
      </c>
      <c r="G2860" s="408">
        <v>543.43799999999999</v>
      </c>
      <c r="H2860" s="239" t="s">
        <v>195</v>
      </c>
      <c r="I2860" s="243" t="s">
        <v>3747</v>
      </c>
      <c r="J2860" s="243" t="s">
        <v>96</v>
      </c>
      <c r="K2860" s="243" t="s">
        <v>1906</v>
      </c>
      <c r="L2860" s="243" t="s">
        <v>153</v>
      </c>
    </row>
    <row r="2861" spans="1:12" ht="15.6" hidden="1">
      <c r="A2861" s="438">
        <v>45936</v>
      </c>
      <c r="B2861" s="243" t="s">
        <v>3709</v>
      </c>
      <c r="C2861" s="239" t="s">
        <v>194</v>
      </c>
      <c r="D2861" s="239" t="s">
        <v>115</v>
      </c>
      <c r="E2861" s="457">
        <v>1000</v>
      </c>
      <c r="F2861" s="407">
        <f t="shared" si="38"/>
        <v>1.8401363172983856</v>
      </c>
      <c r="G2861" s="408">
        <v>543.43799999999999</v>
      </c>
      <c r="H2861" s="239" t="s">
        <v>195</v>
      </c>
      <c r="I2861" s="243" t="s">
        <v>3747</v>
      </c>
      <c r="J2861" s="243" t="s">
        <v>96</v>
      </c>
      <c r="K2861" s="243" t="s">
        <v>1906</v>
      </c>
      <c r="L2861" s="243" t="s">
        <v>153</v>
      </c>
    </row>
    <row r="2862" spans="1:12" ht="15.6" hidden="1">
      <c r="A2862" s="438">
        <v>45936</v>
      </c>
      <c r="B2862" s="243" t="s">
        <v>3710</v>
      </c>
      <c r="C2862" s="239" t="s">
        <v>194</v>
      </c>
      <c r="D2862" s="239" t="s">
        <v>115</v>
      </c>
      <c r="E2862" s="457">
        <v>1000</v>
      </c>
      <c r="F2862" s="407">
        <f t="shared" si="38"/>
        <v>1.8401363172983856</v>
      </c>
      <c r="G2862" s="408">
        <v>543.43799999999999</v>
      </c>
      <c r="H2862" s="239" t="s">
        <v>195</v>
      </c>
      <c r="I2862" s="243" t="s">
        <v>3747</v>
      </c>
      <c r="J2862" s="243" t="s">
        <v>96</v>
      </c>
      <c r="K2862" s="243" t="s">
        <v>1906</v>
      </c>
      <c r="L2862" s="243" t="s">
        <v>153</v>
      </c>
    </row>
    <row r="2863" spans="1:12" ht="15.6" hidden="1">
      <c r="A2863" s="438">
        <v>45936</v>
      </c>
      <c r="B2863" s="243" t="s">
        <v>3711</v>
      </c>
      <c r="C2863" s="239" t="s">
        <v>194</v>
      </c>
      <c r="D2863" s="239" t="s">
        <v>115</v>
      </c>
      <c r="E2863" s="457">
        <v>1000</v>
      </c>
      <c r="F2863" s="407">
        <f t="shared" si="38"/>
        <v>1.8401363172983856</v>
      </c>
      <c r="G2863" s="408">
        <v>543.43799999999999</v>
      </c>
      <c r="H2863" s="239" t="s">
        <v>195</v>
      </c>
      <c r="I2863" s="243" t="s">
        <v>3747</v>
      </c>
      <c r="J2863" s="243" t="s">
        <v>96</v>
      </c>
      <c r="K2863" s="243" t="s">
        <v>1906</v>
      </c>
      <c r="L2863" s="243" t="s">
        <v>153</v>
      </c>
    </row>
    <row r="2864" spans="1:12" ht="15.6" hidden="1">
      <c r="A2864" s="438">
        <v>45936</v>
      </c>
      <c r="B2864" s="243" t="s">
        <v>3712</v>
      </c>
      <c r="C2864" s="239" t="s">
        <v>194</v>
      </c>
      <c r="D2864" s="239" t="s">
        <v>115</v>
      </c>
      <c r="E2864" s="457">
        <v>1000</v>
      </c>
      <c r="F2864" s="407">
        <f t="shared" si="38"/>
        <v>1.8401363172983856</v>
      </c>
      <c r="G2864" s="408">
        <v>543.43799999999999</v>
      </c>
      <c r="H2864" s="239" t="s">
        <v>195</v>
      </c>
      <c r="I2864" s="243" t="s">
        <v>3747</v>
      </c>
      <c r="J2864" s="243" t="s">
        <v>96</v>
      </c>
      <c r="K2864" s="243" t="s">
        <v>1906</v>
      </c>
      <c r="L2864" s="243" t="s">
        <v>153</v>
      </c>
    </row>
    <row r="2865" spans="1:12" ht="15.6" hidden="1">
      <c r="A2865" s="438">
        <v>45936</v>
      </c>
      <c r="B2865" s="243" t="s">
        <v>3713</v>
      </c>
      <c r="C2865" s="239" t="s">
        <v>194</v>
      </c>
      <c r="D2865" s="239" t="s">
        <v>115</v>
      </c>
      <c r="E2865" s="457">
        <v>1000</v>
      </c>
      <c r="F2865" s="407">
        <f t="shared" si="38"/>
        <v>1.8401363172983856</v>
      </c>
      <c r="G2865" s="408">
        <v>543.43799999999999</v>
      </c>
      <c r="H2865" s="239" t="s">
        <v>195</v>
      </c>
      <c r="I2865" s="243" t="s">
        <v>3747</v>
      </c>
      <c r="J2865" s="243" t="s">
        <v>96</v>
      </c>
      <c r="K2865" s="243" t="s">
        <v>1906</v>
      </c>
      <c r="L2865" s="243" t="s">
        <v>153</v>
      </c>
    </row>
    <row r="2866" spans="1:12" ht="15.6" hidden="1">
      <c r="A2866" s="438">
        <v>45936</v>
      </c>
      <c r="B2866" s="243" t="s">
        <v>3701</v>
      </c>
      <c r="C2866" s="243" t="s">
        <v>311</v>
      </c>
      <c r="D2866" s="239" t="s">
        <v>115</v>
      </c>
      <c r="E2866" s="457">
        <v>3000</v>
      </c>
      <c r="F2866" s="407">
        <f t="shared" si="38"/>
        <v>5.5204089518951562</v>
      </c>
      <c r="G2866" s="408">
        <v>543.43799999999999</v>
      </c>
      <c r="H2866" s="239" t="s">
        <v>195</v>
      </c>
      <c r="I2866" s="243" t="s">
        <v>3751</v>
      </c>
      <c r="J2866" s="243" t="s">
        <v>96</v>
      </c>
      <c r="K2866" s="243" t="s">
        <v>1906</v>
      </c>
      <c r="L2866" s="243" t="s">
        <v>153</v>
      </c>
    </row>
    <row r="2867" spans="1:12" ht="15.6" hidden="1">
      <c r="A2867" s="438">
        <v>45936</v>
      </c>
      <c r="B2867" s="243" t="s">
        <v>3714</v>
      </c>
      <c r="C2867" s="239" t="s">
        <v>194</v>
      </c>
      <c r="D2867" s="239" t="s">
        <v>115</v>
      </c>
      <c r="E2867" s="457">
        <v>1000</v>
      </c>
      <c r="F2867" s="407">
        <f t="shared" si="38"/>
        <v>1.8401363172983856</v>
      </c>
      <c r="G2867" s="408">
        <v>543.43799999999999</v>
      </c>
      <c r="H2867" s="239" t="s">
        <v>195</v>
      </c>
      <c r="I2867" s="243" t="s">
        <v>3747</v>
      </c>
      <c r="J2867" s="243" t="s">
        <v>96</v>
      </c>
      <c r="K2867" s="243" t="s">
        <v>1906</v>
      </c>
      <c r="L2867" s="243" t="s">
        <v>153</v>
      </c>
    </row>
    <row r="2868" spans="1:12" ht="15.6" hidden="1">
      <c r="A2868" s="438">
        <v>45936</v>
      </c>
      <c r="B2868" s="243" t="s">
        <v>3715</v>
      </c>
      <c r="C2868" s="239" t="s">
        <v>150</v>
      </c>
      <c r="D2868" s="239" t="s">
        <v>115</v>
      </c>
      <c r="E2868" s="457">
        <v>10000</v>
      </c>
      <c r="F2868" s="407">
        <f t="shared" si="38"/>
        <v>18.401363172983856</v>
      </c>
      <c r="G2868" s="408">
        <v>543.43799999999999</v>
      </c>
      <c r="H2868" s="239" t="s">
        <v>195</v>
      </c>
      <c r="I2868" s="243" t="s">
        <v>3753</v>
      </c>
      <c r="J2868" s="243" t="s">
        <v>96</v>
      </c>
      <c r="K2868" s="243" t="s">
        <v>1906</v>
      </c>
      <c r="L2868" s="243" t="s">
        <v>153</v>
      </c>
    </row>
    <row r="2869" spans="1:12" ht="15.6" hidden="1">
      <c r="A2869" s="438">
        <v>45936</v>
      </c>
      <c r="B2869" s="461" t="s">
        <v>3768</v>
      </c>
      <c r="C2869" s="439" t="s">
        <v>172</v>
      </c>
      <c r="D2869" s="461" t="s">
        <v>118</v>
      </c>
      <c r="E2869" s="464">
        <v>1000</v>
      </c>
      <c r="F2869" s="407">
        <f t="shared" si="38"/>
        <v>1.8401363172983856</v>
      </c>
      <c r="G2869" s="408">
        <v>543.43799999999999</v>
      </c>
      <c r="H2869" s="461" t="s">
        <v>211</v>
      </c>
      <c r="I2869" s="461" t="s">
        <v>3910</v>
      </c>
      <c r="J2869" s="243" t="s">
        <v>96</v>
      </c>
      <c r="K2869" s="243" t="s">
        <v>1906</v>
      </c>
      <c r="L2869" s="243" t="s">
        <v>153</v>
      </c>
    </row>
    <row r="2870" spans="1:12" ht="15.6" hidden="1">
      <c r="A2870" s="438">
        <v>45936</v>
      </c>
      <c r="B2870" s="461" t="s">
        <v>3769</v>
      </c>
      <c r="C2870" s="439" t="s">
        <v>172</v>
      </c>
      <c r="D2870" s="461" t="s">
        <v>118</v>
      </c>
      <c r="E2870" s="464">
        <v>1000</v>
      </c>
      <c r="F2870" s="407">
        <f t="shared" si="38"/>
        <v>1.8401363172983856</v>
      </c>
      <c r="G2870" s="408">
        <v>543.43799999999999</v>
      </c>
      <c r="H2870" s="461" t="s">
        <v>211</v>
      </c>
      <c r="I2870" s="461" t="s">
        <v>3910</v>
      </c>
      <c r="J2870" s="243" t="s">
        <v>96</v>
      </c>
      <c r="K2870" s="243" t="s">
        <v>1906</v>
      </c>
      <c r="L2870" s="243" t="s">
        <v>153</v>
      </c>
    </row>
    <row r="2871" spans="1:12" ht="15.6" hidden="1">
      <c r="A2871" s="438">
        <v>45936</v>
      </c>
      <c r="B2871" s="439" t="s">
        <v>3770</v>
      </c>
      <c r="C2871" s="439" t="s">
        <v>150</v>
      </c>
      <c r="D2871" s="439" t="s">
        <v>118</v>
      </c>
      <c r="E2871" s="464">
        <v>10000</v>
      </c>
      <c r="F2871" s="407">
        <f t="shared" si="38"/>
        <v>18.401363172983856</v>
      </c>
      <c r="G2871" s="408">
        <v>543.43799999999999</v>
      </c>
      <c r="H2871" s="461" t="s">
        <v>211</v>
      </c>
      <c r="I2871" s="461" t="s">
        <v>3913</v>
      </c>
      <c r="J2871" s="243" t="s">
        <v>96</v>
      </c>
      <c r="K2871" s="243" t="s">
        <v>1906</v>
      </c>
      <c r="L2871" s="243" t="s">
        <v>153</v>
      </c>
    </row>
    <row r="2872" spans="1:12" ht="15.6" hidden="1">
      <c r="A2872" s="438">
        <v>45936</v>
      </c>
      <c r="B2872" s="423" t="s">
        <v>3941</v>
      </c>
      <c r="C2872" s="423" t="s">
        <v>150</v>
      </c>
      <c r="D2872" s="423" t="s">
        <v>115</v>
      </c>
      <c r="E2872" s="471">
        <v>7500</v>
      </c>
      <c r="F2872" s="407">
        <f t="shared" si="38"/>
        <v>13.801022379737891</v>
      </c>
      <c r="G2872" s="408">
        <v>543.43799999999999</v>
      </c>
      <c r="H2872" s="423" t="s">
        <v>185</v>
      </c>
      <c r="I2872" s="423" t="s">
        <v>4010</v>
      </c>
      <c r="J2872" s="243" t="s">
        <v>96</v>
      </c>
      <c r="K2872" s="243" t="s">
        <v>1906</v>
      </c>
      <c r="L2872" s="243" t="s">
        <v>153</v>
      </c>
    </row>
    <row r="2873" spans="1:12" ht="15.6" hidden="1">
      <c r="A2873" s="438">
        <v>45937</v>
      </c>
      <c r="B2873" s="239" t="s">
        <v>2103</v>
      </c>
      <c r="C2873" s="453" t="s">
        <v>172</v>
      </c>
      <c r="D2873" s="453" t="s">
        <v>117</v>
      </c>
      <c r="E2873" s="458">
        <v>1000</v>
      </c>
      <c r="F2873" s="407">
        <f t="shared" si="38"/>
        <v>1.8401363172983856</v>
      </c>
      <c r="G2873" s="408">
        <v>543.43799999999999</v>
      </c>
      <c r="H2873" s="454" t="s">
        <v>151</v>
      </c>
      <c r="I2873" s="239" t="s">
        <v>3264</v>
      </c>
      <c r="J2873" s="243" t="s">
        <v>96</v>
      </c>
      <c r="K2873" s="243" t="s">
        <v>1906</v>
      </c>
      <c r="L2873" s="243" t="s">
        <v>153</v>
      </c>
    </row>
    <row r="2874" spans="1:12" ht="15.6" hidden="1">
      <c r="A2874" s="438">
        <v>45937</v>
      </c>
      <c r="B2874" s="239" t="s">
        <v>2104</v>
      </c>
      <c r="C2874" s="453" t="s">
        <v>172</v>
      </c>
      <c r="D2874" s="453" t="s">
        <v>117</v>
      </c>
      <c r="E2874" s="458">
        <v>1000</v>
      </c>
      <c r="F2874" s="407">
        <f t="shared" si="38"/>
        <v>1.8401363172983856</v>
      </c>
      <c r="G2874" s="408">
        <v>543.43799999999999</v>
      </c>
      <c r="H2874" s="454" t="s">
        <v>151</v>
      </c>
      <c r="I2874" s="239" t="s">
        <v>3264</v>
      </c>
      <c r="J2874" s="243" t="s">
        <v>96</v>
      </c>
      <c r="K2874" s="243" t="s">
        <v>1906</v>
      </c>
      <c r="L2874" s="243" t="s">
        <v>153</v>
      </c>
    </row>
    <row r="2875" spans="1:12" ht="15.6" hidden="1">
      <c r="A2875" s="438">
        <v>45937</v>
      </c>
      <c r="B2875" s="329" t="s">
        <v>3316</v>
      </c>
      <c r="C2875" s="329" t="s">
        <v>3317</v>
      </c>
      <c r="D2875" s="329" t="s">
        <v>115</v>
      </c>
      <c r="E2875" s="451">
        <v>3000</v>
      </c>
      <c r="F2875" s="407">
        <f t="shared" si="38"/>
        <v>5.5204089518951562</v>
      </c>
      <c r="G2875" s="408">
        <v>543.43799999999999</v>
      </c>
      <c r="H2875" s="329" t="s">
        <v>198</v>
      </c>
      <c r="I2875" s="329" t="s">
        <v>3356</v>
      </c>
      <c r="J2875" s="243" t="s">
        <v>96</v>
      </c>
      <c r="K2875" s="243" t="s">
        <v>1906</v>
      </c>
      <c r="L2875" s="243" t="s">
        <v>153</v>
      </c>
    </row>
    <row r="2876" spans="1:12" ht="15.6" hidden="1">
      <c r="A2876" s="438">
        <v>45937</v>
      </c>
      <c r="B2876" s="329" t="s">
        <v>3318</v>
      </c>
      <c r="C2876" s="329" t="s">
        <v>172</v>
      </c>
      <c r="D2876" s="329" t="s">
        <v>115</v>
      </c>
      <c r="E2876" s="451">
        <v>1000</v>
      </c>
      <c r="F2876" s="407">
        <f t="shared" si="38"/>
        <v>1.8401363172983856</v>
      </c>
      <c r="G2876" s="408">
        <v>543.43799999999999</v>
      </c>
      <c r="H2876" s="329" t="s">
        <v>198</v>
      </c>
      <c r="I2876" s="329" t="s">
        <v>3349</v>
      </c>
      <c r="J2876" s="243" t="s">
        <v>96</v>
      </c>
      <c r="K2876" s="243" t="s">
        <v>1906</v>
      </c>
      <c r="L2876" s="243" t="s">
        <v>153</v>
      </c>
    </row>
    <row r="2877" spans="1:12" ht="15.6" hidden="1">
      <c r="A2877" s="438">
        <v>45937</v>
      </c>
      <c r="B2877" s="329" t="s">
        <v>3319</v>
      </c>
      <c r="C2877" s="329" t="s">
        <v>172</v>
      </c>
      <c r="D2877" s="329" t="s">
        <v>115</v>
      </c>
      <c r="E2877" s="451">
        <v>1000</v>
      </c>
      <c r="F2877" s="407">
        <f t="shared" si="38"/>
        <v>1.8401363172983856</v>
      </c>
      <c r="G2877" s="408">
        <v>543.43799999999999</v>
      </c>
      <c r="H2877" s="329" t="s">
        <v>198</v>
      </c>
      <c r="I2877" s="329" t="s">
        <v>3349</v>
      </c>
      <c r="J2877" s="243" t="s">
        <v>96</v>
      </c>
      <c r="K2877" s="243" t="s">
        <v>1906</v>
      </c>
      <c r="L2877" s="243" t="s">
        <v>153</v>
      </c>
    </row>
    <row r="2878" spans="1:12" ht="15.6" hidden="1">
      <c r="A2878" s="438">
        <v>45937</v>
      </c>
      <c r="B2878" s="329" t="s">
        <v>3314</v>
      </c>
      <c r="C2878" s="329" t="s">
        <v>172</v>
      </c>
      <c r="D2878" s="329" t="s">
        <v>115</v>
      </c>
      <c r="E2878" s="451">
        <v>1000</v>
      </c>
      <c r="F2878" s="407">
        <f t="shared" si="38"/>
        <v>1.8401363172983856</v>
      </c>
      <c r="G2878" s="408">
        <v>543.43799999999999</v>
      </c>
      <c r="H2878" s="329" t="s">
        <v>198</v>
      </c>
      <c r="I2878" s="329" t="s">
        <v>3349</v>
      </c>
      <c r="J2878" s="243" t="s">
        <v>96</v>
      </c>
      <c r="K2878" s="243" t="s">
        <v>1906</v>
      </c>
      <c r="L2878" s="243" t="s">
        <v>153</v>
      </c>
    </row>
    <row r="2879" spans="1:12" ht="15.6" hidden="1">
      <c r="A2879" s="438">
        <v>45937</v>
      </c>
      <c r="B2879" s="329" t="s">
        <v>3320</v>
      </c>
      <c r="C2879" s="329" t="s">
        <v>172</v>
      </c>
      <c r="D2879" s="329" t="s">
        <v>115</v>
      </c>
      <c r="E2879" s="451">
        <v>1000</v>
      </c>
      <c r="F2879" s="407">
        <f t="shared" si="38"/>
        <v>1.8401363172983856</v>
      </c>
      <c r="G2879" s="408">
        <v>543.43799999999999</v>
      </c>
      <c r="H2879" s="329" t="s">
        <v>198</v>
      </c>
      <c r="I2879" s="329" t="s">
        <v>3349</v>
      </c>
      <c r="J2879" s="243" t="s">
        <v>96</v>
      </c>
      <c r="K2879" s="243" t="s">
        <v>1906</v>
      </c>
      <c r="L2879" s="243" t="s">
        <v>153</v>
      </c>
    </row>
    <row r="2880" spans="1:12" ht="15.6" hidden="1">
      <c r="A2880" s="438">
        <v>45937</v>
      </c>
      <c r="B2880" s="329" t="s">
        <v>3321</v>
      </c>
      <c r="C2880" s="329" t="s">
        <v>3317</v>
      </c>
      <c r="D2880" s="329" t="s">
        <v>115</v>
      </c>
      <c r="E2880" s="451">
        <v>3000</v>
      </c>
      <c r="F2880" s="407">
        <f t="shared" si="38"/>
        <v>5.5204089518951562</v>
      </c>
      <c r="G2880" s="408">
        <v>543.43799999999999</v>
      </c>
      <c r="H2880" s="329" t="s">
        <v>198</v>
      </c>
      <c r="I2880" s="329" t="s">
        <v>3356</v>
      </c>
      <c r="J2880" s="243" t="s">
        <v>96</v>
      </c>
      <c r="K2880" s="243" t="s">
        <v>1906</v>
      </c>
      <c r="L2880" s="243" t="s">
        <v>153</v>
      </c>
    </row>
    <row r="2881" spans="1:12" ht="15.6" hidden="1">
      <c r="A2881" s="438">
        <v>45937</v>
      </c>
      <c r="B2881" s="329" t="s">
        <v>3322</v>
      </c>
      <c r="C2881" s="329" t="s">
        <v>172</v>
      </c>
      <c r="D2881" s="329" t="s">
        <v>115</v>
      </c>
      <c r="E2881" s="451">
        <v>1000</v>
      </c>
      <c r="F2881" s="407">
        <f t="shared" si="38"/>
        <v>1.8401363172983856</v>
      </c>
      <c r="G2881" s="408">
        <v>543.43799999999999</v>
      </c>
      <c r="H2881" s="329" t="s">
        <v>198</v>
      </c>
      <c r="I2881" s="329" t="s">
        <v>3349</v>
      </c>
      <c r="J2881" s="243" t="s">
        <v>96</v>
      </c>
      <c r="K2881" s="243" t="s">
        <v>1906</v>
      </c>
      <c r="L2881" s="243" t="s">
        <v>153</v>
      </c>
    </row>
    <row r="2882" spans="1:12" ht="15.6" hidden="1">
      <c r="A2882" s="438">
        <v>45937</v>
      </c>
      <c r="B2882" s="329" t="s">
        <v>3319</v>
      </c>
      <c r="C2882" s="329" t="s">
        <v>172</v>
      </c>
      <c r="D2882" s="329" t="s">
        <v>115</v>
      </c>
      <c r="E2882" s="451">
        <v>1000</v>
      </c>
      <c r="F2882" s="407">
        <f t="shared" si="38"/>
        <v>1.8401363172983856</v>
      </c>
      <c r="G2882" s="408">
        <v>543.43799999999999</v>
      </c>
      <c r="H2882" s="329" t="s">
        <v>198</v>
      </c>
      <c r="I2882" s="329" t="s">
        <v>3349</v>
      </c>
      <c r="J2882" s="243" t="s">
        <v>96</v>
      </c>
      <c r="K2882" s="243" t="s">
        <v>1906</v>
      </c>
      <c r="L2882" s="243" t="s">
        <v>153</v>
      </c>
    </row>
    <row r="2883" spans="1:12" ht="15.6" hidden="1">
      <c r="A2883" s="438">
        <v>45937</v>
      </c>
      <c r="B2883" s="243" t="s">
        <v>2998</v>
      </c>
      <c r="C2883" s="243" t="s">
        <v>172</v>
      </c>
      <c r="D2883" s="243" t="s">
        <v>115</v>
      </c>
      <c r="E2883" s="463">
        <v>500</v>
      </c>
      <c r="F2883" s="407">
        <f t="shared" si="38"/>
        <v>0.92006815864919278</v>
      </c>
      <c r="G2883" s="408">
        <v>543.43799999999999</v>
      </c>
      <c r="H2883" s="243" t="s">
        <v>188</v>
      </c>
      <c r="I2883" s="243" t="s">
        <v>3594</v>
      </c>
      <c r="J2883" s="243" t="s">
        <v>96</v>
      </c>
      <c r="K2883" s="243" t="s">
        <v>1906</v>
      </c>
      <c r="L2883" s="243" t="s">
        <v>153</v>
      </c>
    </row>
    <row r="2884" spans="1:12" ht="15.6" hidden="1">
      <c r="A2884" s="438">
        <v>45937</v>
      </c>
      <c r="B2884" s="243" t="s">
        <v>3000</v>
      </c>
      <c r="C2884" s="243" t="s">
        <v>172</v>
      </c>
      <c r="D2884" s="243" t="s">
        <v>115</v>
      </c>
      <c r="E2884" s="463">
        <v>500</v>
      </c>
      <c r="F2884" s="407">
        <f t="shared" si="38"/>
        <v>0.92006815864919278</v>
      </c>
      <c r="G2884" s="408">
        <v>543.43799999999999</v>
      </c>
      <c r="H2884" s="243" t="s">
        <v>188</v>
      </c>
      <c r="I2884" s="243" t="s">
        <v>3594</v>
      </c>
      <c r="J2884" s="243" t="s">
        <v>96</v>
      </c>
      <c r="K2884" s="243" t="s">
        <v>1906</v>
      </c>
      <c r="L2884" s="243" t="s">
        <v>153</v>
      </c>
    </row>
    <row r="2885" spans="1:12" ht="15.6" hidden="1">
      <c r="A2885" s="438">
        <v>45937</v>
      </c>
      <c r="B2885" s="243" t="s">
        <v>3550</v>
      </c>
      <c r="C2885" s="243" t="s">
        <v>180</v>
      </c>
      <c r="D2885" s="243" t="s">
        <v>116</v>
      </c>
      <c r="E2885" s="463">
        <v>3480</v>
      </c>
      <c r="F2885" s="407">
        <f t="shared" si="38"/>
        <v>6.4036743841983812</v>
      </c>
      <c r="G2885" s="408">
        <v>543.43799999999999</v>
      </c>
      <c r="H2885" s="243" t="s">
        <v>188</v>
      </c>
      <c r="I2885" s="455" t="s">
        <v>3597</v>
      </c>
      <c r="J2885" s="243" t="s">
        <v>96</v>
      </c>
      <c r="K2885" s="243" t="s">
        <v>1906</v>
      </c>
      <c r="L2885" s="243" t="s">
        <v>153</v>
      </c>
    </row>
    <row r="2886" spans="1:12" ht="15.6" hidden="1">
      <c r="A2886" s="438">
        <v>45937</v>
      </c>
      <c r="B2886" s="243" t="s">
        <v>3716</v>
      </c>
      <c r="C2886" s="239" t="s">
        <v>194</v>
      </c>
      <c r="D2886" s="239" t="s">
        <v>115</v>
      </c>
      <c r="E2886" s="457">
        <v>1000</v>
      </c>
      <c r="F2886" s="407">
        <f t="shared" si="38"/>
        <v>1.8401363172983856</v>
      </c>
      <c r="G2886" s="408">
        <v>543.43799999999999</v>
      </c>
      <c r="H2886" s="239" t="s">
        <v>195</v>
      </c>
      <c r="I2886" s="243" t="s">
        <v>3747</v>
      </c>
      <c r="J2886" s="243" t="s">
        <v>96</v>
      </c>
      <c r="K2886" s="243" t="s">
        <v>1906</v>
      </c>
      <c r="L2886" s="243" t="s">
        <v>153</v>
      </c>
    </row>
    <row r="2887" spans="1:12" ht="15.6" hidden="1">
      <c r="A2887" s="438">
        <v>45937</v>
      </c>
      <c r="B2887" s="243" t="s">
        <v>3717</v>
      </c>
      <c r="C2887" s="239" t="s">
        <v>194</v>
      </c>
      <c r="D2887" s="239" t="s">
        <v>115</v>
      </c>
      <c r="E2887" s="457">
        <v>1000</v>
      </c>
      <c r="F2887" s="407">
        <f t="shared" si="38"/>
        <v>1.8401363172983856</v>
      </c>
      <c r="G2887" s="408">
        <v>543.43799999999999</v>
      </c>
      <c r="H2887" s="239" t="s">
        <v>195</v>
      </c>
      <c r="I2887" s="243" t="s">
        <v>3747</v>
      </c>
      <c r="J2887" s="243" t="s">
        <v>96</v>
      </c>
      <c r="K2887" s="243" t="s">
        <v>1906</v>
      </c>
      <c r="L2887" s="243" t="s">
        <v>153</v>
      </c>
    </row>
    <row r="2888" spans="1:12" ht="15.6" hidden="1">
      <c r="A2888" s="438">
        <v>45937</v>
      </c>
      <c r="B2888" s="243" t="s">
        <v>3718</v>
      </c>
      <c r="C2888" s="239" t="s">
        <v>194</v>
      </c>
      <c r="D2888" s="239" t="s">
        <v>115</v>
      </c>
      <c r="E2888" s="457">
        <v>1000</v>
      </c>
      <c r="F2888" s="407">
        <f t="shared" si="38"/>
        <v>1.8401363172983856</v>
      </c>
      <c r="G2888" s="408">
        <v>543.43799999999999</v>
      </c>
      <c r="H2888" s="239" t="s">
        <v>195</v>
      </c>
      <c r="I2888" s="243" t="s">
        <v>3747</v>
      </c>
      <c r="J2888" s="243" t="s">
        <v>96</v>
      </c>
      <c r="K2888" s="243" t="s">
        <v>1906</v>
      </c>
      <c r="L2888" s="243" t="s">
        <v>153</v>
      </c>
    </row>
    <row r="2889" spans="1:12" ht="15.6" hidden="1">
      <c r="A2889" s="438">
        <v>45937</v>
      </c>
      <c r="B2889" s="243" t="s">
        <v>3689</v>
      </c>
      <c r="C2889" s="239" t="s">
        <v>194</v>
      </c>
      <c r="D2889" s="239" t="s">
        <v>115</v>
      </c>
      <c r="E2889" s="457">
        <v>1000</v>
      </c>
      <c r="F2889" s="407">
        <f t="shared" si="38"/>
        <v>1.8401363172983856</v>
      </c>
      <c r="G2889" s="408">
        <v>543.43799999999999</v>
      </c>
      <c r="H2889" s="239" t="s">
        <v>195</v>
      </c>
      <c r="I2889" s="243" t="s">
        <v>3747</v>
      </c>
      <c r="J2889" s="243" t="s">
        <v>96</v>
      </c>
      <c r="K2889" s="243" t="s">
        <v>1906</v>
      </c>
      <c r="L2889" s="243" t="s">
        <v>153</v>
      </c>
    </row>
    <row r="2890" spans="1:12" ht="15.6" hidden="1">
      <c r="A2890" s="438">
        <v>45937</v>
      </c>
      <c r="B2890" s="461" t="s">
        <v>3768</v>
      </c>
      <c r="C2890" s="439" t="s">
        <v>172</v>
      </c>
      <c r="D2890" s="461" t="s">
        <v>118</v>
      </c>
      <c r="E2890" s="464">
        <v>1000</v>
      </c>
      <c r="F2890" s="407">
        <f t="shared" si="38"/>
        <v>1.8401363172983856</v>
      </c>
      <c r="G2890" s="408">
        <v>543.43799999999999</v>
      </c>
      <c r="H2890" s="461" t="s">
        <v>211</v>
      </c>
      <c r="I2890" s="461" t="s">
        <v>3910</v>
      </c>
      <c r="J2890" s="243" t="s">
        <v>96</v>
      </c>
      <c r="K2890" s="243" t="s">
        <v>1906</v>
      </c>
      <c r="L2890" s="243" t="s">
        <v>153</v>
      </c>
    </row>
    <row r="2891" spans="1:12" ht="15.6" hidden="1">
      <c r="A2891" s="438">
        <v>45937</v>
      </c>
      <c r="B2891" s="461" t="s">
        <v>3771</v>
      </c>
      <c r="C2891" s="439" t="s">
        <v>172</v>
      </c>
      <c r="D2891" s="461" t="s">
        <v>118</v>
      </c>
      <c r="E2891" s="464">
        <v>1000</v>
      </c>
      <c r="F2891" s="407">
        <f t="shared" si="38"/>
        <v>1.8401363172983856</v>
      </c>
      <c r="G2891" s="408">
        <v>543.43799999999999</v>
      </c>
      <c r="H2891" s="461" t="s">
        <v>211</v>
      </c>
      <c r="I2891" s="461" t="s">
        <v>3910</v>
      </c>
      <c r="J2891" s="243" t="s">
        <v>96</v>
      </c>
      <c r="K2891" s="243" t="s">
        <v>1906</v>
      </c>
      <c r="L2891" s="243" t="s">
        <v>153</v>
      </c>
    </row>
    <row r="2892" spans="1:12" ht="15.6" hidden="1">
      <c r="A2892" s="438">
        <v>45937</v>
      </c>
      <c r="B2892" s="461" t="s">
        <v>3772</v>
      </c>
      <c r="C2892" s="439" t="s">
        <v>172</v>
      </c>
      <c r="D2892" s="461" t="s">
        <v>118</v>
      </c>
      <c r="E2892" s="464">
        <v>1000</v>
      </c>
      <c r="F2892" s="407">
        <f t="shared" si="38"/>
        <v>1.8401363172983856</v>
      </c>
      <c r="G2892" s="408">
        <v>543.43799999999999</v>
      </c>
      <c r="H2892" s="461" t="s">
        <v>211</v>
      </c>
      <c r="I2892" s="461" t="s">
        <v>3910</v>
      </c>
      <c r="J2892" s="243" t="s">
        <v>96</v>
      </c>
      <c r="K2892" s="243" t="s">
        <v>1906</v>
      </c>
      <c r="L2892" s="243" t="s">
        <v>153</v>
      </c>
    </row>
    <row r="2893" spans="1:12" ht="15.6" hidden="1">
      <c r="A2893" s="438">
        <v>45938</v>
      </c>
      <c r="B2893" s="239" t="s">
        <v>2103</v>
      </c>
      <c r="C2893" s="453" t="s">
        <v>172</v>
      </c>
      <c r="D2893" s="453" t="s">
        <v>117</v>
      </c>
      <c r="E2893" s="458">
        <v>1000</v>
      </c>
      <c r="F2893" s="407">
        <f t="shared" si="38"/>
        <v>1.8401363172983856</v>
      </c>
      <c r="G2893" s="408">
        <v>543.43799999999999</v>
      </c>
      <c r="H2893" s="454" t="s">
        <v>151</v>
      </c>
      <c r="I2893" s="239" t="s">
        <v>3264</v>
      </c>
      <c r="J2893" s="243" t="s">
        <v>96</v>
      </c>
      <c r="K2893" s="243" t="s">
        <v>1906</v>
      </c>
      <c r="L2893" s="243" t="s">
        <v>153</v>
      </c>
    </row>
    <row r="2894" spans="1:12" ht="15.6" hidden="1">
      <c r="A2894" s="438">
        <v>45938</v>
      </c>
      <c r="B2894" s="239" t="s">
        <v>3237</v>
      </c>
      <c r="C2894" s="453" t="s">
        <v>172</v>
      </c>
      <c r="D2894" s="453" t="s">
        <v>117</v>
      </c>
      <c r="E2894" s="458">
        <v>1000</v>
      </c>
      <c r="F2894" s="407">
        <f t="shared" si="38"/>
        <v>1.8401363172983856</v>
      </c>
      <c r="G2894" s="408">
        <v>543.43799999999999</v>
      </c>
      <c r="H2894" s="454" t="s">
        <v>151</v>
      </c>
      <c r="I2894" s="239" t="s">
        <v>3264</v>
      </c>
      <c r="J2894" s="243" t="s">
        <v>96</v>
      </c>
      <c r="K2894" s="243" t="s">
        <v>1906</v>
      </c>
      <c r="L2894" s="243" t="s">
        <v>153</v>
      </c>
    </row>
    <row r="2895" spans="1:12" ht="15.6" hidden="1">
      <c r="A2895" s="438">
        <v>45938</v>
      </c>
      <c r="B2895" s="239" t="s">
        <v>3238</v>
      </c>
      <c r="C2895" s="453" t="s">
        <v>172</v>
      </c>
      <c r="D2895" s="453" t="s">
        <v>117</v>
      </c>
      <c r="E2895" s="458">
        <v>1000</v>
      </c>
      <c r="F2895" s="407">
        <f t="shared" si="38"/>
        <v>1.8401363172983856</v>
      </c>
      <c r="G2895" s="408">
        <v>543.43799999999999</v>
      </c>
      <c r="H2895" s="454" t="s">
        <v>151</v>
      </c>
      <c r="I2895" s="239" t="s">
        <v>3264</v>
      </c>
      <c r="J2895" s="243" t="s">
        <v>96</v>
      </c>
      <c r="K2895" s="243" t="s">
        <v>1906</v>
      </c>
      <c r="L2895" s="243" t="s">
        <v>153</v>
      </c>
    </row>
    <row r="2896" spans="1:12" ht="15.6" hidden="1">
      <c r="A2896" s="438">
        <v>45938</v>
      </c>
      <c r="B2896" s="239" t="s">
        <v>2387</v>
      </c>
      <c r="C2896" s="453" t="s">
        <v>172</v>
      </c>
      <c r="D2896" s="453" t="s">
        <v>117</v>
      </c>
      <c r="E2896" s="458">
        <v>1000</v>
      </c>
      <c r="F2896" s="407">
        <f t="shared" si="38"/>
        <v>1.8401363172983856</v>
      </c>
      <c r="G2896" s="408">
        <v>543.43799999999999</v>
      </c>
      <c r="H2896" s="454" t="s">
        <v>151</v>
      </c>
      <c r="I2896" s="239" t="s">
        <v>3264</v>
      </c>
      <c r="J2896" s="243" t="s">
        <v>96</v>
      </c>
      <c r="K2896" s="243" t="s">
        <v>1906</v>
      </c>
      <c r="L2896" s="243" t="s">
        <v>153</v>
      </c>
    </row>
    <row r="2897" spans="1:12" ht="15.6" hidden="1">
      <c r="A2897" s="438">
        <v>45938</v>
      </c>
      <c r="B2897" s="329" t="s">
        <v>3323</v>
      </c>
      <c r="C2897" s="329" t="s">
        <v>3317</v>
      </c>
      <c r="D2897" s="329" t="s">
        <v>115</v>
      </c>
      <c r="E2897" s="451">
        <v>3000</v>
      </c>
      <c r="F2897" s="407">
        <f t="shared" si="38"/>
        <v>5.5204089518951562</v>
      </c>
      <c r="G2897" s="408">
        <v>543.43799999999999</v>
      </c>
      <c r="H2897" s="329" t="s">
        <v>198</v>
      </c>
      <c r="I2897" s="329" t="s">
        <v>3356</v>
      </c>
      <c r="J2897" s="243" t="s">
        <v>96</v>
      </c>
      <c r="K2897" s="243" t="s">
        <v>1906</v>
      </c>
      <c r="L2897" s="243" t="s">
        <v>153</v>
      </c>
    </row>
    <row r="2898" spans="1:12" ht="15.6" hidden="1">
      <c r="A2898" s="438">
        <v>45938</v>
      </c>
      <c r="B2898" s="329" t="s">
        <v>3322</v>
      </c>
      <c r="C2898" s="329" t="s">
        <v>172</v>
      </c>
      <c r="D2898" s="329" t="s">
        <v>115</v>
      </c>
      <c r="E2898" s="451">
        <v>1000</v>
      </c>
      <c r="F2898" s="407">
        <f t="shared" ref="F2898:F2961" si="39">E2898/G2898</f>
        <v>1.8401363172983856</v>
      </c>
      <c r="G2898" s="408">
        <v>543.43799999999999</v>
      </c>
      <c r="H2898" s="329" t="s">
        <v>198</v>
      </c>
      <c r="I2898" s="329" t="s">
        <v>3349</v>
      </c>
      <c r="J2898" s="243" t="s">
        <v>96</v>
      </c>
      <c r="K2898" s="243" t="s">
        <v>1906</v>
      </c>
      <c r="L2898" s="243" t="s">
        <v>153</v>
      </c>
    </row>
    <row r="2899" spans="1:12" ht="15.6" hidden="1">
      <c r="A2899" s="438">
        <v>45938</v>
      </c>
      <c r="B2899" s="329" t="s">
        <v>3319</v>
      </c>
      <c r="C2899" s="329" t="s">
        <v>172</v>
      </c>
      <c r="D2899" s="329" t="s">
        <v>115</v>
      </c>
      <c r="E2899" s="451">
        <v>1000</v>
      </c>
      <c r="F2899" s="407">
        <f t="shared" si="39"/>
        <v>1.8401363172983856</v>
      </c>
      <c r="G2899" s="408">
        <v>543.43799999999999</v>
      </c>
      <c r="H2899" s="329" t="s">
        <v>198</v>
      </c>
      <c r="I2899" s="329" t="s">
        <v>3349</v>
      </c>
      <c r="J2899" s="243" t="s">
        <v>96</v>
      </c>
      <c r="K2899" s="243" t="s">
        <v>1906</v>
      </c>
      <c r="L2899" s="243" t="s">
        <v>153</v>
      </c>
    </row>
    <row r="2900" spans="1:12" ht="15.6" hidden="1">
      <c r="A2900" s="438">
        <v>45938</v>
      </c>
      <c r="B2900" s="329" t="s">
        <v>3324</v>
      </c>
      <c r="C2900" s="329" t="s">
        <v>172</v>
      </c>
      <c r="D2900" s="329" t="s">
        <v>115</v>
      </c>
      <c r="E2900" s="451">
        <v>1000</v>
      </c>
      <c r="F2900" s="407">
        <f t="shared" si="39"/>
        <v>1.8401363172983856</v>
      </c>
      <c r="G2900" s="408">
        <v>543.43799999999999</v>
      </c>
      <c r="H2900" s="329" t="s">
        <v>198</v>
      </c>
      <c r="I2900" s="329" t="s">
        <v>3349</v>
      </c>
      <c r="J2900" s="243" t="s">
        <v>96</v>
      </c>
      <c r="K2900" s="243" t="s">
        <v>1906</v>
      </c>
      <c r="L2900" s="243" t="s">
        <v>153</v>
      </c>
    </row>
    <row r="2901" spans="1:12" ht="15.6" hidden="1">
      <c r="A2901" s="438">
        <v>45938</v>
      </c>
      <c r="B2901" s="329" t="s">
        <v>3320</v>
      </c>
      <c r="C2901" s="329" t="s">
        <v>172</v>
      </c>
      <c r="D2901" s="329" t="s">
        <v>115</v>
      </c>
      <c r="E2901" s="451">
        <v>1000</v>
      </c>
      <c r="F2901" s="407">
        <f t="shared" si="39"/>
        <v>1.8401363172983856</v>
      </c>
      <c r="G2901" s="408">
        <v>543.43799999999999</v>
      </c>
      <c r="H2901" s="329" t="s">
        <v>198</v>
      </c>
      <c r="I2901" s="329" t="s">
        <v>3349</v>
      </c>
      <c r="J2901" s="243" t="s">
        <v>96</v>
      </c>
      <c r="K2901" s="243" t="s">
        <v>1906</v>
      </c>
      <c r="L2901" s="243" t="s">
        <v>153</v>
      </c>
    </row>
    <row r="2902" spans="1:12" ht="15.6" hidden="1">
      <c r="A2902" s="438">
        <v>45938</v>
      </c>
      <c r="B2902" s="329" t="s">
        <v>3321</v>
      </c>
      <c r="C2902" s="329" t="s">
        <v>3317</v>
      </c>
      <c r="D2902" s="329" t="s">
        <v>115</v>
      </c>
      <c r="E2902" s="451">
        <v>3000</v>
      </c>
      <c r="F2902" s="407">
        <f t="shared" si="39"/>
        <v>5.5204089518951562</v>
      </c>
      <c r="G2902" s="408">
        <v>543.43799999999999</v>
      </c>
      <c r="H2902" s="329" t="s">
        <v>198</v>
      </c>
      <c r="I2902" s="329" t="s">
        <v>3356</v>
      </c>
      <c r="J2902" s="243" t="s">
        <v>96</v>
      </c>
      <c r="K2902" s="243" t="s">
        <v>1906</v>
      </c>
      <c r="L2902" s="243" t="s">
        <v>153</v>
      </c>
    </row>
    <row r="2903" spans="1:12" ht="15.6" hidden="1">
      <c r="A2903" s="438">
        <v>45938</v>
      </c>
      <c r="B2903" s="329" t="s">
        <v>3325</v>
      </c>
      <c r="C2903" s="329" t="s">
        <v>172</v>
      </c>
      <c r="D2903" s="329" t="s">
        <v>115</v>
      </c>
      <c r="E2903" s="451">
        <v>1000</v>
      </c>
      <c r="F2903" s="407">
        <f t="shared" si="39"/>
        <v>1.8401363172983856</v>
      </c>
      <c r="G2903" s="408">
        <v>543.43799999999999</v>
      </c>
      <c r="H2903" s="329" t="s">
        <v>198</v>
      </c>
      <c r="I2903" s="329" t="s">
        <v>3349</v>
      </c>
      <c r="J2903" s="243" t="s">
        <v>96</v>
      </c>
      <c r="K2903" s="243" t="s">
        <v>1906</v>
      </c>
      <c r="L2903" s="243" t="s">
        <v>153</v>
      </c>
    </row>
    <row r="2904" spans="1:12" ht="15.6" hidden="1">
      <c r="A2904" s="438">
        <v>45938</v>
      </c>
      <c r="B2904" s="329" t="s">
        <v>3319</v>
      </c>
      <c r="C2904" s="329" t="s">
        <v>172</v>
      </c>
      <c r="D2904" s="329" t="s">
        <v>115</v>
      </c>
      <c r="E2904" s="452">
        <v>1000</v>
      </c>
      <c r="F2904" s="407">
        <f t="shared" si="39"/>
        <v>1.8401363172983856</v>
      </c>
      <c r="G2904" s="408">
        <v>543.43799999999999</v>
      </c>
      <c r="H2904" s="329" t="s">
        <v>198</v>
      </c>
      <c r="I2904" s="329" t="s">
        <v>3349</v>
      </c>
      <c r="J2904" s="243" t="s">
        <v>96</v>
      </c>
      <c r="K2904" s="243" t="s">
        <v>1906</v>
      </c>
      <c r="L2904" s="243" t="s">
        <v>153</v>
      </c>
    </row>
    <row r="2905" spans="1:12" ht="15.6" hidden="1">
      <c r="A2905" s="438">
        <v>45938</v>
      </c>
      <c r="B2905" s="243" t="s">
        <v>3381</v>
      </c>
      <c r="C2905" s="423" t="s">
        <v>172</v>
      </c>
      <c r="D2905" s="423" t="s">
        <v>116</v>
      </c>
      <c r="E2905" s="464">
        <v>1000</v>
      </c>
      <c r="F2905" s="407">
        <f t="shared" si="39"/>
        <v>1.8401363172983856</v>
      </c>
      <c r="G2905" s="408">
        <v>543.43799999999999</v>
      </c>
      <c r="H2905" s="423" t="s">
        <v>581</v>
      </c>
      <c r="I2905" s="423" t="s">
        <v>3419</v>
      </c>
      <c r="J2905" s="243" t="s">
        <v>96</v>
      </c>
      <c r="K2905" s="243" t="s">
        <v>1906</v>
      </c>
      <c r="L2905" s="243" t="s">
        <v>153</v>
      </c>
    </row>
    <row r="2906" spans="1:12" ht="15.6" hidden="1">
      <c r="A2906" s="438">
        <v>45938</v>
      </c>
      <c r="B2906" s="243" t="s">
        <v>3382</v>
      </c>
      <c r="C2906" s="423" t="s">
        <v>172</v>
      </c>
      <c r="D2906" s="423" t="s">
        <v>116</v>
      </c>
      <c r="E2906" s="464">
        <v>1000</v>
      </c>
      <c r="F2906" s="407">
        <f t="shared" si="39"/>
        <v>1.8401363172983856</v>
      </c>
      <c r="G2906" s="408">
        <v>543.43799999999999</v>
      </c>
      <c r="H2906" s="423" t="s">
        <v>581</v>
      </c>
      <c r="I2906" s="423" t="s">
        <v>3419</v>
      </c>
      <c r="J2906" s="243" t="s">
        <v>96</v>
      </c>
      <c r="K2906" s="243" t="s">
        <v>1906</v>
      </c>
      <c r="L2906" s="243" t="s">
        <v>153</v>
      </c>
    </row>
    <row r="2907" spans="1:12" ht="15.6" hidden="1">
      <c r="A2907" s="438">
        <v>45938</v>
      </c>
      <c r="B2907" s="243" t="s">
        <v>3719</v>
      </c>
      <c r="C2907" s="239" t="s">
        <v>194</v>
      </c>
      <c r="D2907" s="239" t="s">
        <v>115</v>
      </c>
      <c r="E2907" s="457">
        <v>1000</v>
      </c>
      <c r="F2907" s="407">
        <f t="shared" si="39"/>
        <v>1.8401363172983856</v>
      </c>
      <c r="G2907" s="408">
        <v>543.43799999999999</v>
      </c>
      <c r="H2907" s="239" t="s">
        <v>195</v>
      </c>
      <c r="I2907" s="243" t="s">
        <v>3747</v>
      </c>
      <c r="J2907" s="243" t="s">
        <v>96</v>
      </c>
      <c r="K2907" s="243" t="s">
        <v>1906</v>
      </c>
      <c r="L2907" s="243" t="s">
        <v>153</v>
      </c>
    </row>
    <row r="2908" spans="1:12" ht="15.6" hidden="1">
      <c r="A2908" s="438">
        <v>45938</v>
      </c>
      <c r="B2908" s="243" t="s">
        <v>3720</v>
      </c>
      <c r="C2908" s="239" t="s">
        <v>194</v>
      </c>
      <c r="D2908" s="239" t="s">
        <v>115</v>
      </c>
      <c r="E2908" s="457">
        <v>1000</v>
      </c>
      <c r="F2908" s="407">
        <f t="shared" si="39"/>
        <v>1.8401363172983856</v>
      </c>
      <c r="G2908" s="408">
        <v>543.43799999999999</v>
      </c>
      <c r="H2908" s="239" t="s">
        <v>195</v>
      </c>
      <c r="I2908" s="243" t="s">
        <v>3747</v>
      </c>
      <c r="J2908" s="243" t="s">
        <v>96</v>
      </c>
      <c r="K2908" s="243" t="s">
        <v>1906</v>
      </c>
      <c r="L2908" s="243" t="s">
        <v>153</v>
      </c>
    </row>
    <row r="2909" spans="1:12" ht="15.6" hidden="1">
      <c r="A2909" s="438">
        <v>45938</v>
      </c>
      <c r="B2909" s="461" t="s">
        <v>3773</v>
      </c>
      <c r="C2909" s="439" t="s">
        <v>172</v>
      </c>
      <c r="D2909" s="461" t="s">
        <v>118</v>
      </c>
      <c r="E2909" s="464">
        <v>1000</v>
      </c>
      <c r="F2909" s="407">
        <f t="shared" si="39"/>
        <v>1.8401363172983856</v>
      </c>
      <c r="G2909" s="408">
        <v>543.43799999999999</v>
      </c>
      <c r="H2909" s="461" t="s">
        <v>211</v>
      </c>
      <c r="I2909" s="461" t="s">
        <v>3910</v>
      </c>
      <c r="J2909" s="243" t="s">
        <v>96</v>
      </c>
      <c r="K2909" s="243" t="s">
        <v>1906</v>
      </c>
      <c r="L2909" s="243" t="s">
        <v>153</v>
      </c>
    </row>
    <row r="2910" spans="1:12" ht="15.6" hidden="1">
      <c r="A2910" s="438">
        <v>45938</v>
      </c>
      <c r="B2910" s="461" t="s">
        <v>3774</v>
      </c>
      <c r="C2910" s="439" t="s">
        <v>172</v>
      </c>
      <c r="D2910" s="461" t="s">
        <v>118</v>
      </c>
      <c r="E2910" s="464">
        <v>1000</v>
      </c>
      <c r="F2910" s="407">
        <f t="shared" si="39"/>
        <v>1.8401363172983856</v>
      </c>
      <c r="G2910" s="408">
        <v>543.43799999999999</v>
      </c>
      <c r="H2910" s="461" t="s">
        <v>211</v>
      </c>
      <c r="I2910" s="461" t="s">
        <v>3910</v>
      </c>
      <c r="J2910" s="243" t="s">
        <v>96</v>
      </c>
      <c r="K2910" s="243" t="s">
        <v>1906</v>
      </c>
      <c r="L2910" s="243" t="s">
        <v>153</v>
      </c>
    </row>
    <row r="2911" spans="1:12" ht="15.6" hidden="1">
      <c r="A2911" s="438">
        <v>45938</v>
      </c>
      <c r="B2911" s="461" t="s">
        <v>3775</v>
      </c>
      <c r="C2911" s="439" t="s">
        <v>172</v>
      </c>
      <c r="D2911" s="461" t="s">
        <v>118</v>
      </c>
      <c r="E2911" s="464">
        <v>9000</v>
      </c>
      <c r="F2911" s="407">
        <f t="shared" si="39"/>
        <v>16.561226855685469</v>
      </c>
      <c r="G2911" s="408">
        <v>543.43799999999999</v>
      </c>
      <c r="H2911" s="461" t="s">
        <v>211</v>
      </c>
      <c r="I2911" s="461" t="s">
        <v>3914</v>
      </c>
      <c r="J2911" s="243" t="s">
        <v>96</v>
      </c>
      <c r="K2911" s="243" t="s">
        <v>1906</v>
      </c>
      <c r="L2911" s="243" t="s">
        <v>153</v>
      </c>
    </row>
    <row r="2912" spans="1:12" ht="15.6" hidden="1">
      <c r="A2912" s="438">
        <v>45938</v>
      </c>
      <c r="B2912" s="461" t="s">
        <v>3776</v>
      </c>
      <c r="C2912" s="439" t="s">
        <v>172</v>
      </c>
      <c r="D2912" s="461" t="s">
        <v>118</v>
      </c>
      <c r="E2912" s="464">
        <v>1000</v>
      </c>
      <c r="F2912" s="407">
        <f t="shared" si="39"/>
        <v>1.8401363172983856</v>
      </c>
      <c r="G2912" s="408">
        <v>543.43799999999999</v>
      </c>
      <c r="H2912" s="461" t="s">
        <v>211</v>
      </c>
      <c r="I2912" s="461" t="s">
        <v>3910</v>
      </c>
      <c r="J2912" s="243" t="s">
        <v>96</v>
      </c>
      <c r="K2912" s="243" t="s">
        <v>1906</v>
      </c>
      <c r="L2912" s="243" t="s">
        <v>153</v>
      </c>
    </row>
    <row r="2913" spans="1:12" ht="15.6" hidden="1">
      <c r="A2913" s="438">
        <v>45938</v>
      </c>
      <c r="B2913" s="461" t="s">
        <v>3777</v>
      </c>
      <c r="C2913" s="439" t="s">
        <v>172</v>
      </c>
      <c r="D2913" s="461" t="s">
        <v>118</v>
      </c>
      <c r="E2913" s="464">
        <v>1000</v>
      </c>
      <c r="F2913" s="407">
        <f t="shared" si="39"/>
        <v>1.8401363172983856</v>
      </c>
      <c r="G2913" s="408">
        <v>543.43799999999999</v>
      </c>
      <c r="H2913" s="461" t="s">
        <v>211</v>
      </c>
      <c r="I2913" s="461" t="s">
        <v>3910</v>
      </c>
      <c r="J2913" s="243" t="s">
        <v>96</v>
      </c>
      <c r="K2913" s="243" t="s">
        <v>1906</v>
      </c>
      <c r="L2913" s="243" t="s">
        <v>153</v>
      </c>
    </row>
    <row r="2914" spans="1:12" ht="15.6" hidden="1">
      <c r="A2914" s="438">
        <v>45938</v>
      </c>
      <c r="B2914" s="461" t="s">
        <v>3778</v>
      </c>
      <c r="C2914" s="439" t="s">
        <v>172</v>
      </c>
      <c r="D2914" s="461" t="s">
        <v>118</v>
      </c>
      <c r="E2914" s="464">
        <v>1000</v>
      </c>
      <c r="F2914" s="407">
        <f t="shared" si="39"/>
        <v>1.8401363172983856</v>
      </c>
      <c r="G2914" s="408">
        <v>543.43799999999999</v>
      </c>
      <c r="H2914" s="461" t="s">
        <v>211</v>
      </c>
      <c r="I2914" s="461" t="s">
        <v>3910</v>
      </c>
      <c r="J2914" s="243" t="s">
        <v>96</v>
      </c>
      <c r="K2914" s="243" t="s">
        <v>1906</v>
      </c>
      <c r="L2914" s="243" t="s">
        <v>153</v>
      </c>
    </row>
    <row r="2915" spans="1:12" ht="15.6" hidden="1">
      <c r="A2915" s="438">
        <v>45938</v>
      </c>
      <c r="B2915" s="461" t="s">
        <v>3779</v>
      </c>
      <c r="C2915" s="439" t="s">
        <v>172</v>
      </c>
      <c r="D2915" s="461" t="s">
        <v>118</v>
      </c>
      <c r="E2915" s="464">
        <v>1000</v>
      </c>
      <c r="F2915" s="407">
        <f t="shared" si="39"/>
        <v>1.8401363172983856</v>
      </c>
      <c r="G2915" s="408">
        <v>543.43799999999999</v>
      </c>
      <c r="H2915" s="461" t="s">
        <v>211</v>
      </c>
      <c r="I2915" s="461" t="s">
        <v>3910</v>
      </c>
      <c r="J2915" s="243" t="s">
        <v>96</v>
      </c>
      <c r="K2915" s="243" t="s">
        <v>1906</v>
      </c>
      <c r="L2915" s="243" t="s">
        <v>153</v>
      </c>
    </row>
    <row r="2916" spans="1:12" ht="15.6" hidden="1">
      <c r="A2916" s="438">
        <v>45938</v>
      </c>
      <c r="B2916" s="461" t="s">
        <v>3780</v>
      </c>
      <c r="C2916" s="439" t="s">
        <v>172</v>
      </c>
      <c r="D2916" s="461" t="s">
        <v>118</v>
      </c>
      <c r="E2916" s="464">
        <v>1000</v>
      </c>
      <c r="F2916" s="407">
        <f t="shared" si="39"/>
        <v>1.8401363172983856</v>
      </c>
      <c r="G2916" s="408">
        <v>543.43799999999999</v>
      </c>
      <c r="H2916" s="461" t="s">
        <v>211</v>
      </c>
      <c r="I2916" s="461" t="s">
        <v>3910</v>
      </c>
      <c r="J2916" s="243" t="s">
        <v>96</v>
      </c>
      <c r="K2916" s="243" t="s">
        <v>1906</v>
      </c>
      <c r="L2916" s="243" t="s">
        <v>153</v>
      </c>
    </row>
    <row r="2917" spans="1:12" ht="15.6" hidden="1">
      <c r="A2917" s="438">
        <v>45938</v>
      </c>
      <c r="B2917" s="442" t="s">
        <v>4032</v>
      </c>
      <c r="C2917" s="442" t="s">
        <v>302</v>
      </c>
      <c r="D2917" s="124" t="s">
        <v>116</v>
      </c>
      <c r="E2917" s="349">
        <v>260000</v>
      </c>
      <c r="F2917" s="407">
        <f t="shared" si="39"/>
        <v>478.43544249758025</v>
      </c>
      <c r="G2917" s="408">
        <v>543.43799999999999</v>
      </c>
      <c r="H2917" s="125" t="s">
        <v>146</v>
      </c>
      <c r="I2917" s="125" t="s">
        <v>4064</v>
      </c>
      <c r="J2917" s="243" t="s">
        <v>96</v>
      </c>
      <c r="K2917" s="243" t="s">
        <v>1906</v>
      </c>
      <c r="L2917" s="243" t="s">
        <v>153</v>
      </c>
    </row>
    <row r="2918" spans="1:12" ht="15.6" hidden="1">
      <c r="A2918" s="438">
        <v>45938</v>
      </c>
      <c r="B2918" s="164" t="s">
        <v>4033</v>
      </c>
      <c r="C2918" s="442" t="s">
        <v>125</v>
      </c>
      <c r="D2918" s="442" t="s">
        <v>119</v>
      </c>
      <c r="E2918" s="349">
        <v>255000</v>
      </c>
      <c r="F2918" s="407">
        <f t="shared" si="39"/>
        <v>469.2347609110883</v>
      </c>
      <c r="G2918" s="408">
        <v>543.43799999999999</v>
      </c>
      <c r="H2918" s="125" t="s">
        <v>146</v>
      </c>
      <c r="I2918" s="125" t="s">
        <v>4065</v>
      </c>
      <c r="J2918" s="243" t="s">
        <v>96</v>
      </c>
      <c r="K2918" s="243" t="s">
        <v>1906</v>
      </c>
      <c r="L2918" s="243" t="s">
        <v>153</v>
      </c>
    </row>
    <row r="2919" spans="1:12" ht="15.6" hidden="1">
      <c r="A2919" s="438">
        <v>45938</v>
      </c>
      <c r="B2919" s="164" t="s">
        <v>4034</v>
      </c>
      <c r="C2919" s="124" t="s">
        <v>125</v>
      </c>
      <c r="D2919" s="350" t="s">
        <v>119</v>
      </c>
      <c r="E2919" s="349">
        <v>255000</v>
      </c>
      <c r="F2919" s="407">
        <f t="shared" si="39"/>
        <v>469.2347609110883</v>
      </c>
      <c r="G2919" s="408">
        <v>543.43799999999999</v>
      </c>
      <c r="H2919" s="125" t="s">
        <v>146</v>
      </c>
      <c r="I2919" s="125" t="s">
        <v>4066</v>
      </c>
      <c r="J2919" s="243" t="s">
        <v>96</v>
      </c>
      <c r="K2919" s="243" t="s">
        <v>1906</v>
      </c>
      <c r="L2919" s="243" t="s">
        <v>153</v>
      </c>
    </row>
    <row r="2920" spans="1:12" ht="15.6" hidden="1">
      <c r="A2920" s="438">
        <v>45938</v>
      </c>
      <c r="B2920" s="164" t="s">
        <v>4035</v>
      </c>
      <c r="C2920" s="442" t="s">
        <v>125</v>
      </c>
      <c r="D2920" s="443" t="s">
        <v>115</v>
      </c>
      <c r="E2920" s="349">
        <v>228800</v>
      </c>
      <c r="F2920" s="407">
        <f t="shared" si="39"/>
        <v>421.02318939787062</v>
      </c>
      <c r="G2920" s="408">
        <v>543.43799999999999</v>
      </c>
      <c r="H2920" s="125" t="s">
        <v>146</v>
      </c>
      <c r="I2920" s="125" t="s">
        <v>4067</v>
      </c>
      <c r="J2920" s="243" t="s">
        <v>96</v>
      </c>
      <c r="K2920" s="243" t="s">
        <v>1906</v>
      </c>
      <c r="L2920" s="243" t="s">
        <v>153</v>
      </c>
    </row>
    <row r="2921" spans="1:12" ht="15.6" hidden="1">
      <c r="A2921" s="438">
        <v>45938</v>
      </c>
      <c r="B2921" s="164" t="s">
        <v>4036</v>
      </c>
      <c r="C2921" s="124" t="s">
        <v>125</v>
      </c>
      <c r="D2921" s="350" t="s">
        <v>115</v>
      </c>
      <c r="E2921" s="349">
        <v>228800</v>
      </c>
      <c r="F2921" s="407">
        <f t="shared" si="39"/>
        <v>421.02318939787062</v>
      </c>
      <c r="G2921" s="408">
        <v>543.43799999999999</v>
      </c>
      <c r="H2921" s="125" t="s">
        <v>146</v>
      </c>
      <c r="I2921" s="125" t="s">
        <v>4068</v>
      </c>
      <c r="J2921" s="243" t="s">
        <v>96</v>
      </c>
      <c r="K2921" s="243" t="s">
        <v>1906</v>
      </c>
      <c r="L2921" s="243" t="s">
        <v>153</v>
      </c>
    </row>
    <row r="2922" spans="1:12" ht="15.6" hidden="1">
      <c r="A2922" s="438">
        <v>45938</v>
      </c>
      <c r="B2922" s="164" t="s">
        <v>4037</v>
      </c>
      <c r="C2922" s="442" t="s">
        <v>125</v>
      </c>
      <c r="D2922" s="442" t="s">
        <v>115</v>
      </c>
      <c r="E2922" s="349">
        <v>228800</v>
      </c>
      <c r="F2922" s="407">
        <f t="shared" si="39"/>
        <v>421.02318939787062</v>
      </c>
      <c r="G2922" s="408">
        <v>543.43799999999999</v>
      </c>
      <c r="H2922" s="125" t="s">
        <v>146</v>
      </c>
      <c r="I2922" s="125" t="s">
        <v>4069</v>
      </c>
      <c r="J2922" s="243" t="s">
        <v>96</v>
      </c>
      <c r="K2922" s="243" t="s">
        <v>1906</v>
      </c>
      <c r="L2922" s="243" t="s">
        <v>153</v>
      </c>
    </row>
    <row r="2923" spans="1:12" ht="15.6" hidden="1">
      <c r="A2923" s="438">
        <v>45938</v>
      </c>
      <c r="B2923" s="164" t="s">
        <v>4108</v>
      </c>
      <c r="C2923" s="442" t="s">
        <v>124</v>
      </c>
      <c r="D2923" s="124" t="s">
        <v>116</v>
      </c>
      <c r="E2923" s="349">
        <v>500000</v>
      </c>
      <c r="F2923" s="407">
        <f t="shared" si="39"/>
        <v>920.0681586491927</v>
      </c>
      <c r="G2923" s="408">
        <v>543.43799999999999</v>
      </c>
      <c r="H2923" s="125" t="s">
        <v>146</v>
      </c>
      <c r="I2923" s="125" t="s">
        <v>4071</v>
      </c>
      <c r="J2923" s="243" t="s">
        <v>96</v>
      </c>
      <c r="K2923" s="243" t="s">
        <v>1906</v>
      </c>
      <c r="L2923" s="243" t="s">
        <v>153</v>
      </c>
    </row>
    <row r="2924" spans="1:12" ht="15.6" hidden="1">
      <c r="A2924" s="438">
        <v>45939</v>
      </c>
      <c r="B2924" s="239" t="s">
        <v>2103</v>
      </c>
      <c r="C2924" s="453" t="s">
        <v>172</v>
      </c>
      <c r="D2924" s="453" t="s">
        <v>117</v>
      </c>
      <c r="E2924" s="458">
        <v>1000</v>
      </c>
      <c r="F2924" s="407">
        <f t="shared" si="39"/>
        <v>1.8401363172983856</v>
      </c>
      <c r="G2924" s="408">
        <v>543.43799999999999</v>
      </c>
      <c r="H2924" s="454" t="s">
        <v>151</v>
      </c>
      <c r="I2924" s="239" t="s">
        <v>3264</v>
      </c>
      <c r="J2924" s="243" t="s">
        <v>96</v>
      </c>
      <c r="K2924" s="243" t="s">
        <v>1906</v>
      </c>
      <c r="L2924" s="243" t="s">
        <v>153</v>
      </c>
    </row>
    <row r="2925" spans="1:12" ht="15.6" hidden="1">
      <c r="A2925" s="438">
        <v>45939</v>
      </c>
      <c r="B2925" s="239" t="s">
        <v>3237</v>
      </c>
      <c r="C2925" s="453" t="s">
        <v>172</v>
      </c>
      <c r="D2925" s="453" t="s">
        <v>117</v>
      </c>
      <c r="E2925" s="458">
        <v>1000</v>
      </c>
      <c r="F2925" s="407">
        <f t="shared" si="39"/>
        <v>1.8401363172983856</v>
      </c>
      <c r="G2925" s="408">
        <v>543.43799999999999</v>
      </c>
      <c r="H2925" s="454" t="s">
        <v>151</v>
      </c>
      <c r="I2925" s="239" t="s">
        <v>3264</v>
      </c>
      <c r="J2925" s="243" t="s">
        <v>96</v>
      </c>
      <c r="K2925" s="243" t="s">
        <v>1906</v>
      </c>
      <c r="L2925" s="243" t="s">
        <v>153</v>
      </c>
    </row>
    <row r="2926" spans="1:12" ht="15.6" hidden="1">
      <c r="A2926" s="438">
        <v>45939</v>
      </c>
      <c r="B2926" s="239" t="s">
        <v>3238</v>
      </c>
      <c r="C2926" s="453" t="s">
        <v>172</v>
      </c>
      <c r="D2926" s="453" t="s">
        <v>117</v>
      </c>
      <c r="E2926" s="458">
        <v>1000</v>
      </c>
      <c r="F2926" s="407">
        <f t="shared" si="39"/>
        <v>1.8401363172983856</v>
      </c>
      <c r="G2926" s="408">
        <v>543.43799999999999</v>
      </c>
      <c r="H2926" s="454" t="s">
        <v>151</v>
      </c>
      <c r="I2926" s="239" t="s">
        <v>3264</v>
      </c>
      <c r="J2926" s="243" t="s">
        <v>96</v>
      </c>
      <c r="K2926" s="243" t="s">
        <v>1906</v>
      </c>
      <c r="L2926" s="243" t="s">
        <v>153</v>
      </c>
    </row>
    <row r="2927" spans="1:12" ht="15.6" hidden="1">
      <c r="A2927" s="438">
        <v>45939</v>
      </c>
      <c r="B2927" s="239" t="s">
        <v>2104</v>
      </c>
      <c r="C2927" s="453" t="s">
        <v>172</v>
      </c>
      <c r="D2927" s="453" t="s">
        <v>117</v>
      </c>
      <c r="E2927" s="458">
        <v>1000</v>
      </c>
      <c r="F2927" s="407">
        <f t="shared" si="39"/>
        <v>1.8401363172983856</v>
      </c>
      <c r="G2927" s="408">
        <v>543.43799999999999</v>
      </c>
      <c r="H2927" s="454" t="s">
        <v>151</v>
      </c>
      <c r="I2927" s="239" t="s">
        <v>3264</v>
      </c>
      <c r="J2927" s="243" t="s">
        <v>96</v>
      </c>
      <c r="K2927" s="243" t="s">
        <v>1906</v>
      </c>
      <c r="L2927" s="243" t="s">
        <v>153</v>
      </c>
    </row>
    <row r="2928" spans="1:12" ht="15.6" hidden="1">
      <c r="A2928" s="438">
        <v>45939</v>
      </c>
      <c r="B2928" s="329" t="s">
        <v>3323</v>
      </c>
      <c r="C2928" s="329" t="s">
        <v>3317</v>
      </c>
      <c r="D2928" s="329" t="s">
        <v>115</v>
      </c>
      <c r="E2928" s="451">
        <v>3000</v>
      </c>
      <c r="F2928" s="407">
        <f t="shared" si="39"/>
        <v>5.5204089518951562</v>
      </c>
      <c r="G2928" s="408">
        <v>543.43799999999999</v>
      </c>
      <c r="H2928" s="329" t="s">
        <v>198</v>
      </c>
      <c r="I2928" s="329" t="s">
        <v>3356</v>
      </c>
      <c r="J2928" s="243" t="s">
        <v>96</v>
      </c>
      <c r="K2928" s="243" t="s">
        <v>1906</v>
      </c>
      <c r="L2928" s="243" t="s">
        <v>153</v>
      </c>
    </row>
    <row r="2929" spans="1:12" ht="15.6" hidden="1">
      <c r="A2929" s="438">
        <v>45939</v>
      </c>
      <c r="B2929" s="329" t="s">
        <v>3322</v>
      </c>
      <c r="C2929" s="329" t="s">
        <v>172</v>
      </c>
      <c r="D2929" s="329" t="s">
        <v>115</v>
      </c>
      <c r="E2929" s="451">
        <v>1000</v>
      </c>
      <c r="F2929" s="407">
        <f t="shared" si="39"/>
        <v>1.8401363172983856</v>
      </c>
      <c r="G2929" s="408">
        <v>543.43799999999999</v>
      </c>
      <c r="H2929" s="329" t="s">
        <v>198</v>
      </c>
      <c r="I2929" s="329" t="s">
        <v>3349</v>
      </c>
      <c r="J2929" s="243" t="s">
        <v>96</v>
      </c>
      <c r="K2929" s="243" t="s">
        <v>1906</v>
      </c>
      <c r="L2929" s="243" t="s">
        <v>153</v>
      </c>
    </row>
    <row r="2930" spans="1:12" ht="15.6" hidden="1">
      <c r="A2930" s="438">
        <v>45939</v>
      </c>
      <c r="B2930" s="329" t="s">
        <v>3319</v>
      </c>
      <c r="C2930" s="329" t="s">
        <v>172</v>
      </c>
      <c r="D2930" s="329" t="s">
        <v>115</v>
      </c>
      <c r="E2930" s="451">
        <v>1000</v>
      </c>
      <c r="F2930" s="407">
        <f t="shared" si="39"/>
        <v>1.8401363172983856</v>
      </c>
      <c r="G2930" s="408">
        <v>543.43799999999999</v>
      </c>
      <c r="H2930" s="329" t="s">
        <v>198</v>
      </c>
      <c r="I2930" s="329" t="s">
        <v>3349</v>
      </c>
      <c r="J2930" s="243" t="s">
        <v>96</v>
      </c>
      <c r="K2930" s="243" t="s">
        <v>1906</v>
      </c>
      <c r="L2930" s="243" t="s">
        <v>153</v>
      </c>
    </row>
    <row r="2931" spans="1:12" ht="15.6" hidden="1">
      <c r="A2931" s="438">
        <v>45939</v>
      </c>
      <c r="B2931" s="329" t="s">
        <v>3321</v>
      </c>
      <c r="C2931" s="329" t="s">
        <v>3317</v>
      </c>
      <c r="D2931" s="329" t="s">
        <v>115</v>
      </c>
      <c r="E2931" s="451">
        <v>3000</v>
      </c>
      <c r="F2931" s="407">
        <f t="shared" si="39"/>
        <v>5.5204089518951562</v>
      </c>
      <c r="G2931" s="408">
        <v>543.43799999999999</v>
      </c>
      <c r="H2931" s="329" t="s">
        <v>198</v>
      </c>
      <c r="I2931" s="329" t="s">
        <v>3356</v>
      </c>
      <c r="J2931" s="243" t="s">
        <v>96</v>
      </c>
      <c r="K2931" s="243" t="s">
        <v>1906</v>
      </c>
      <c r="L2931" s="243" t="s">
        <v>153</v>
      </c>
    </row>
    <row r="2932" spans="1:12" ht="15.6" hidden="1">
      <c r="A2932" s="438">
        <v>45939</v>
      </c>
      <c r="B2932" s="329" t="s">
        <v>3325</v>
      </c>
      <c r="C2932" s="329" t="s">
        <v>172</v>
      </c>
      <c r="D2932" s="329" t="s">
        <v>115</v>
      </c>
      <c r="E2932" s="451">
        <v>1000</v>
      </c>
      <c r="F2932" s="407">
        <f t="shared" si="39"/>
        <v>1.8401363172983856</v>
      </c>
      <c r="G2932" s="408">
        <v>543.43799999999999</v>
      </c>
      <c r="H2932" s="329" t="s">
        <v>198</v>
      </c>
      <c r="I2932" s="329" t="s">
        <v>3349</v>
      </c>
      <c r="J2932" s="243" t="s">
        <v>96</v>
      </c>
      <c r="K2932" s="243" t="s">
        <v>1906</v>
      </c>
      <c r="L2932" s="243" t="s">
        <v>153</v>
      </c>
    </row>
    <row r="2933" spans="1:12" ht="15.6" hidden="1">
      <c r="A2933" s="438">
        <v>45939</v>
      </c>
      <c r="B2933" s="329" t="s">
        <v>3319</v>
      </c>
      <c r="C2933" s="329" t="s">
        <v>172</v>
      </c>
      <c r="D2933" s="329" t="s">
        <v>115</v>
      </c>
      <c r="E2933" s="451">
        <v>1000</v>
      </c>
      <c r="F2933" s="407">
        <f t="shared" si="39"/>
        <v>1.8401363172983856</v>
      </c>
      <c r="G2933" s="408">
        <v>543.43799999999999</v>
      </c>
      <c r="H2933" s="329" t="s">
        <v>198</v>
      </c>
      <c r="I2933" s="329" t="s">
        <v>3349</v>
      </c>
      <c r="J2933" s="243" t="s">
        <v>96</v>
      </c>
      <c r="K2933" s="243" t="s">
        <v>1906</v>
      </c>
      <c r="L2933" s="243" t="s">
        <v>153</v>
      </c>
    </row>
    <row r="2934" spans="1:12" ht="15.6" hidden="1">
      <c r="A2934" s="438">
        <v>45939</v>
      </c>
      <c r="B2934" s="243" t="s">
        <v>3719</v>
      </c>
      <c r="C2934" s="239" t="s">
        <v>194</v>
      </c>
      <c r="D2934" s="239" t="s">
        <v>115</v>
      </c>
      <c r="E2934" s="457">
        <v>1000</v>
      </c>
      <c r="F2934" s="407">
        <f t="shared" si="39"/>
        <v>1.8401363172983856</v>
      </c>
      <c r="G2934" s="408">
        <v>543.43799999999999</v>
      </c>
      <c r="H2934" s="239" t="s">
        <v>195</v>
      </c>
      <c r="I2934" s="243" t="s">
        <v>3747</v>
      </c>
      <c r="J2934" s="243" t="s">
        <v>96</v>
      </c>
      <c r="K2934" s="243" t="s">
        <v>1906</v>
      </c>
      <c r="L2934" s="243" t="s">
        <v>153</v>
      </c>
    </row>
    <row r="2935" spans="1:12" ht="15.6" hidden="1">
      <c r="A2935" s="438">
        <v>45939</v>
      </c>
      <c r="B2935" s="243" t="s">
        <v>3721</v>
      </c>
      <c r="C2935" s="239" t="s">
        <v>194</v>
      </c>
      <c r="D2935" s="239" t="s">
        <v>115</v>
      </c>
      <c r="E2935" s="457">
        <v>1000</v>
      </c>
      <c r="F2935" s="407">
        <f t="shared" si="39"/>
        <v>1.8401363172983856</v>
      </c>
      <c r="G2935" s="408">
        <v>543.43799999999999</v>
      </c>
      <c r="H2935" s="239" t="s">
        <v>195</v>
      </c>
      <c r="I2935" s="243" t="s">
        <v>3747</v>
      </c>
      <c r="J2935" s="243" t="s">
        <v>96</v>
      </c>
      <c r="K2935" s="243" t="s">
        <v>1906</v>
      </c>
      <c r="L2935" s="243" t="s">
        <v>153</v>
      </c>
    </row>
    <row r="2936" spans="1:12" ht="15.6" hidden="1">
      <c r="A2936" s="438">
        <v>45939</v>
      </c>
      <c r="B2936" s="243" t="s">
        <v>3714</v>
      </c>
      <c r="C2936" s="239" t="s">
        <v>194</v>
      </c>
      <c r="D2936" s="239" t="s">
        <v>115</v>
      </c>
      <c r="E2936" s="457">
        <v>1000</v>
      </c>
      <c r="F2936" s="407">
        <f t="shared" si="39"/>
        <v>1.8401363172983856</v>
      </c>
      <c r="G2936" s="408">
        <v>543.43799999999999</v>
      </c>
      <c r="H2936" s="239" t="s">
        <v>195</v>
      </c>
      <c r="I2936" s="243" t="s">
        <v>3747</v>
      </c>
      <c r="J2936" s="243" t="s">
        <v>96</v>
      </c>
      <c r="K2936" s="243" t="s">
        <v>1906</v>
      </c>
      <c r="L2936" s="243" t="s">
        <v>153</v>
      </c>
    </row>
    <row r="2937" spans="1:12" ht="15.6" hidden="1">
      <c r="A2937" s="438">
        <v>45939</v>
      </c>
      <c r="B2937" s="461" t="s">
        <v>3781</v>
      </c>
      <c r="C2937" s="439" t="s">
        <v>175</v>
      </c>
      <c r="D2937" s="461" t="s">
        <v>118</v>
      </c>
      <c r="E2937" s="464">
        <v>150000</v>
      </c>
      <c r="F2937" s="407">
        <f t="shared" si="39"/>
        <v>276.0204475947578</v>
      </c>
      <c r="G2937" s="408">
        <v>543.43799999999999</v>
      </c>
      <c r="H2937" s="461" t="s">
        <v>211</v>
      </c>
      <c r="I2937" s="461" t="s">
        <v>3915</v>
      </c>
      <c r="J2937" s="243" t="s">
        <v>96</v>
      </c>
      <c r="K2937" s="243" t="s">
        <v>1906</v>
      </c>
      <c r="L2937" s="243" t="s">
        <v>153</v>
      </c>
    </row>
    <row r="2938" spans="1:12" ht="15.6" hidden="1">
      <c r="A2938" s="438">
        <v>45939</v>
      </c>
      <c r="B2938" s="461" t="s">
        <v>3782</v>
      </c>
      <c r="C2938" s="439" t="s">
        <v>172</v>
      </c>
      <c r="D2938" s="461" t="s">
        <v>118</v>
      </c>
      <c r="E2938" s="464">
        <v>1000</v>
      </c>
      <c r="F2938" s="407">
        <f t="shared" si="39"/>
        <v>1.8401363172983856</v>
      </c>
      <c r="G2938" s="408">
        <v>543.43799999999999</v>
      </c>
      <c r="H2938" s="461" t="s">
        <v>211</v>
      </c>
      <c r="I2938" s="461" t="s">
        <v>3910</v>
      </c>
      <c r="J2938" s="243" t="s">
        <v>96</v>
      </c>
      <c r="K2938" s="243" t="s">
        <v>1906</v>
      </c>
      <c r="L2938" s="243" t="s">
        <v>153</v>
      </c>
    </row>
    <row r="2939" spans="1:12" ht="15.6" hidden="1">
      <c r="A2939" s="438">
        <v>45939</v>
      </c>
      <c r="B2939" s="461" t="s">
        <v>3783</v>
      </c>
      <c r="C2939" s="439" t="s">
        <v>172</v>
      </c>
      <c r="D2939" s="461" t="s">
        <v>118</v>
      </c>
      <c r="E2939" s="464">
        <v>1000</v>
      </c>
      <c r="F2939" s="407">
        <f t="shared" si="39"/>
        <v>1.8401363172983856</v>
      </c>
      <c r="G2939" s="408">
        <v>543.43799999999999</v>
      </c>
      <c r="H2939" s="461" t="s">
        <v>211</v>
      </c>
      <c r="I2939" s="461" t="s">
        <v>3910</v>
      </c>
      <c r="J2939" s="243" t="s">
        <v>96</v>
      </c>
      <c r="K2939" s="243" t="s">
        <v>1906</v>
      </c>
      <c r="L2939" s="243" t="s">
        <v>153</v>
      </c>
    </row>
    <row r="2940" spans="1:12" ht="15.6" hidden="1">
      <c r="A2940" s="438">
        <v>45939</v>
      </c>
      <c r="B2940" s="243" t="s">
        <v>3784</v>
      </c>
      <c r="C2940" s="423" t="s">
        <v>2092</v>
      </c>
      <c r="D2940" s="461" t="s">
        <v>118</v>
      </c>
      <c r="E2940" s="464">
        <v>6000</v>
      </c>
      <c r="F2940" s="407">
        <f t="shared" si="39"/>
        <v>11.040817903790312</v>
      </c>
      <c r="G2940" s="408">
        <v>543.43799999999999</v>
      </c>
      <c r="H2940" s="423" t="s">
        <v>211</v>
      </c>
      <c r="I2940" s="456" t="s">
        <v>3916</v>
      </c>
      <c r="J2940" s="243" t="s">
        <v>96</v>
      </c>
      <c r="K2940" s="243" t="s">
        <v>1906</v>
      </c>
      <c r="L2940" s="243" t="s">
        <v>153</v>
      </c>
    </row>
    <row r="2941" spans="1:12" ht="15.6" hidden="1">
      <c r="A2941" s="438">
        <v>45939</v>
      </c>
      <c r="B2941" s="243" t="s">
        <v>3785</v>
      </c>
      <c r="C2941" s="423" t="s">
        <v>2092</v>
      </c>
      <c r="D2941" s="461" t="s">
        <v>118</v>
      </c>
      <c r="E2941" s="464">
        <v>6000</v>
      </c>
      <c r="F2941" s="407">
        <f t="shared" si="39"/>
        <v>11.040817903790312</v>
      </c>
      <c r="G2941" s="408">
        <v>543.43799999999999</v>
      </c>
      <c r="H2941" s="423" t="s">
        <v>211</v>
      </c>
      <c r="I2941" s="456" t="s">
        <v>3916</v>
      </c>
      <c r="J2941" s="243" t="s">
        <v>96</v>
      </c>
      <c r="K2941" s="243" t="s">
        <v>1906</v>
      </c>
      <c r="L2941" s="243" t="s">
        <v>153</v>
      </c>
    </row>
    <row r="2942" spans="1:12" ht="15.6" hidden="1">
      <c r="A2942" s="438">
        <v>45939</v>
      </c>
      <c r="B2942" s="243" t="s">
        <v>3786</v>
      </c>
      <c r="C2942" s="423" t="s">
        <v>2092</v>
      </c>
      <c r="D2942" s="461" t="s">
        <v>118</v>
      </c>
      <c r="E2942" s="464">
        <v>6000</v>
      </c>
      <c r="F2942" s="407">
        <f t="shared" si="39"/>
        <v>11.040817903790312</v>
      </c>
      <c r="G2942" s="408">
        <v>543.43799999999999</v>
      </c>
      <c r="H2942" s="423" t="s">
        <v>211</v>
      </c>
      <c r="I2942" s="456" t="s">
        <v>3916</v>
      </c>
      <c r="J2942" s="243" t="s">
        <v>96</v>
      </c>
      <c r="K2942" s="243" t="s">
        <v>1906</v>
      </c>
      <c r="L2942" s="243" t="s">
        <v>153</v>
      </c>
    </row>
    <row r="2943" spans="1:12" ht="15.6" hidden="1">
      <c r="A2943" s="438">
        <v>45939</v>
      </c>
      <c r="B2943" s="243" t="s">
        <v>3787</v>
      </c>
      <c r="C2943" s="423" t="s">
        <v>2092</v>
      </c>
      <c r="D2943" s="461" t="s">
        <v>118</v>
      </c>
      <c r="E2943" s="464">
        <v>6000</v>
      </c>
      <c r="F2943" s="407">
        <f t="shared" si="39"/>
        <v>11.040817903790312</v>
      </c>
      <c r="G2943" s="408">
        <v>543.43799999999999</v>
      </c>
      <c r="H2943" s="423" t="s">
        <v>211</v>
      </c>
      <c r="I2943" s="456" t="s">
        <v>3916</v>
      </c>
      <c r="J2943" s="243" t="s">
        <v>96</v>
      </c>
      <c r="K2943" s="243" t="s">
        <v>1906</v>
      </c>
      <c r="L2943" s="243" t="s">
        <v>153</v>
      </c>
    </row>
    <row r="2944" spans="1:12" ht="15.6" hidden="1">
      <c r="A2944" s="438">
        <v>45939</v>
      </c>
      <c r="B2944" s="243" t="s">
        <v>3788</v>
      </c>
      <c r="C2944" s="423" t="s">
        <v>2092</v>
      </c>
      <c r="D2944" s="461" t="s">
        <v>118</v>
      </c>
      <c r="E2944" s="464">
        <v>6000</v>
      </c>
      <c r="F2944" s="407">
        <f t="shared" si="39"/>
        <v>11.040817903790312</v>
      </c>
      <c r="G2944" s="408">
        <v>543.43799999999999</v>
      </c>
      <c r="H2944" s="423" t="s">
        <v>211</v>
      </c>
      <c r="I2944" s="456" t="s">
        <v>3916</v>
      </c>
      <c r="J2944" s="243" t="s">
        <v>96</v>
      </c>
      <c r="K2944" s="243" t="s">
        <v>1906</v>
      </c>
      <c r="L2944" s="243" t="s">
        <v>153</v>
      </c>
    </row>
    <row r="2945" spans="1:12" ht="15.6" hidden="1">
      <c r="A2945" s="438">
        <v>45939</v>
      </c>
      <c r="B2945" s="243" t="s">
        <v>3789</v>
      </c>
      <c r="C2945" s="423" t="s">
        <v>2092</v>
      </c>
      <c r="D2945" s="461" t="s">
        <v>118</v>
      </c>
      <c r="E2945" s="464">
        <v>6000</v>
      </c>
      <c r="F2945" s="407">
        <f t="shared" si="39"/>
        <v>11.040817903790312</v>
      </c>
      <c r="G2945" s="408">
        <v>543.43799999999999</v>
      </c>
      <c r="H2945" s="423" t="s">
        <v>211</v>
      </c>
      <c r="I2945" s="456" t="s">
        <v>3916</v>
      </c>
      <c r="J2945" s="243" t="s">
        <v>96</v>
      </c>
      <c r="K2945" s="243" t="s">
        <v>1906</v>
      </c>
      <c r="L2945" s="243" t="s">
        <v>153</v>
      </c>
    </row>
    <row r="2946" spans="1:12" ht="15.6" hidden="1">
      <c r="A2946" s="438">
        <v>45939</v>
      </c>
      <c r="B2946" s="243" t="s">
        <v>3790</v>
      </c>
      <c r="C2946" s="423" t="s">
        <v>2092</v>
      </c>
      <c r="D2946" s="461" t="s">
        <v>118</v>
      </c>
      <c r="E2946" s="464">
        <v>6000</v>
      </c>
      <c r="F2946" s="407">
        <f t="shared" si="39"/>
        <v>11.040817903790312</v>
      </c>
      <c r="G2946" s="408">
        <v>543.43799999999999</v>
      </c>
      <c r="H2946" s="423" t="s">
        <v>211</v>
      </c>
      <c r="I2946" s="456" t="s">
        <v>3916</v>
      </c>
      <c r="J2946" s="243" t="s">
        <v>96</v>
      </c>
      <c r="K2946" s="243" t="s">
        <v>1906</v>
      </c>
      <c r="L2946" s="243" t="s">
        <v>153</v>
      </c>
    </row>
    <row r="2947" spans="1:12" ht="15.6" hidden="1">
      <c r="A2947" s="438">
        <v>45939</v>
      </c>
      <c r="B2947" s="243" t="s">
        <v>3791</v>
      </c>
      <c r="C2947" s="423" t="s">
        <v>2092</v>
      </c>
      <c r="D2947" s="461" t="s">
        <v>118</v>
      </c>
      <c r="E2947" s="464">
        <v>6000</v>
      </c>
      <c r="F2947" s="407">
        <f t="shared" si="39"/>
        <v>11.040817903790312</v>
      </c>
      <c r="G2947" s="408">
        <v>543.43799999999999</v>
      </c>
      <c r="H2947" s="423" t="s">
        <v>211</v>
      </c>
      <c r="I2947" s="456" t="s">
        <v>3916</v>
      </c>
      <c r="J2947" s="243" t="s">
        <v>96</v>
      </c>
      <c r="K2947" s="243" t="s">
        <v>1906</v>
      </c>
      <c r="L2947" s="243" t="s">
        <v>153</v>
      </c>
    </row>
    <row r="2948" spans="1:12" ht="15.6" hidden="1">
      <c r="A2948" s="438">
        <v>45939</v>
      </c>
      <c r="B2948" s="243" t="s">
        <v>3792</v>
      </c>
      <c r="C2948" s="423" t="s">
        <v>2092</v>
      </c>
      <c r="D2948" s="461" t="s">
        <v>118</v>
      </c>
      <c r="E2948" s="464">
        <v>6000</v>
      </c>
      <c r="F2948" s="407">
        <f t="shared" si="39"/>
        <v>11.040817903790312</v>
      </c>
      <c r="G2948" s="408">
        <v>543.43799999999999</v>
      </c>
      <c r="H2948" s="423" t="s">
        <v>211</v>
      </c>
      <c r="I2948" s="456" t="s">
        <v>3916</v>
      </c>
      <c r="J2948" s="243" t="s">
        <v>96</v>
      </c>
      <c r="K2948" s="243" t="s">
        <v>1906</v>
      </c>
      <c r="L2948" s="243" t="s">
        <v>153</v>
      </c>
    </row>
    <row r="2949" spans="1:12" ht="15.6" hidden="1">
      <c r="A2949" s="438">
        <v>45939</v>
      </c>
      <c r="B2949" s="243" t="s">
        <v>3793</v>
      </c>
      <c r="C2949" s="423" t="s">
        <v>2092</v>
      </c>
      <c r="D2949" s="461" t="s">
        <v>118</v>
      </c>
      <c r="E2949" s="464">
        <v>6000</v>
      </c>
      <c r="F2949" s="407">
        <f t="shared" si="39"/>
        <v>11.040817903790312</v>
      </c>
      <c r="G2949" s="408">
        <v>543.43799999999999</v>
      </c>
      <c r="H2949" s="423" t="s">
        <v>211</v>
      </c>
      <c r="I2949" s="456" t="s">
        <v>3916</v>
      </c>
      <c r="J2949" s="243" t="s">
        <v>96</v>
      </c>
      <c r="K2949" s="243" t="s">
        <v>1906</v>
      </c>
      <c r="L2949" s="243" t="s">
        <v>153</v>
      </c>
    </row>
    <row r="2950" spans="1:12" ht="15.6" hidden="1">
      <c r="A2950" s="438">
        <v>45939</v>
      </c>
      <c r="B2950" s="243" t="s">
        <v>3794</v>
      </c>
      <c r="C2950" s="423" t="s">
        <v>2092</v>
      </c>
      <c r="D2950" s="461" t="s">
        <v>118</v>
      </c>
      <c r="E2950" s="464">
        <v>6000</v>
      </c>
      <c r="F2950" s="407">
        <f t="shared" si="39"/>
        <v>11.040817903790312</v>
      </c>
      <c r="G2950" s="408">
        <v>543.43799999999999</v>
      </c>
      <c r="H2950" s="423" t="s">
        <v>211</v>
      </c>
      <c r="I2950" s="456" t="s">
        <v>3916</v>
      </c>
      <c r="J2950" s="243" t="s">
        <v>96</v>
      </c>
      <c r="K2950" s="243" t="s">
        <v>1906</v>
      </c>
      <c r="L2950" s="243" t="s">
        <v>153</v>
      </c>
    </row>
    <row r="2951" spans="1:12" ht="15.6" hidden="1">
      <c r="A2951" s="438">
        <v>45939</v>
      </c>
      <c r="B2951" s="243" t="s">
        <v>3795</v>
      </c>
      <c r="C2951" s="423" t="s">
        <v>2092</v>
      </c>
      <c r="D2951" s="461" t="s">
        <v>118</v>
      </c>
      <c r="E2951" s="464">
        <v>6000</v>
      </c>
      <c r="F2951" s="407">
        <f t="shared" si="39"/>
        <v>11.040817903790312</v>
      </c>
      <c r="G2951" s="408">
        <v>543.43799999999999</v>
      </c>
      <c r="H2951" s="423" t="s">
        <v>211</v>
      </c>
      <c r="I2951" s="456" t="s">
        <v>3916</v>
      </c>
      <c r="J2951" s="243" t="s">
        <v>96</v>
      </c>
      <c r="K2951" s="243" t="s">
        <v>1906</v>
      </c>
      <c r="L2951" s="243" t="s">
        <v>153</v>
      </c>
    </row>
    <row r="2952" spans="1:12" ht="15.6" hidden="1">
      <c r="A2952" s="438">
        <v>45939</v>
      </c>
      <c r="B2952" s="243" t="s">
        <v>3796</v>
      </c>
      <c r="C2952" s="423" t="s">
        <v>2092</v>
      </c>
      <c r="D2952" s="461" t="s">
        <v>118</v>
      </c>
      <c r="E2952" s="464">
        <v>6000</v>
      </c>
      <c r="F2952" s="407">
        <f t="shared" si="39"/>
        <v>11.040817903790312</v>
      </c>
      <c r="G2952" s="408">
        <v>543.43799999999999</v>
      </c>
      <c r="H2952" s="423" t="s">
        <v>211</v>
      </c>
      <c r="I2952" s="456" t="s">
        <v>3916</v>
      </c>
      <c r="J2952" s="243" t="s">
        <v>96</v>
      </c>
      <c r="K2952" s="243" t="s">
        <v>1906</v>
      </c>
      <c r="L2952" s="243" t="s">
        <v>153</v>
      </c>
    </row>
    <row r="2953" spans="1:12" ht="15.6" hidden="1">
      <c r="A2953" s="438">
        <v>45939</v>
      </c>
      <c r="B2953" s="243" t="s">
        <v>3797</v>
      </c>
      <c r="C2953" s="423" t="s">
        <v>2092</v>
      </c>
      <c r="D2953" s="461" t="s">
        <v>118</v>
      </c>
      <c r="E2953" s="464">
        <v>6000</v>
      </c>
      <c r="F2953" s="407">
        <f t="shared" si="39"/>
        <v>11.040817903790312</v>
      </c>
      <c r="G2953" s="408">
        <v>543.43799999999999</v>
      </c>
      <c r="H2953" s="423" t="s">
        <v>211</v>
      </c>
      <c r="I2953" s="456" t="s">
        <v>3916</v>
      </c>
      <c r="J2953" s="243" t="s">
        <v>96</v>
      </c>
      <c r="K2953" s="243" t="s">
        <v>1906</v>
      </c>
      <c r="L2953" s="243" t="s">
        <v>153</v>
      </c>
    </row>
    <row r="2954" spans="1:12" ht="15.6" hidden="1">
      <c r="A2954" s="438">
        <v>45939</v>
      </c>
      <c r="B2954" s="423" t="s">
        <v>3798</v>
      </c>
      <c r="C2954" s="423" t="s">
        <v>2092</v>
      </c>
      <c r="D2954" s="461" t="s">
        <v>118</v>
      </c>
      <c r="E2954" s="464">
        <v>10000</v>
      </c>
      <c r="F2954" s="407">
        <f t="shared" si="39"/>
        <v>18.401363172983856</v>
      </c>
      <c r="G2954" s="408">
        <v>543.43799999999999</v>
      </c>
      <c r="H2954" s="423" t="s">
        <v>211</v>
      </c>
      <c r="I2954" s="456" t="s">
        <v>3917</v>
      </c>
      <c r="J2954" s="243" t="s">
        <v>96</v>
      </c>
      <c r="K2954" s="243" t="s">
        <v>1906</v>
      </c>
      <c r="L2954" s="243" t="s">
        <v>153</v>
      </c>
    </row>
    <row r="2955" spans="1:12" ht="15.6" hidden="1">
      <c r="A2955" s="438">
        <v>45939</v>
      </c>
      <c r="B2955" s="423" t="s">
        <v>3799</v>
      </c>
      <c r="C2955" s="423" t="s">
        <v>2092</v>
      </c>
      <c r="D2955" s="461" t="s">
        <v>118</v>
      </c>
      <c r="E2955" s="464">
        <v>10000</v>
      </c>
      <c r="F2955" s="407">
        <f t="shared" si="39"/>
        <v>18.401363172983856</v>
      </c>
      <c r="G2955" s="408">
        <v>543.43799999999999</v>
      </c>
      <c r="H2955" s="423" t="s">
        <v>211</v>
      </c>
      <c r="I2955" s="456" t="s">
        <v>3917</v>
      </c>
      <c r="J2955" s="243" t="s">
        <v>96</v>
      </c>
      <c r="K2955" s="243" t="s">
        <v>1906</v>
      </c>
      <c r="L2955" s="243" t="s">
        <v>153</v>
      </c>
    </row>
    <row r="2956" spans="1:12" ht="15.6" hidden="1">
      <c r="A2956" s="438">
        <v>45939</v>
      </c>
      <c r="B2956" s="423" t="s">
        <v>3800</v>
      </c>
      <c r="C2956" s="423" t="s">
        <v>2092</v>
      </c>
      <c r="D2956" s="461" t="s">
        <v>118</v>
      </c>
      <c r="E2956" s="464">
        <v>10000</v>
      </c>
      <c r="F2956" s="407">
        <f t="shared" si="39"/>
        <v>18.401363172983856</v>
      </c>
      <c r="G2956" s="408">
        <v>543.43799999999999</v>
      </c>
      <c r="H2956" s="423" t="s">
        <v>211</v>
      </c>
      <c r="I2956" s="456" t="s">
        <v>3917</v>
      </c>
      <c r="J2956" s="243" t="s">
        <v>96</v>
      </c>
      <c r="K2956" s="243" t="s">
        <v>1906</v>
      </c>
      <c r="L2956" s="243" t="s">
        <v>153</v>
      </c>
    </row>
    <row r="2957" spans="1:12" ht="15.6" hidden="1">
      <c r="A2957" s="438">
        <v>45939</v>
      </c>
      <c r="B2957" s="423" t="s">
        <v>3801</v>
      </c>
      <c r="C2957" s="423" t="s">
        <v>2092</v>
      </c>
      <c r="D2957" s="461" t="s">
        <v>118</v>
      </c>
      <c r="E2957" s="464">
        <v>10000</v>
      </c>
      <c r="F2957" s="407">
        <f t="shared" si="39"/>
        <v>18.401363172983856</v>
      </c>
      <c r="G2957" s="408">
        <v>543.43799999999999</v>
      </c>
      <c r="H2957" s="423" t="s">
        <v>211</v>
      </c>
      <c r="I2957" s="456" t="s">
        <v>3917</v>
      </c>
      <c r="J2957" s="243" t="s">
        <v>96</v>
      </c>
      <c r="K2957" s="243" t="s">
        <v>1906</v>
      </c>
      <c r="L2957" s="243" t="s">
        <v>153</v>
      </c>
    </row>
    <row r="2958" spans="1:12" ht="15.6" hidden="1">
      <c r="A2958" s="438">
        <v>45939</v>
      </c>
      <c r="B2958" s="423" t="s">
        <v>3802</v>
      </c>
      <c r="C2958" s="423" t="s">
        <v>2092</v>
      </c>
      <c r="D2958" s="461" t="s">
        <v>118</v>
      </c>
      <c r="E2958" s="464">
        <v>6000</v>
      </c>
      <c r="F2958" s="407">
        <f t="shared" si="39"/>
        <v>11.040817903790312</v>
      </c>
      <c r="G2958" s="408">
        <v>543.43799999999999</v>
      </c>
      <c r="H2958" s="423" t="s">
        <v>211</v>
      </c>
      <c r="I2958" s="456" t="s">
        <v>3918</v>
      </c>
      <c r="J2958" s="243" t="s">
        <v>96</v>
      </c>
      <c r="K2958" s="243" t="s">
        <v>1906</v>
      </c>
      <c r="L2958" s="243" t="s">
        <v>153</v>
      </c>
    </row>
    <row r="2959" spans="1:12" ht="15.6" hidden="1">
      <c r="A2959" s="438">
        <v>45939</v>
      </c>
      <c r="B2959" s="423" t="s">
        <v>3803</v>
      </c>
      <c r="C2959" s="423" t="s">
        <v>2092</v>
      </c>
      <c r="D2959" s="461" t="s">
        <v>118</v>
      </c>
      <c r="E2959" s="464">
        <v>6000</v>
      </c>
      <c r="F2959" s="407">
        <f t="shared" si="39"/>
        <v>11.040817903790312</v>
      </c>
      <c r="G2959" s="408">
        <v>543.43799999999999</v>
      </c>
      <c r="H2959" s="423" t="s">
        <v>211</v>
      </c>
      <c r="I2959" s="456" t="s">
        <v>3918</v>
      </c>
      <c r="J2959" s="243" t="s">
        <v>96</v>
      </c>
      <c r="K2959" s="243" t="s">
        <v>1906</v>
      </c>
      <c r="L2959" s="243" t="s">
        <v>153</v>
      </c>
    </row>
    <row r="2960" spans="1:12" ht="15.6" hidden="1">
      <c r="A2960" s="438">
        <v>45939</v>
      </c>
      <c r="B2960" s="423" t="s">
        <v>3804</v>
      </c>
      <c r="C2960" s="423" t="s">
        <v>2092</v>
      </c>
      <c r="D2960" s="461" t="s">
        <v>118</v>
      </c>
      <c r="E2960" s="464">
        <v>6000</v>
      </c>
      <c r="F2960" s="407">
        <f t="shared" si="39"/>
        <v>11.040817903790312</v>
      </c>
      <c r="G2960" s="408">
        <v>543.43799999999999</v>
      </c>
      <c r="H2960" s="423" t="s">
        <v>211</v>
      </c>
      <c r="I2960" s="456" t="s">
        <v>3918</v>
      </c>
      <c r="J2960" s="243" t="s">
        <v>96</v>
      </c>
      <c r="K2960" s="243" t="s">
        <v>1906</v>
      </c>
      <c r="L2960" s="243" t="s">
        <v>153</v>
      </c>
    </row>
    <row r="2961" spans="1:12" ht="15.6" hidden="1">
      <c r="A2961" s="438">
        <v>45939</v>
      </c>
      <c r="B2961" s="423" t="s">
        <v>3805</v>
      </c>
      <c r="C2961" s="423" t="s">
        <v>2092</v>
      </c>
      <c r="D2961" s="461" t="s">
        <v>118</v>
      </c>
      <c r="E2961" s="464">
        <v>6000</v>
      </c>
      <c r="F2961" s="407">
        <f t="shared" si="39"/>
        <v>11.040817903790312</v>
      </c>
      <c r="G2961" s="408">
        <v>543.43799999999999</v>
      </c>
      <c r="H2961" s="423" t="s">
        <v>211</v>
      </c>
      <c r="I2961" s="456" t="s">
        <v>3918</v>
      </c>
      <c r="J2961" s="243" t="s">
        <v>96</v>
      </c>
      <c r="K2961" s="243" t="s">
        <v>1906</v>
      </c>
      <c r="L2961" s="243" t="s">
        <v>153</v>
      </c>
    </row>
    <row r="2962" spans="1:12" ht="15.6" hidden="1">
      <c r="A2962" s="438">
        <v>45939</v>
      </c>
      <c r="B2962" s="423" t="s">
        <v>3942</v>
      </c>
      <c r="C2962" s="423" t="s">
        <v>172</v>
      </c>
      <c r="D2962" s="423" t="s">
        <v>115</v>
      </c>
      <c r="E2962" s="471">
        <v>1500</v>
      </c>
      <c r="F2962" s="407">
        <f t="shared" ref="F2962:F3025" si="40">E2962/G2962</f>
        <v>2.7602044759475781</v>
      </c>
      <c r="G2962" s="408">
        <v>543.43799999999999</v>
      </c>
      <c r="H2962" s="423" t="s">
        <v>185</v>
      </c>
      <c r="I2962" s="423" t="s">
        <v>4008</v>
      </c>
      <c r="J2962" s="243" t="s">
        <v>96</v>
      </c>
      <c r="K2962" s="243" t="s">
        <v>1906</v>
      </c>
      <c r="L2962" s="243" t="s">
        <v>153</v>
      </c>
    </row>
    <row r="2963" spans="1:12" ht="15.6" hidden="1">
      <c r="A2963" s="438">
        <v>45939</v>
      </c>
      <c r="B2963" s="423" t="s">
        <v>3940</v>
      </c>
      <c r="C2963" s="423" t="s">
        <v>172</v>
      </c>
      <c r="D2963" s="423" t="s">
        <v>115</v>
      </c>
      <c r="E2963" s="471">
        <v>1500</v>
      </c>
      <c r="F2963" s="407">
        <f t="shared" si="40"/>
        <v>2.7602044759475781</v>
      </c>
      <c r="G2963" s="408">
        <v>543.43799999999999</v>
      </c>
      <c r="H2963" s="423" t="s">
        <v>185</v>
      </c>
      <c r="I2963" s="423" t="s">
        <v>4008</v>
      </c>
      <c r="J2963" s="243" t="s">
        <v>96</v>
      </c>
      <c r="K2963" s="243" t="s">
        <v>1906</v>
      </c>
      <c r="L2963" s="243" t="s">
        <v>153</v>
      </c>
    </row>
    <row r="2964" spans="1:12" ht="15.6" hidden="1">
      <c r="A2964" s="438">
        <v>45939</v>
      </c>
      <c r="B2964" s="423" t="s">
        <v>3007</v>
      </c>
      <c r="C2964" s="423" t="s">
        <v>170</v>
      </c>
      <c r="D2964" s="423" t="s">
        <v>116</v>
      </c>
      <c r="E2964" s="464">
        <v>31250</v>
      </c>
      <c r="F2964" s="407">
        <f t="shared" si="40"/>
        <v>57.504259915574544</v>
      </c>
      <c r="G2964" s="408">
        <v>543.43799999999999</v>
      </c>
      <c r="H2964" s="423" t="s">
        <v>185</v>
      </c>
      <c r="I2964" s="456" t="s">
        <v>4011</v>
      </c>
      <c r="J2964" s="243" t="s">
        <v>96</v>
      </c>
      <c r="K2964" s="243" t="s">
        <v>1906</v>
      </c>
      <c r="L2964" s="243" t="s">
        <v>153</v>
      </c>
    </row>
    <row r="2965" spans="1:12" ht="15.6" hidden="1">
      <c r="A2965" s="438">
        <v>45939</v>
      </c>
      <c r="B2965" s="164" t="s">
        <v>4038</v>
      </c>
      <c r="C2965" s="442" t="s">
        <v>125</v>
      </c>
      <c r="D2965" s="442" t="s">
        <v>119</v>
      </c>
      <c r="E2965" s="349">
        <v>255000</v>
      </c>
      <c r="F2965" s="407">
        <f t="shared" si="40"/>
        <v>469.2347609110883</v>
      </c>
      <c r="G2965" s="408">
        <v>543.43799999999999</v>
      </c>
      <c r="H2965" s="125" t="s">
        <v>146</v>
      </c>
      <c r="I2965" s="125" t="s">
        <v>4070</v>
      </c>
      <c r="J2965" s="243" t="s">
        <v>96</v>
      </c>
      <c r="K2965" s="243" t="s">
        <v>1906</v>
      </c>
      <c r="L2965" s="243" t="s">
        <v>153</v>
      </c>
    </row>
    <row r="2966" spans="1:12" ht="15.6" hidden="1">
      <c r="A2966" s="438">
        <v>45940</v>
      </c>
      <c r="B2966" s="239" t="s">
        <v>2103</v>
      </c>
      <c r="C2966" s="453" t="s">
        <v>172</v>
      </c>
      <c r="D2966" s="453" t="s">
        <v>117</v>
      </c>
      <c r="E2966" s="458">
        <v>1000</v>
      </c>
      <c r="F2966" s="407">
        <f t="shared" si="40"/>
        <v>1.8401363172983856</v>
      </c>
      <c r="G2966" s="408">
        <v>543.43799999999999</v>
      </c>
      <c r="H2966" s="454" t="s">
        <v>151</v>
      </c>
      <c r="I2966" s="239" t="s">
        <v>3264</v>
      </c>
      <c r="J2966" s="243" t="s">
        <v>96</v>
      </c>
      <c r="K2966" s="243" t="s">
        <v>1906</v>
      </c>
      <c r="L2966" s="243" t="s">
        <v>153</v>
      </c>
    </row>
    <row r="2967" spans="1:12" ht="15.6" hidden="1">
      <c r="A2967" s="438">
        <v>45940</v>
      </c>
      <c r="B2967" s="239" t="s">
        <v>3237</v>
      </c>
      <c r="C2967" s="453" t="s">
        <v>172</v>
      </c>
      <c r="D2967" s="453" t="s">
        <v>117</v>
      </c>
      <c r="E2967" s="458">
        <v>1000</v>
      </c>
      <c r="F2967" s="407">
        <f t="shared" si="40"/>
        <v>1.8401363172983856</v>
      </c>
      <c r="G2967" s="408">
        <v>543.43799999999999</v>
      </c>
      <c r="H2967" s="454" t="s">
        <v>151</v>
      </c>
      <c r="I2967" s="239" t="s">
        <v>3264</v>
      </c>
      <c r="J2967" s="243" t="s">
        <v>96</v>
      </c>
      <c r="K2967" s="243" t="s">
        <v>1906</v>
      </c>
      <c r="L2967" s="243" t="s">
        <v>153</v>
      </c>
    </row>
    <row r="2968" spans="1:12" ht="15.6" hidden="1">
      <c r="A2968" s="438">
        <v>45940</v>
      </c>
      <c r="B2968" s="239" t="s">
        <v>3238</v>
      </c>
      <c r="C2968" s="453" t="s">
        <v>172</v>
      </c>
      <c r="D2968" s="453" t="s">
        <v>117</v>
      </c>
      <c r="E2968" s="458">
        <v>1000</v>
      </c>
      <c r="F2968" s="407">
        <f t="shared" si="40"/>
        <v>1.8401363172983856</v>
      </c>
      <c r="G2968" s="408">
        <v>543.43799999999999</v>
      </c>
      <c r="H2968" s="454" t="s">
        <v>151</v>
      </c>
      <c r="I2968" s="239" t="s">
        <v>3264</v>
      </c>
      <c r="J2968" s="243" t="s">
        <v>96</v>
      </c>
      <c r="K2968" s="243" t="s">
        <v>1906</v>
      </c>
      <c r="L2968" s="243" t="s">
        <v>153</v>
      </c>
    </row>
    <row r="2969" spans="1:12" ht="15.6" hidden="1">
      <c r="A2969" s="438">
        <v>45940</v>
      </c>
      <c r="B2969" s="239" t="s">
        <v>2104</v>
      </c>
      <c r="C2969" s="453" t="s">
        <v>172</v>
      </c>
      <c r="D2969" s="453" t="s">
        <v>117</v>
      </c>
      <c r="E2969" s="458">
        <v>1000</v>
      </c>
      <c r="F2969" s="407">
        <f t="shared" si="40"/>
        <v>1.8401363172983856</v>
      </c>
      <c r="G2969" s="408">
        <v>543.43799999999999</v>
      </c>
      <c r="H2969" s="454" t="s">
        <v>151</v>
      </c>
      <c r="I2969" s="239" t="s">
        <v>3264</v>
      </c>
      <c r="J2969" s="243" t="s">
        <v>96</v>
      </c>
      <c r="K2969" s="243" t="s">
        <v>1906</v>
      </c>
      <c r="L2969" s="243" t="s">
        <v>153</v>
      </c>
    </row>
    <row r="2970" spans="1:12" ht="15.6" hidden="1">
      <c r="A2970" s="438">
        <v>45940</v>
      </c>
      <c r="B2970" s="329" t="s">
        <v>3323</v>
      </c>
      <c r="C2970" s="329" t="s">
        <v>3317</v>
      </c>
      <c r="D2970" s="329" t="s">
        <v>115</v>
      </c>
      <c r="E2970" s="451">
        <v>3000</v>
      </c>
      <c r="F2970" s="407">
        <f t="shared" si="40"/>
        <v>5.5204089518951562</v>
      </c>
      <c r="G2970" s="408">
        <v>543.43799999999999</v>
      </c>
      <c r="H2970" s="329" t="s">
        <v>198</v>
      </c>
      <c r="I2970" s="329" t="s">
        <v>3356</v>
      </c>
      <c r="J2970" s="243" t="s">
        <v>96</v>
      </c>
      <c r="K2970" s="243" t="s">
        <v>1906</v>
      </c>
      <c r="L2970" s="243" t="s">
        <v>153</v>
      </c>
    </row>
    <row r="2971" spans="1:12" ht="15.6" hidden="1">
      <c r="A2971" s="438">
        <v>45940</v>
      </c>
      <c r="B2971" s="329" t="s">
        <v>3322</v>
      </c>
      <c r="C2971" s="329" t="s">
        <v>172</v>
      </c>
      <c r="D2971" s="329" t="s">
        <v>115</v>
      </c>
      <c r="E2971" s="451">
        <v>1000</v>
      </c>
      <c r="F2971" s="407">
        <f t="shared" si="40"/>
        <v>1.8401363172983856</v>
      </c>
      <c r="G2971" s="408">
        <v>543.43799999999999</v>
      </c>
      <c r="H2971" s="329" t="s">
        <v>198</v>
      </c>
      <c r="I2971" s="329" t="s">
        <v>3349</v>
      </c>
      <c r="J2971" s="243" t="s">
        <v>96</v>
      </c>
      <c r="K2971" s="243" t="s">
        <v>1906</v>
      </c>
      <c r="L2971" s="243" t="s">
        <v>153</v>
      </c>
    </row>
    <row r="2972" spans="1:12" ht="15.6" hidden="1">
      <c r="A2972" s="438">
        <v>45940</v>
      </c>
      <c r="B2972" s="329" t="s">
        <v>3319</v>
      </c>
      <c r="C2972" s="329" t="s">
        <v>172</v>
      </c>
      <c r="D2972" s="329" t="s">
        <v>115</v>
      </c>
      <c r="E2972" s="451">
        <v>1000</v>
      </c>
      <c r="F2972" s="407">
        <f t="shared" si="40"/>
        <v>1.8401363172983856</v>
      </c>
      <c r="G2972" s="408">
        <v>543.43799999999999</v>
      </c>
      <c r="H2972" s="329" t="s">
        <v>198</v>
      </c>
      <c r="I2972" s="329" t="s">
        <v>3349</v>
      </c>
      <c r="J2972" s="243" t="s">
        <v>96</v>
      </c>
      <c r="K2972" s="243" t="s">
        <v>1906</v>
      </c>
      <c r="L2972" s="243" t="s">
        <v>153</v>
      </c>
    </row>
    <row r="2973" spans="1:12" ht="15.6" hidden="1">
      <c r="A2973" s="438">
        <v>45940</v>
      </c>
      <c r="B2973" s="329" t="s">
        <v>3326</v>
      </c>
      <c r="C2973" s="329" t="s">
        <v>172</v>
      </c>
      <c r="D2973" s="329" t="s">
        <v>115</v>
      </c>
      <c r="E2973" s="451">
        <v>3000</v>
      </c>
      <c r="F2973" s="407">
        <f t="shared" si="40"/>
        <v>5.5204089518951562</v>
      </c>
      <c r="G2973" s="408">
        <v>543.43799999999999</v>
      </c>
      <c r="H2973" s="329" t="s">
        <v>198</v>
      </c>
      <c r="I2973" s="329" t="s">
        <v>3349</v>
      </c>
      <c r="J2973" s="243" t="s">
        <v>96</v>
      </c>
      <c r="K2973" s="243" t="s">
        <v>1906</v>
      </c>
      <c r="L2973" s="243" t="s">
        <v>153</v>
      </c>
    </row>
    <row r="2974" spans="1:12" ht="15.6" hidden="1">
      <c r="A2974" s="438">
        <v>45940</v>
      </c>
      <c r="B2974" s="329" t="s">
        <v>3325</v>
      </c>
      <c r="C2974" s="329" t="s">
        <v>172</v>
      </c>
      <c r="D2974" s="329" t="s">
        <v>115</v>
      </c>
      <c r="E2974" s="451">
        <v>1000</v>
      </c>
      <c r="F2974" s="407">
        <f t="shared" si="40"/>
        <v>1.8401363172983856</v>
      </c>
      <c r="G2974" s="408">
        <v>543.43799999999999</v>
      </c>
      <c r="H2974" s="329" t="s">
        <v>198</v>
      </c>
      <c r="I2974" s="329" t="s">
        <v>3349</v>
      </c>
      <c r="J2974" s="243" t="s">
        <v>96</v>
      </c>
      <c r="K2974" s="243" t="s">
        <v>1906</v>
      </c>
      <c r="L2974" s="243" t="s">
        <v>153</v>
      </c>
    </row>
    <row r="2975" spans="1:12" ht="15.6" hidden="1">
      <c r="A2975" s="438">
        <v>45940</v>
      </c>
      <c r="B2975" s="329" t="s">
        <v>3319</v>
      </c>
      <c r="C2975" s="329" t="s">
        <v>172</v>
      </c>
      <c r="D2975" s="329" t="s">
        <v>115</v>
      </c>
      <c r="E2975" s="451">
        <v>1000</v>
      </c>
      <c r="F2975" s="407">
        <f t="shared" si="40"/>
        <v>1.8401363172983856</v>
      </c>
      <c r="G2975" s="408">
        <v>543.43799999999999</v>
      </c>
      <c r="H2975" s="329" t="s">
        <v>198</v>
      </c>
      <c r="I2975" s="329" t="s">
        <v>3349</v>
      </c>
      <c r="J2975" s="243" t="s">
        <v>96</v>
      </c>
      <c r="K2975" s="243" t="s">
        <v>1906</v>
      </c>
      <c r="L2975" s="243" t="s">
        <v>153</v>
      </c>
    </row>
    <row r="2976" spans="1:12" ht="15.6" hidden="1">
      <c r="A2976" s="438">
        <v>45940</v>
      </c>
      <c r="B2976" s="243" t="s">
        <v>3722</v>
      </c>
      <c r="C2976" s="239" t="s">
        <v>194</v>
      </c>
      <c r="D2976" s="239" t="s">
        <v>115</v>
      </c>
      <c r="E2976" s="457">
        <v>1000</v>
      </c>
      <c r="F2976" s="407">
        <f t="shared" si="40"/>
        <v>1.8401363172983856</v>
      </c>
      <c r="G2976" s="408">
        <v>543.43799999999999</v>
      </c>
      <c r="H2976" s="239" t="s">
        <v>195</v>
      </c>
      <c r="I2976" s="243" t="s">
        <v>3747</v>
      </c>
      <c r="J2976" s="243" t="s">
        <v>96</v>
      </c>
      <c r="K2976" s="243" t="s">
        <v>1906</v>
      </c>
      <c r="L2976" s="243" t="s">
        <v>153</v>
      </c>
    </row>
    <row r="2977" spans="1:12" ht="15.6" hidden="1">
      <c r="A2977" s="438">
        <v>45940</v>
      </c>
      <c r="B2977" s="243" t="s">
        <v>3723</v>
      </c>
      <c r="C2977" s="239" t="s">
        <v>194</v>
      </c>
      <c r="D2977" s="239" t="s">
        <v>115</v>
      </c>
      <c r="E2977" s="457">
        <v>1000</v>
      </c>
      <c r="F2977" s="407">
        <f t="shared" si="40"/>
        <v>1.8401363172983856</v>
      </c>
      <c r="G2977" s="408">
        <v>543.43799999999999</v>
      </c>
      <c r="H2977" s="239" t="s">
        <v>195</v>
      </c>
      <c r="I2977" s="243" t="s">
        <v>3747</v>
      </c>
      <c r="J2977" s="243" t="s">
        <v>96</v>
      </c>
      <c r="K2977" s="243" t="s">
        <v>1906</v>
      </c>
      <c r="L2977" s="243" t="s">
        <v>153</v>
      </c>
    </row>
    <row r="2978" spans="1:12" ht="15.6" hidden="1">
      <c r="A2978" s="438">
        <v>45940</v>
      </c>
      <c r="B2978" s="243" t="s">
        <v>3712</v>
      </c>
      <c r="C2978" s="239" t="s">
        <v>194</v>
      </c>
      <c r="D2978" s="239" t="s">
        <v>115</v>
      </c>
      <c r="E2978" s="457">
        <v>1000</v>
      </c>
      <c r="F2978" s="407">
        <f t="shared" si="40"/>
        <v>1.8401363172983856</v>
      </c>
      <c r="G2978" s="408">
        <v>543.43799999999999</v>
      </c>
      <c r="H2978" s="239" t="s">
        <v>195</v>
      </c>
      <c r="I2978" s="243" t="s">
        <v>3747</v>
      </c>
      <c r="J2978" s="243" t="s">
        <v>96</v>
      </c>
      <c r="K2978" s="243" t="s">
        <v>1906</v>
      </c>
      <c r="L2978" s="243" t="s">
        <v>153</v>
      </c>
    </row>
    <row r="2979" spans="1:12" ht="15.6" hidden="1">
      <c r="A2979" s="438">
        <v>45940</v>
      </c>
      <c r="B2979" s="461" t="s">
        <v>3806</v>
      </c>
      <c r="C2979" s="439" t="s">
        <v>172</v>
      </c>
      <c r="D2979" s="461" t="s">
        <v>118</v>
      </c>
      <c r="E2979" s="464">
        <v>1000</v>
      </c>
      <c r="F2979" s="407">
        <f t="shared" si="40"/>
        <v>1.8401363172983856</v>
      </c>
      <c r="G2979" s="408">
        <v>543.43799999999999</v>
      </c>
      <c r="H2979" s="461" t="s">
        <v>211</v>
      </c>
      <c r="I2979" s="461" t="s">
        <v>3910</v>
      </c>
      <c r="J2979" s="243" t="s">
        <v>96</v>
      </c>
      <c r="K2979" s="243" t="s">
        <v>1906</v>
      </c>
      <c r="L2979" s="243" t="s">
        <v>153</v>
      </c>
    </row>
    <row r="2980" spans="1:12" ht="15.6" hidden="1">
      <c r="A2980" s="438">
        <v>45940</v>
      </c>
      <c r="B2980" s="461" t="s">
        <v>3807</v>
      </c>
      <c r="C2980" s="439" t="s">
        <v>172</v>
      </c>
      <c r="D2980" s="461" t="s">
        <v>118</v>
      </c>
      <c r="E2980" s="464">
        <v>1000</v>
      </c>
      <c r="F2980" s="407">
        <f t="shared" si="40"/>
        <v>1.8401363172983856</v>
      </c>
      <c r="G2980" s="408">
        <v>543.43799999999999</v>
      </c>
      <c r="H2980" s="461" t="s">
        <v>211</v>
      </c>
      <c r="I2980" s="461" t="s">
        <v>3910</v>
      </c>
      <c r="J2980" s="243" t="s">
        <v>96</v>
      </c>
      <c r="K2980" s="243" t="s">
        <v>1906</v>
      </c>
      <c r="L2980" s="243" t="s">
        <v>153</v>
      </c>
    </row>
    <row r="2981" spans="1:12" ht="15.6" hidden="1">
      <c r="A2981" s="438">
        <v>45940</v>
      </c>
      <c r="B2981" s="461" t="s">
        <v>3808</v>
      </c>
      <c r="C2981" s="439" t="s">
        <v>172</v>
      </c>
      <c r="D2981" s="461" t="s">
        <v>118</v>
      </c>
      <c r="E2981" s="464">
        <v>1000</v>
      </c>
      <c r="F2981" s="407">
        <f t="shared" si="40"/>
        <v>1.8401363172983856</v>
      </c>
      <c r="G2981" s="408">
        <v>543.43799999999999</v>
      </c>
      <c r="H2981" s="461" t="s">
        <v>211</v>
      </c>
      <c r="I2981" s="461" t="s">
        <v>3910</v>
      </c>
      <c r="J2981" s="243" t="s">
        <v>96</v>
      </c>
      <c r="K2981" s="243" t="s">
        <v>1906</v>
      </c>
      <c r="L2981" s="243" t="s">
        <v>153</v>
      </c>
    </row>
    <row r="2982" spans="1:12" ht="15.6" hidden="1">
      <c r="A2982" s="438">
        <v>45940</v>
      </c>
      <c r="B2982" s="461" t="s">
        <v>3809</v>
      </c>
      <c r="C2982" s="439" t="s">
        <v>172</v>
      </c>
      <c r="D2982" s="461" t="s">
        <v>118</v>
      </c>
      <c r="E2982" s="464">
        <v>1000</v>
      </c>
      <c r="F2982" s="407">
        <f t="shared" si="40"/>
        <v>1.8401363172983856</v>
      </c>
      <c r="G2982" s="408">
        <v>543.43799999999999</v>
      </c>
      <c r="H2982" s="461" t="s">
        <v>211</v>
      </c>
      <c r="I2982" s="461" t="s">
        <v>3910</v>
      </c>
      <c r="J2982" s="243" t="s">
        <v>96</v>
      </c>
      <c r="K2982" s="243" t="s">
        <v>1906</v>
      </c>
      <c r="L2982" s="243" t="s">
        <v>153</v>
      </c>
    </row>
    <row r="2983" spans="1:12" ht="15.6" hidden="1">
      <c r="A2983" s="438">
        <v>45940</v>
      </c>
      <c r="B2983" s="461" t="s">
        <v>3810</v>
      </c>
      <c r="C2983" s="439" t="s">
        <v>172</v>
      </c>
      <c r="D2983" s="461" t="s">
        <v>118</v>
      </c>
      <c r="E2983" s="464">
        <v>1000</v>
      </c>
      <c r="F2983" s="407">
        <f t="shared" si="40"/>
        <v>1.8401363172983856</v>
      </c>
      <c r="G2983" s="408">
        <v>543.43799999999999</v>
      </c>
      <c r="H2983" s="461" t="s">
        <v>211</v>
      </c>
      <c r="I2983" s="461" t="s">
        <v>3910</v>
      </c>
      <c r="J2983" s="243" t="s">
        <v>96</v>
      </c>
      <c r="K2983" s="243" t="s">
        <v>1906</v>
      </c>
      <c r="L2983" s="243" t="s">
        <v>153</v>
      </c>
    </row>
    <row r="2984" spans="1:12" ht="15.6" hidden="1">
      <c r="A2984" s="438">
        <v>45940</v>
      </c>
      <c r="B2984" s="461" t="s">
        <v>3811</v>
      </c>
      <c r="C2984" s="439" t="s">
        <v>172</v>
      </c>
      <c r="D2984" s="461" t="s">
        <v>118</v>
      </c>
      <c r="E2984" s="464">
        <v>1000</v>
      </c>
      <c r="F2984" s="407">
        <f t="shared" si="40"/>
        <v>1.8401363172983856</v>
      </c>
      <c r="G2984" s="408">
        <v>543.43799999999999</v>
      </c>
      <c r="H2984" s="461" t="s">
        <v>211</v>
      </c>
      <c r="I2984" s="461" t="s">
        <v>3910</v>
      </c>
      <c r="J2984" s="243" t="s">
        <v>96</v>
      </c>
      <c r="K2984" s="243" t="s">
        <v>1906</v>
      </c>
      <c r="L2984" s="243" t="s">
        <v>153</v>
      </c>
    </row>
    <row r="2985" spans="1:12" ht="15.6" hidden="1">
      <c r="A2985" s="438">
        <v>45940</v>
      </c>
      <c r="B2985" s="461" t="s">
        <v>3812</v>
      </c>
      <c r="C2985" s="439" t="s">
        <v>172</v>
      </c>
      <c r="D2985" s="461" t="s">
        <v>118</v>
      </c>
      <c r="E2985" s="464">
        <v>1000</v>
      </c>
      <c r="F2985" s="407">
        <f t="shared" si="40"/>
        <v>1.8401363172983856</v>
      </c>
      <c r="G2985" s="408">
        <v>543.43799999999999</v>
      </c>
      <c r="H2985" s="461" t="s">
        <v>211</v>
      </c>
      <c r="I2985" s="461" t="s">
        <v>3910</v>
      </c>
      <c r="J2985" s="243" t="s">
        <v>96</v>
      </c>
      <c r="K2985" s="243" t="s">
        <v>1906</v>
      </c>
      <c r="L2985" s="243" t="s">
        <v>153</v>
      </c>
    </row>
    <row r="2986" spans="1:12" ht="15.6" hidden="1">
      <c r="A2986" s="438">
        <v>45940</v>
      </c>
      <c r="B2986" s="461" t="s">
        <v>3813</v>
      </c>
      <c r="C2986" s="439" t="s">
        <v>172</v>
      </c>
      <c r="D2986" s="461" t="s">
        <v>118</v>
      </c>
      <c r="E2986" s="464">
        <v>1000</v>
      </c>
      <c r="F2986" s="407">
        <f t="shared" si="40"/>
        <v>1.8401363172983856</v>
      </c>
      <c r="G2986" s="408">
        <v>543.43799999999999</v>
      </c>
      <c r="H2986" s="461" t="s">
        <v>211</v>
      </c>
      <c r="I2986" s="461" t="s">
        <v>3910</v>
      </c>
      <c r="J2986" s="243" t="s">
        <v>96</v>
      </c>
      <c r="K2986" s="243" t="s">
        <v>1906</v>
      </c>
      <c r="L2986" s="243" t="s">
        <v>153</v>
      </c>
    </row>
    <row r="2987" spans="1:12" ht="15.6" hidden="1">
      <c r="A2987" s="438">
        <v>45940</v>
      </c>
      <c r="B2987" s="423" t="s">
        <v>2716</v>
      </c>
      <c r="C2987" s="423" t="s">
        <v>172</v>
      </c>
      <c r="D2987" s="423" t="s">
        <v>115</v>
      </c>
      <c r="E2987" s="471">
        <v>500</v>
      </c>
      <c r="F2987" s="407">
        <f t="shared" si="40"/>
        <v>0.92006815864919278</v>
      </c>
      <c r="G2987" s="408">
        <v>543.43799999999999</v>
      </c>
      <c r="H2987" s="423" t="s">
        <v>185</v>
      </c>
      <c r="I2987" s="423" t="s">
        <v>4008</v>
      </c>
      <c r="J2987" s="243" t="s">
        <v>96</v>
      </c>
      <c r="K2987" s="243" t="s">
        <v>1906</v>
      </c>
      <c r="L2987" s="243" t="s">
        <v>153</v>
      </c>
    </row>
    <row r="2988" spans="1:12" ht="15.6" hidden="1">
      <c r="A2988" s="438">
        <v>45940</v>
      </c>
      <c r="B2988" s="423" t="s">
        <v>2717</v>
      </c>
      <c r="C2988" s="423" t="s">
        <v>172</v>
      </c>
      <c r="D2988" s="423" t="s">
        <v>115</v>
      </c>
      <c r="E2988" s="471">
        <v>500</v>
      </c>
      <c r="F2988" s="407">
        <f t="shared" si="40"/>
        <v>0.92006815864919278</v>
      </c>
      <c r="G2988" s="408">
        <v>543.43799999999999</v>
      </c>
      <c r="H2988" s="423" t="s">
        <v>185</v>
      </c>
      <c r="I2988" s="423" t="s">
        <v>4008</v>
      </c>
      <c r="J2988" s="243" t="s">
        <v>96</v>
      </c>
      <c r="K2988" s="243" t="s">
        <v>1906</v>
      </c>
      <c r="L2988" s="243" t="s">
        <v>153</v>
      </c>
    </row>
    <row r="2989" spans="1:12" ht="15.6" hidden="1">
      <c r="A2989" s="438">
        <v>45940</v>
      </c>
      <c r="B2989" s="423" t="s">
        <v>3550</v>
      </c>
      <c r="C2989" s="423" t="s">
        <v>180</v>
      </c>
      <c r="D2989" s="423" t="s">
        <v>116</v>
      </c>
      <c r="E2989" s="464">
        <v>10440</v>
      </c>
      <c r="F2989" s="407">
        <f t="shared" si="40"/>
        <v>19.211023152595146</v>
      </c>
      <c r="G2989" s="408">
        <v>543.43799999999999</v>
      </c>
      <c r="H2989" s="423" t="s">
        <v>185</v>
      </c>
      <c r="I2989" s="456" t="s">
        <v>4012</v>
      </c>
      <c r="J2989" s="243" t="s">
        <v>96</v>
      </c>
      <c r="K2989" s="243" t="s">
        <v>1906</v>
      </c>
      <c r="L2989" s="243" t="s">
        <v>153</v>
      </c>
    </row>
    <row r="2990" spans="1:12" ht="15.6" hidden="1">
      <c r="A2990" s="438">
        <v>45941</v>
      </c>
      <c r="B2990" s="329" t="s">
        <v>3321</v>
      </c>
      <c r="C2990" s="329" t="s">
        <v>3317</v>
      </c>
      <c r="D2990" s="329" t="s">
        <v>115</v>
      </c>
      <c r="E2990" s="451">
        <v>3000</v>
      </c>
      <c r="F2990" s="407">
        <f t="shared" si="40"/>
        <v>5.5204089518951562</v>
      </c>
      <c r="G2990" s="408">
        <v>543.43799999999999</v>
      </c>
      <c r="H2990" s="329" t="s">
        <v>198</v>
      </c>
      <c r="I2990" s="329" t="s">
        <v>3356</v>
      </c>
      <c r="J2990" s="243" t="s">
        <v>96</v>
      </c>
      <c r="K2990" s="243" t="s">
        <v>1906</v>
      </c>
      <c r="L2990" s="243" t="s">
        <v>153</v>
      </c>
    </row>
    <row r="2991" spans="1:12" ht="15.6" hidden="1">
      <c r="A2991" s="438">
        <v>45941</v>
      </c>
      <c r="B2991" s="329" t="s">
        <v>3322</v>
      </c>
      <c r="C2991" s="329" t="s">
        <v>172</v>
      </c>
      <c r="D2991" s="329" t="s">
        <v>115</v>
      </c>
      <c r="E2991" s="451">
        <v>1000</v>
      </c>
      <c r="F2991" s="407">
        <f t="shared" si="40"/>
        <v>1.8401363172983856</v>
      </c>
      <c r="G2991" s="408">
        <v>543.43799999999999</v>
      </c>
      <c r="H2991" s="329" t="s">
        <v>198</v>
      </c>
      <c r="I2991" s="329" t="s">
        <v>3349</v>
      </c>
      <c r="J2991" s="243" t="s">
        <v>96</v>
      </c>
      <c r="K2991" s="243" t="s">
        <v>1906</v>
      </c>
      <c r="L2991" s="243" t="s">
        <v>153</v>
      </c>
    </row>
    <row r="2992" spans="1:12" ht="15.6" hidden="1">
      <c r="A2992" s="438">
        <v>45941</v>
      </c>
      <c r="B2992" s="329" t="s">
        <v>3319</v>
      </c>
      <c r="C2992" s="329" t="s">
        <v>172</v>
      </c>
      <c r="D2992" s="329" t="s">
        <v>115</v>
      </c>
      <c r="E2992" s="451">
        <v>1000</v>
      </c>
      <c r="F2992" s="407">
        <f t="shared" si="40"/>
        <v>1.8401363172983856</v>
      </c>
      <c r="G2992" s="408">
        <v>543.43799999999999</v>
      </c>
      <c r="H2992" s="329" t="s">
        <v>198</v>
      </c>
      <c r="I2992" s="329" t="s">
        <v>3349</v>
      </c>
      <c r="J2992" s="243" t="s">
        <v>96</v>
      </c>
      <c r="K2992" s="243" t="s">
        <v>1906</v>
      </c>
      <c r="L2992" s="243" t="s">
        <v>153</v>
      </c>
    </row>
    <row r="2993" spans="1:12" ht="15.6" hidden="1">
      <c r="A2993" s="438">
        <v>45941</v>
      </c>
      <c r="B2993" s="329" t="s">
        <v>3323</v>
      </c>
      <c r="C2993" s="329" t="s">
        <v>3317</v>
      </c>
      <c r="D2993" s="329" t="s">
        <v>115</v>
      </c>
      <c r="E2993" s="451">
        <v>3000</v>
      </c>
      <c r="F2993" s="407">
        <f t="shared" si="40"/>
        <v>5.5204089518951562</v>
      </c>
      <c r="G2993" s="408">
        <v>543.43799999999999</v>
      </c>
      <c r="H2993" s="329" t="s">
        <v>198</v>
      </c>
      <c r="I2993" s="329" t="s">
        <v>3356</v>
      </c>
      <c r="J2993" s="243" t="s">
        <v>96</v>
      </c>
      <c r="K2993" s="243" t="s">
        <v>1906</v>
      </c>
      <c r="L2993" s="243" t="s">
        <v>153</v>
      </c>
    </row>
    <row r="2994" spans="1:12" ht="15.6" hidden="1">
      <c r="A2994" s="438">
        <v>45941</v>
      </c>
      <c r="B2994" s="329" t="s">
        <v>3325</v>
      </c>
      <c r="C2994" s="329" t="s">
        <v>172</v>
      </c>
      <c r="D2994" s="329" t="s">
        <v>115</v>
      </c>
      <c r="E2994" s="451">
        <v>1000</v>
      </c>
      <c r="F2994" s="407">
        <f t="shared" si="40"/>
        <v>1.8401363172983856</v>
      </c>
      <c r="G2994" s="408">
        <v>543.43799999999999</v>
      </c>
      <c r="H2994" s="329" t="s">
        <v>198</v>
      </c>
      <c r="I2994" s="329" t="s">
        <v>3349</v>
      </c>
      <c r="J2994" s="243" t="s">
        <v>96</v>
      </c>
      <c r="K2994" s="243" t="s">
        <v>1906</v>
      </c>
      <c r="L2994" s="243" t="s">
        <v>153</v>
      </c>
    </row>
    <row r="2995" spans="1:12" ht="15.6" hidden="1">
      <c r="A2995" s="438">
        <v>45941</v>
      </c>
      <c r="B2995" s="329" t="s">
        <v>3319</v>
      </c>
      <c r="C2995" s="329" t="s">
        <v>172</v>
      </c>
      <c r="D2995" s="329" t="s">
        <v>115</v>
      </c>
      <c r="E2995" s="451">
        <v>1000</v>
      </c>
      <c r="F2995" s="407">
        <f t="shared" si="40"/>
        <v>1.8401363172983856</v>
      </c>
      <c r="G2995" s="408">
        <v>543.43799999999999</v>
      </c>
      <c r="H2995" s="329" t="s">
        <v>198</v>
      </c>
      <c r="I2995" s="329" t="s">
        <v>3349</v>
      </c>
      <c r="J2995" s="243" t="s">
        <v>96</v>
      </c>
      <c r="K2995" s="243" t="s">
        <v>1906</v>
      </c>
      <c r="L2995" s="243" t="s">
        <v>153</v>
      </c>
    </row>
    <row r="2996" spans="1:12" ht="15.6" hidden="1">
      <c r="A2996" s="438">
        <v>45941</v>
      </c>
      <c r="B2996" s="243" t="s">
        <v>3383</v>
      </c>
      <c r="C2996" s="423" t="s">
        <v>172</v>
      </c>
      <c r="D2996" s="423" t="s">
        <v>116</v>
      </c>
      <c r="E2996" s="464">
        <v>1500</v>
      </c>
      <c r="F2996" s="407">
        <f t="shared" si="40"/>
        <v>2.7602044759475781</v>
      </c>
      <c r="G2996" s="408">
        <v>543.43799999999999</v>
      </c>
      <c r="H2996" s="423" t="s">
        <v>581</v>
      </c>
      <c r="I2996" s="423" t="s">
        <v>3419</v>
      </c>
      <c r="J2996" s="243" t="s">
        <v>96</v>
      </c>
      <c r="K2996" s="243" t="s">
        <v>1906</v>
      </c>
      <c r="L2996" s="243" t="s">
        <v>153</v>
      </c>
    </row>
    <row r="2997" spans="1:12" ht="15.6" hidden="1">
      <c r="A2997" s="438">
        <v>45941</v>
      </c>
      <c r="B2997" s="243" t="s">
        <v>3384</v>
      </c>
      <c r="C2997" s="423" t="s">
        <v>172</v>
      </c>
      <c r="D2997" s="423" t="s">
        <v>116</v>
      </c>
      <c r="E2997" s="464">
        <v>1500</v>
      </c>
      <c r="F2997" s="407">
        <f t="shared" si="40"/>
        <v>2.7602044759475781</v>
      </c>
      <c r="G2997" s="408">
        <v>543.43799999999999</v>
      </c>
      <c r="H2997" s="423" t="s">
        <v>581</v>
      </c>
      <c r="I2997" s="423" t="s">
        <v>3419</v>
      </c>
      <c r="J2997" s="243" t="s">
        <v>96</v>
      </c>
      <c r="K2997" s="243" t="s">
        <v>1906</v>
      </c>
      <c r="L2997" s="243" t="s">
        <v>153</v>
      </c>
    </row>
    <row r="2998" spans="1:12" ht="15.6" hidden="1">
      <c r="A2998" s="438">
        <v>45941</v>
      </c>
      <c r="B2998" s="243" t="s">
        <v>3551</v>
      </c>
      <c r="C2998" s="243" t="s">
        <v>172</v>
      </c>
      <c r="D2998" s="243" t="s">
        <v>115</v>
      </c>
      <c r="E2998" s="463">
        <v>1000</v>
      </c>
      <c r="F2998" s="407">
        <f t="shared" si="40"/>
        <v>1.8401363172983856</v>
      </c>
      <c r="G2998" s="408">
        <v>543.43799999999999</v>
      </c>
      <c r="H2998" s="243" t="s">
        <v>188</v>
      </c>
      <c r="I2998" s="243" t="s">
        <v>3594</v>
      </c>
      <c r="J2998" s="243" t="s">
        <v>96</v>
      </c>
      <c r="K2998" s="243" t="s">
        <v>1906</v>
      </c>
      <c r="L2998" s="243" t="s">
        <v>153</v>
      </c>
    </row>
    <row r="2999" spans="1:12" ht="15.6" hidden="1">
      <c r="A2999" s="438">
        <v>45941</v>
      </c>
      <c r="B2999" s="243" t="s">
        <v>2843</v>
      </c>
      <c r="C2999" s="243" t="s">
        <v>172</v>
      </c>
      <c r="D2999" s="243" t="s">
        <v>115</v>
      </c>
      <c r="E2999" s="463">
        <v>1000</v>
      </c>
      <c r="F2999" s="407">
        <f t="shared" si="40"/>
        <v>1.8401363172983856</v>
      </c>
      <c r="G2999" s="408">
        <v>543.43799999999999</v>
      </c>
      <c r="H2999" s="243" t="s">
        <v>188</v>
      </c>
      <c r="I2999" s="243" t="s">
        <v>3594</v>
      </c>
      <c r="J2999" s="243" t="s">
        <v>96</v>
      </c>
      <c r="K2999" s="243" t="s">
        <v>1906</v>
      </c>
      <c r="L2999" s="243" t="s">
        <v>153</v>
      </c>
    </row>
    <row r="3000" spans="1:12" ht="15.6" hidden="1">
      <c r="A3000" s="438">
        <v>45942</v>
      </c>
      <c r="B3000" s="329" t="s">
        <v>3321</v>
      </c>
      <c r="C3000" s="329" t="s">
        <v>3317</v>
      </c>
      <c r="D3000" s="329" t="s">
        <v>115</v>
      </c>
      <c r="E3000" s="451">
        <v>3000</v>
      </c>
      <c r="F3000" s="407">
        <f t="shared" si="40"/>
        <v>5.5204089518951562</v>
      </c>
      <c r="G3000" s="408">
        <v>543.43799999999999</v>
      </c>
      <c r="H3000" s="329" t="s">
        <v>198</v>
      </c>
      <c r="I3000" s="329" t="s">
        <v>3356</v>
      </c>
      <c r="J3000" s="243" t="s">
        <v>96</v>
      </c>
      <c r="K3000" s="243" t="s">
        <v>1906</v>
      </c>
      <c r="L3000" s="243" t="s">
        <v>153</v>
      </c>
    </row>
    <row r="3001" spans="1:12" ht="15.6" hidden="1">
      <c r="A3001" s="438">
        <v>45942</v>
      </c>
      <c r="B3001" s="329" t="s">
        <v>3322</v>
      </c>
      <c r="C3001" s="329" t="s">
        <v>172</v>
      </c>
      <c r="D3001" s="329" t="s">
        <v>115</v>
      </c>
      <c r="E3001" s="451">
        <v>1000</v>
      </c>
      <c r="F3001" s="407">
        <f t="shared" si="40"/>
        <v>1.8401363172983856</v>
      </c>
      <c r="G3001" s="408">
        <v>543.43799999999999</v>
      </c>
      <c r="H3001" s="329" t="s">
        <v>198</v>
      </c>
      <c r="I3001" s="329" t="s">
        <v>3349</v>
      </c>
      <c r="J3001" s="243" t="s">
        <v>96</v>
      </c>
      <c r="K3001" s="243" t="s">
        <v>1906</v>
      </c>
      <c r="L3001" s="243" t="s">
        <v>153</v>
      </c>
    </row>
    <row r="3002" spans="1:12" ht="15.6" hidden="1">
      <c r="A3002" s="438">
        <v>45942</v>
      </c>
      <c r="B3002" s="329" t="s">
        <v>3319</v>
      </c>
      <c r="C3002" s="329" t="s">
        <v>172</v>
      </c>
      <c r="D3002" s="329" t="s">
        <v>115</v>
      </c>
      <c r="E3002" s="451">
        <v>1000</v>
      </c>
      <c r="F3002" s="407">
        <f t="shared" si="40"/>
        <v>1.8401363172983856</v>
      </c>
      <c r="G3002" s="408">
        <v>543.43799999999999</v>
      </c>
      <c r="H3002" s="329" t="s">
        <v>198</v>
      </c>
      <c r="I3002" s="329" t="s">
        <v>3349</v>
      </c>
      <c r="J3002" s="243" t="s">
        <v>96</v>
      </c>
      <c r="K3002" s="243" t="s">
        <v>1906</v>
      </c>
      <c r="L3002" s="243" t="s">
        <v>153</v>
      </c>
    </row>
    <row r="3003" spans="1:12" ht="15.6" hidden="1">
      <c r="A3003" s="438">
        <v>45942</v>
      </c>
      <c r="B3003" s="329" t="s">
        <v>3327</v>
      </c>
      <c r="C3003" s="329" t="s">
        <v>172</v>
      </c>
      <c r="D3003" s="329" t="s">
        <v>115</v>
      </c>
      <c r="E3003" s="451">
        <v>1000</v>
      </c>
      <c r="F3003" s="407">
        <f t="shared" si="40"/>
        <v>1.8401363172983856</v>
      </c>
      <c r="G3003" s="408">
        <v>543.43799999999999</v>
      </c>
      <c r="H3003" s="329" t="s">
        <v>198</v>
      </c>
      <c r="I3003" s="329" t="s">
        <v>3349</v>
      </c>
      <c r="J3003" s="243" t="s">
        <v>96</v>
      </c>
      <c r="K3003" s="243" t="s">
        <v>1906</v>
      </c>
      <c r="L3003" s="243" t="s">
        <v>153</v>
      </c>
    </row>
    <row r="3004" spans="1:12" ht="15.6" hidden="1">
      <c r="A3004" s="438">
        <v>45942</v>
      </c>
      <c r="B3004" s="329" t="s">
        <v>3287</v>
      </c>
      <c r="C3004" s="329" t="s">
        <v>3288</v>
      </c>
      <c r="D3004" s="329" t="s">
        <v>115</v>
      </c>
      <c r="E3004" s="451">
        <v>24750</v>
      </c>
      <c r="F3004" s="407">
        <f t="shared" si="40"/>
        <v>45.543373853135044</v>
      </c>
      <c r="G3004" s="408">
        <v>543.43799999999999</v>
      </c>
      <c r="H3004" s="329" t="s">
        <v>198</v>
      </c>
      <c r="I3004" s="329" t="s">
        <v>3357</v>
      </c>
      <c r="J3004" s="243" t="s">
        <v>96</v>
      </c>
      <c r="K3004" s="243" t="s">
        <v>1906</v>
      </c>
      <c r="L3004" s="243" t="s">
        <v>153</v>
      </c>
    </row>
    <row r="3005" spans="1:12" ht="15.6" hidden="1">
      <c r="A3005" s="438">
        <v>45942</v>
      </c>
      <c r="B3005" s="329" t="s">
        <v>3328</v>
      </c>
      <c r="C3005" s="329" t="s">
        <v>172</v>
      </c>
      <c r="D3005" s="329" t="s">
        <v>115</v>
      </c>
      <c r="E3005" s="451">
        <v>1000</v>
      </c>
      <c r="F3005" s="407">
        <f t="shared" si="40"/>
        <v>1.8401363172983856</v>
      </c>
      <c r="G3005" s="408">
        <v>543.43799999999999</v>
      </c>
      <c r="H3005" s="329" t="s">
        <v>198</v>
      </c>
      <c r="I3005" s="329" t="s">
        <v>3349</v>
      </c>
      <c r="J3005" s="243" t="s">
        <v>96</v>
      </c>
      <c r="K3005" s="243" t="s">
        <v>1906</v>
      </c>
      <c r="L3005" s="243" t="s">
        <v>153</v>
      </c>
    </row>
    <row r="3006" spans="1:12" ht="15.6" hidden="1">
      <c r="A3006" s="438">
        <v>45942</v>
      </c>
      <c r="B3006" s="329" t="s">
        <v>3323</v>
      </c>
      <c r="C3006" s="329" t="s">
        <v>3317</v>
      </c>
      <c r="D3006" s="329" t="s">
        <v>115</v>
      </c>
      <c r="E3006" s="451">
        <v>3000</v>
      </c>
      <c r="F3006" s="407">
        <f t="shared" si="40"/>
        <v>5.5204089518951562</v>
      </c>
      <c r="G3006" s="408">
        <v>543.43799999999999</v>
      </c>
      <c r="H3006" s="329" t="s">
        <v>198</v>
      </c>
      <c r="I3006" s="329" t="s">
        <v>3356</v>
      </c>
      <c r="J3006" s="243" t="s">
        <v>96</v>
      </c>
      <c r="K3006" s="243" t="s">
        <v>1906</v>
      </c>
      <c r="L3006" s="243" t="s">
        <v>153</v>
      </c>
    </row>
    <row r="3007" spans="1:12" ht="15.6" hidden="1">
      <c r="A3007" s="438">
        <v>45942</v>
      </c>
      <c r="B3007" s="329" t="s">
        <v>3325</v>
      </c>
      <c r="C3007" s="329" t="s">
        <v>172</v>
      </c>
      <c r="D3007" s="329" t="s">
        <v>115</v>
      </c>
      <c r="E3007" s="451">
        <v>1000</v>
      </c>
      <c r="F3007" s="407">
        <f t="shared" si="40"/>
        <v>1.8401363172983856</v>
      </c>
      <c r="G3007" s="408">
        <v>543.43799999999999</v>
      </c>
      <c r="H3007" s="329" t="s">
        <v>198</v>
      </c>
      <c r="I3007" s="329" t="s">
        <v>3349</v>
      </c>
      <c r="J3007" s="243" t="s">
        <v>96</v>
      </c>
      <c r="K3007" s="243" t="s">
        <v>1906</v>
      </c>
      <c r="L3007" s="243" t="s">
        <v>153</v>
      </c>
    </row>
    <row r="3008" spans="1:12" ht="15.6" hidden="1">
      <c r="A3008" s="438">
        <v>45942</v>
      </c>
      <c r="B3008" s="329" t="s">
        <v>3319</v>
      </c>
      <c r="C3008" s="329" t="s">
        <v>172</v>
      </c>
      <c r="D3008" s="329" t="s">
        <v>115</v>
      </c>
      <c r="E3008" s="451">
        <v>1000</v>
      </c>
      <c r="F3008" s="407">
        <f t="shared" si="40"/>
        <v>1.8401363172983856</v>
      </c>
      <c r="G3008" s="408">
        <v>543.43799999999999</v>
      </c>
      <c r="H3008" s="329" t="s">
        <v>198</v>
      </c>
      <c r="I3008" s="329" t="s">
        <v>3349</v>
      </c>
      <c r="J3008" s="243" t="s">
        <v>96</v>
      </c>
      <c r="K3008" s="243" t="s">
        <v>1906</v>
      </c>
      <c r="L3008" s="243" t="s">
        <v>153</v>
      </c>
    </row>
    <row r="3009" spans="1:12" ht="15.6" hidden="1">
      <c r="A3009" s="438">
        <v>45943</v>
      </c>
      <c r="B3009" s="239" t="s">
        <v>2103</v>
      </c>
      <c r="C3009" s="453" t="s">
        <v>172</v>
      </c>
      <c r="D3009" s="453" t="s">
        <v>117</v>
      </c>
      <c r="E3009" s="458">
        <v>1000</v>
      </c>
      <c r="F3009" s="407">
        <f t="shared" si="40"/>
        <v>1.8401363172983856</v>
      </c>
      <c r="G3009" s="408">
        <v>543.43799999999999</v>
      </c>
      <c r="H3009" s="454" t="s">
        <v>151</v>
      </c>
      <c r="I3009" s="239" t="s">
        <v>3264</v>
      </c>
      <c r="J3009" s="243" t="s">
        <v>96</v>
      </c>
      <c r="K3009" s="243" t="s">
        <v>1906</v>
      </c>
      <c r="L3009" s="243" t="s">
        <v>153</v>
      </c>
    </row>
    <row r="3010" spans="1:12" ht="15.6" hidden="1">
      <c r="A3010" s="438">
        <v>45943</v>
      </c>
      <c r="B3010" s="239" t="s">
        <v>2387</v>
      </c>
      <c r="C3010" s="453" t="s">
        <v>172</v>
      </c>
      <c r="D3010" s="453" t="s">
        <v>117</v>
      </c>
      <c r="E3010" s="458">
        <v>1000</v>
      </c>
      <c r="F3010" s="407">
        <f t="shared" si="40"/>
        <v>1.8401363172983856</v>
      </c>
      <c r="G3010" s="408">
        <v>543.43799999999999</v>
      </c>
      <c r="H3010" s="454" t="s">
        <v>151</v>
      </c>
      <c r="I3010" s="239" t="s">
        <v>3264</v>
      </c>
      <c r="J3010" s="243" t="s">
        <v>96</v>
      </c>
      <c r="K3010" s="243" t="s">
        <v>1906</v>
      </c>
      <c r="L3010" s="243" t="s">
        <v>153</v>
      </c>
    </row>
    <row r="3011" spans="1:12" ht="15.6" hidden="1">
      <c r="A3011" s="438">
        <v>45943</v>
      </c>
      <c r="B3011" s="239" t="s">
        <v>3239</v>
      </c>
      <c r="C3011" s="453" t="s">
        <v>150</v>
      </c>
      <c r="D3011" s="453" t="s">
        <v>117</v>
      </c>
      <c r="E3011" s="458">
        <v>12500</v>
      </c>
      <c r="F3011" s="407">
        <f t="shared" si="40"/>
        <v>23.001703966229819</v>
      </c>
      <c r="G3011" s="408">
        <v>543.43799999999999</v>
      </c>
      <c r="H3011" s="454" t="s">
        <v>151</v>
      </c>
      <c r="I3011" s="239" t="s">
        <v>3270</v>
      </c>
      <c r="J3011" s="243" t="s">
        <v>96</v>
      </c>
      <c r="K3011" s="243" t="s">
        <v>1906</v>
      </c>
      <c r="L3011" s="243" t="s">
        <v>153</v>
      </c>
    </row>
    <row r="3012" spans="1:12" ht="15.6" hidden="1">
      <c r="A3012" s="438">
        <v>45943</v>
      </c>
      <c r="B3012" s="329" t="s">
        <v>3321</v>
      </c>
      <c r="C3012" s="329" t="s">
        <v>3317</v>
      </c>
      <c r="D3012" s="329" t="s">
        <v>115</v>
      </c>
      <c r="E3012" s="451">
        <v>3000</v>
      </c>
      <c r="F3012" s="407">
        <f t="shared" si="40"/>
        <v>5.5204089518951562</v>
      </c>
      <c r="G3012" s="408">
        <v>543.43799999999999</v>
      </c>
      <c r="H3012" s="329" t="s">
        <v>198</v>
      </c>
      <c r="I3012" s="329" t="s">
        <v>3356</v>
      </c>
      <c r="J3012" s="243" t="s">
        <v>96</v>
      </c>
      <c r="K3012" s="243" t="s">
        <v>1906</v>
      </c>
      <c r="L3012" s="243" t="s">
        <v>153</v>
      </c>
    </row>
    <row r="3013" spans="1:12" ht="15.6" hidden="1">
      <c r="A3013" s="438">
        <v>45943</v>
      </c>
      <c r="B3013" s="329" t="s">
        <v>3322</v>
      </c>
      <c r="C3013" s="329" t="s">
        <v>172</v>
      </c>
      <c r="D3013" s="329" t="s">
        <v>115</v>
      </c>
      <c r="E3013" s="451">
        <v>1000</v>
      </c>
      <c r="F3013" s="407">
        <f t="shared" si="40"/>
        <v>1.8401363172983856</v>
      </c>
      <c r="G3013" s="408">
        <v>543.43799999999999</v>
      </c>
      <c r="H3013" s="329" t="s">
        <v>198</v>
      </c>
      <c r="I3013" s="329" t="s">
        <v>3349</v>
      </c>
      <c r="J3013" s="243" t="s">
        <v>96</v>
      </c>
      <c r="K3013" s="243" t="s">
        <v>1906</v>
      </c>
      <c r="L3013" s="243" t="s">
        <v>153</v>
      </c>
    </row>
    <row r="3014" spans="1:12" ht="15.6" hidden="1">
      <c r="A3014" s="438">
        <v>45943</v>
      </c>
      <c r="B3014" s="329" t="s">
        <v>3319</v>
      </c>
      <c r="C3014" s="329" t="s">
        <v>172</v>
      </c>
      <c r="D3014" s="329" t="s">
        <v>115</v>
      </c>
      <c r="E3014" s="451">
        <v>1000</v>
      </c>
      <c r="F3014" s="407">
        <f t="shared" si="40"/>
        <v>1.8401363172983856</v>
      </c>
      <c r="G3014" s="408">
        <v>543.43799999999999</v>
      </c>
      <c r="H3014" s="329" t="s">
        <v>198</v>
      </c>
      <c r="I3014" s="329" t="s">
        <v>3349</v>
      </c>
      <c r="J3014" s="243" t="s">
        <v>96</v>
      </c>
      <c r="K3014" s="243" t="s">
        <v>1906</v>
      </c>
      <c r="L3014" s="243" t="s">
        <v>153</v>
      </c>
    </row>
    <row r="3015" spans="1:12" ht="15.6" hidden="1">
      <c r="A3015" s="438">
        <v>45943</v>
      </c>
      <c r="B3015" s="329" t="s">
        <v>3329</v>
      </c>
      <c r="C3015" s="329" t="s">
        <v>172</v>
      </c>
      <c r="D3015" s="329" t="s">
        <v>115</v>
      </c>
      <c r="E3015" s="451">
        <v>1000</v>
      </c>
      <c r="F3015" s="407">
        <f t="shared" si="40"/>
        <v>1.8401363172983856</v>
      </c>
      <c r="G3015" s="408">
        <v>543.43799999999999</v>
      </c>
      <c r="H3015" s="329" t="s">
        <v>198</v>
      </c>
      <c r="I3015" s="329" t="s">
        <v>3349</v>
      </c>
      <c r="J3015" s="243" t="s">
        <v>96</v>
      </c>
      <c r="K3015" s="243" t="s">
        <v>1906</v>
      </c>
      <c r="L3015" s="243" t="s">
        <v>153</v>
      </c>
    </row>
    <row r="3016" spans="1:12" ht="15.6" hidden="1">
      <c r="A3016" s="438">
        <v>45943</v>
      </c>
      <c r="B3016" s="439" t="s">
        <v>3289</v>
      </c>
      <c r="C3016" s="439" t="s">
        <v>150</v>
      </c>
      <c r="D3016" s="439" t="s">
        <v>115</v>
      </c>
      <c r="E3016" s="451">
        <v>10000</v>
      </c>
      <c r="F3016" s="407">
        <f t="shared" si="40"/>
        <v>18.401363172983856</v>
      </c>
      <c r="G3016" s="408">
        <v>543.43799999999999</v>
      </c>
      <c r="H3016" s="329" t="s">
        <v>198</v>
      </c>
      <c r="I3016" s="329" t="s">
        <v>3358</v>
      </c>
      <c r="J3016" s="243" t="s">
        <v>96</v>
      </c>
      <c r="K3016" s="243" t="s">
        <v>1906</v>
      </c>
      <c r="L3016" s="243" t="s">
        <v>153</v>
      </c>
    </row>
    <row r="3017" spans="1:12" ht="15.6" hidden="1">
      <c r="A3017" s="438">
        <v>45943</v>
      </c>
      <c r="B3017" s="329" t="s">
        <v>3330</v>
      </c>
      <c r="C3017" s="329" t="s">
        <v>172</v>
      </c>
      <c r="D3017" s="329" t="s">
        <v>115</v>
      </c>
      <c r="E3017" s="451">
        <v>1000</v>
      </c>
      <c r="F3017" s="407">
        <f t="shared" si="40"/>
        <v>1.8401363172983856</v>
      </c>
      <c r="G3017" s="408">
        <v>543.43799999999999</v>
      </c>
      <c r="H3017" s="329" t="s">
        <v>198</v>
      </c>
      <c r="I3017" s="329" t="s">
        <v>3349</v>
      </c>
      <c r="J3017" s="243" t="s">
        <v>96</v>
      </c>
      <c r="K3017" s="243" t="s">
        <v>1906</v>
      </c>
      <c r="L3017" s="243" t="s">
        <v>153</v>
      </c>
    </row>
    <row r="3018" spans="1:12" ht="15.6" hidden="1">
      <c r="A3018" s="438">
        <v>45943</v>
      </c>
      <c r="B3018" s="243" t="s">
        <v>3385</v>
      </c>
      <c r="C3018" s="423" t="s">
        <v>172</v>
      </c>
      <c r="D3018" s="423" t="s">
        <v>116</v>
      </c>
      <c r="E3018" s="464">
        <v>1000</v>
      </c>
      <c r="F3018" s="407">
        <f t="shared" si="40"/>
        <v>1.8401363172983856</v>
      </c>
      <c r="G3018" s="408">
        <v>543.43799999999999</v>
      </c>
      <c r="H3018" s="423" t="s">
        <v>581</v>
      </c>
      <c r="I3018" s="423" t="s">
        <v>3419</v>
      </c>
      <c r="J3018" s="243" t="s">
        <v>96</v>
      </c>
      <c r="K3018" s="243" t="s">
        <v>1906</v>
      </c>
      <c r="L3018" s="243" t="s">
        <v>153</v>
      </c>
    </row>
    <row r="3019" spans="1:12" ht="15.6" hidden="1">
      <c r="A3019" s="438">
        <v>45943</v>
      </c>
      <c r="B3019" s="243" t="s">
        <v>2884</v>
      </c>
      <c r="C3019" s="423" t="s">
        <v>172</v>
      </c>
      <c r="D3019" s="423" t="s">
        <v>116</v>
      </c>
      <c r="E3019" s="464">
        <v>1000</v>
      </c>
      <c r="F3019" s="407">
        <f t="shared" si="40"/>
        <v>1.8401363172983856</v>
      </c>
      <c r="G3019" s="408">
        <v>543.43799999999999</v>
      </c>
      <c r="H3019" s="423" t="s">
        <v>581</v>
      </c>
      <c r="I3019" s="423" t="s">
        <v>3419</v>
      </c>
      <c r="J3019" s="243" t="s">
        <v>96</v>
      </c>
      <c r="K3019" s="243" t="s">
        <v>1906</v>
      </c>
      <c r="L3019" s="243" t="s">
        <v>153</v>
      </c>
    </row>
    <row r="3020" spans="1:12" ht="15.6" hidden="1">
      <c r="A3020" s="438">
        <v>45943</v>
      </c>
      <c r="B3020" s="243" t="s">
        <v>3375</v>
      </c>
      <c r="C3020" s="423" t="s">
        <v>172</v>
      </c>
      <c r="D3020" s="423" t="s">
        <v>116</v>
      </c>
      <c r="E3020" s="464">
        <v>1000</v>
      </c>
      <c r="F3020" s="407">
        <f t="shared" si="40"/>
        <v>1.8401363172983856</v>
      </c>
      <c r="G3020" s="408">
        <v>543.43799999999999</v>
      </c>
      <c r="H3020" s="423" t="s">
        <v>581</v>
      </c>
      <c r="I3020" s="423" t="s">
        <v>3419</v>
      </c>
      <c r="J3020" s="243" t="s">
        <v>96</v>
      </c>
      <c r="K3020" s="243" t="s">
        <v>1906</v>
      </c>
      <c r="L3020" s="243" t="s">
        <v>153</v>
      </c>
    </row>
    <row r="3021" spans="1:12" ht="15.6" hidden="1">
      <c r="A3021" s="438">
        <v>45943</v>
      </c>
      <c r="B3021" s="243" t="s">
        <v>2875</v>
      </c>
      <c r="C3021" s="423" t="s">
        <v>172</v>
      </c>
      <c r="D3021" s="423" t="s">
        <v>116</v>
      </c>
      <c r="E3021" s="464">
        <v>1000</v>
      </c>
      <c r="F3021" s="407">
        <f t="shared" si="40"/>
        <v>1.8401363172983856</v>
      </c>
      <c r="G3021" s="408">
        <v>543.43799999999999</v>
      </c>
      <c r="H3021" s="423" t="s">
        <v>581</v>
      </c>
      <c r="I3021" s="423" t="s">
        <v>3419</v>
      </c>
      <c r="J3021" s="243" t="s">
        <v>96</v>
      </c>
      <c r="K3021" s="243" t="s">
        <v>1906</v>
      </c>
      <c r="L3021" s="243" t="s">
        <v>153</v>
      </c>
    </row>
    <row r="3022" spans="1:12" ht="15.6" hidden="1">
      <c r="A3022" s="438">
        <v>45943</v>
      </c>
      <c r="B3022" s="243" t="s">
        <v>3386</v>
      </c>
      <c r="C3022" s="422" t="s">
        <v>150</v>
      </c>
      <c r="D3022" s="243" t="s">
        <v>117</v>
      </c>
      <c r="E3022" s="464">
        <v>7500</v>
      </c>
      <c r="F3022" s="407">
        <f t="shared" si="40"/>
        <v>13.801022379737891</v>
      </c>
      <c r="G3022" s="408">
        <v>543.43799999999999</v>
      </c>
      <c r="H3022" s="423" t="s">
        <v>581</v>
      </c>
      <c r="I3022" s="423" t="s">
        <v>3424</v>
      </c>
      <c r="J3022" s="243" t="s">
        <v>96</v>
      </c>
      <c r="K3022" s="243" t="s">
        <v>1906</v>
      </c>
      <c r="L3022" s="243" t="s">
        <v>153</v>
      </c>
    </row>
    <row r="3023" spans="1:12" ht="15.6" hidden="1">
      <c r="A3023" s="438">
        <v>45943</v>
      </c>
      <c r="B3023" s="331" t="s">
        <v>4917</v>
      </c>
      <c r="C3023" s="331" t="s">
        <v>172</v>
      </c>
      <c r="D3023" s="331" t="s">
        <v>119</v>
      </c>
      <c r="E3023" s="459">
        <v>1000</v>
      </c>
      <c r="F3023" s="407">
        <f t="shared" si="40"/>
        <v>1.8401363172983856</v>
      </c>
      <c r="G3023" s="408">
        <v>543.43799999999999</v>
      </c>
      <c r="H3023" s="331" t="s">
        <v>182</v>
      </c>
      <c r="I3023" s="331" t="s">
        <v>3447</v>
      </c>
      <c r="J3023" s="243" t="s">
        <v>96</v>
      </c>
      <c r="K3023" s="243" t="s">
        <v>1906</v>
      </c>
      <c r="L3023" s="243" t="s">
        <v>153</v>
      </c>
    </row>
    <row r="3024" spans="1:12" ht="15.6" hidden="1">
      <c r="A3024" s="438">
        <v>45943</v>
      </c>
      <c r="B3024" s="331" t="s">
        <v>4917</v>
      </c>
      <c r="C3024" s="331" t="s">
        <v>172</v>
      </c>
      <c r="D3024" s="331" t="s">
        <v>119</v>
      </c>
      <c r="E3024" s="459">
        <v>1000</v>
      </c>
      <c r="F3024" s="407">
        <f t="shared" si="40"/>
        <v>1.8401363172983856</v>
      </c>
      <c r="G3024" s="408">
        <v>543.43799999999999</v>
      </c>
      <c r="H3024" s="331" t="s">
        <v>182</v>
      </c>
      <c r="I3024" s="331" t="s">
        <v>3447</v>
      </c>
      <c r="J3024" s="243" t="s">
        <v>96</v>
      </c>
      <c r="K3024" s="243" t="s">
        <v>1906</v>
      </c>
      <c r="L3024" s="243" t="s">
        <v>153</v>
      </c>
    </row>
    <row r="3025" spans="1:12" ht="15.6" hidden="1">
      <c r="A3025" s="438">
        <v>45943</v>
      </c>
      <c r="B3025" s="331" t="s">
        <v>4917</v>
      </c>
      <c r="C3025" s="331" t="s">
        <v>172</v>
      </c>
      <c r="D3025" s="331" t="s">
        <v>119</v>
      </c>
      <c r="E3025" s="459">
        <v>1000</v>
      </c>
      <c r="F3025" s="407">
        <f t="shared" si="40"/>
        <v>1.8401363172983856</v>
      </c>
      <c r="G3025" s="408">
        <v>543.43799999999999</v>
      </c>
      <c r="H3025" s="331" t="s">
        <v>182</v>
      </c>
      <c r="I3025" s="331" t="s">
        <v>3447</v>
      </c>
      <c r="J3025" s="243" t="s">
        <v>96</v>
      </c>
      <c r="K3025" s="243" t="s">
        <v>1906</v>
      </c>
      <c r="L3025" s="243" t="s">
        <v>153</v>
      </c>
    </row>
    <row r="3026" spans="1:12" ht="15.6" hidden="1">
      <c r="A3026" s="438">
        <v>45943</v>
      </c>
      <c r="B3026" s="331" t="s">
        <v>4917</v>
      </c>
      <c r="C3026" s="331" t="s">
        <v>172</v>
      </c>
      <c r="D3026" s="331" t="s">
        <v>119</v>
      </c>
      <c r="E3026" s="459">
        <v>1500</v>
      </c>
      <c r="F3026" s="407">
        <f t="shared" ref="F3026:F3072" si="41">E3026/G3026</f>
        <v>2.7602044759475781</v>
      </c>
      <c r="G3026" s="408">
        <v>543.43799999999999</v>
      </c>
      <c r="H3026" s="331" t="s">
        <v>182</v>
      </c>
      <c r="I3026" s="331" t="s">
        <v>3447</v>
      </c>
      <c r="J3026" s="243" t="s">
        <v>96</v>
      </c>
      <c r="K3026" s="243" t="s">
        <v>1906</v>
      </c>
      <c r="L3026" s="243" t="s">
        <v>153</v>
      </c>
    </row>
    <row r="3027" spans="1:12" ht="15.6" hidden="1">
      <c r="A3027" s="438">
        <v>45943</v>
      </c>
      <c r="B3027" s="331" t="s">
        <v>2932</v>
      </c>
      <c r="C3027" s="331" t="s">
        <v>366</v>
      </c>
      <c r="D3027" s="331" t="s">
        <v>119</v>
      </c>
      <c r="E3027" s="459">
        <v>1000</v>
      </c>
      <c r="F3027" s="407">
        <f t="shared" si="41"/>
        <v>1.8401363172983856</v>
      </c>
      <c r="G3027" s="408">
        <v>543.43799999999999</v>
      </c>
      <c r="H3027" s="331" t="s">
        <v>182</v>
      </c>
      <c r="I3027" s="331" t="s">
        <v>3456</v>
      </c>
      <c r="J3027" s="243" t="s">
        <v>96</v>
      </c>
      <c r="K3027" s="243" t="s">
        <v>1906</v>
      </c>
      <c r="L3027" s="243" t="s">
        <v>153</v>
      </c>
    </row>
    <row r="3028" spans="1:12" ht="15.6" hidden="1">
      <c r="A3028" s="438">
        <v>45943</v>
      </c>
      <c r="B3028" s="331" t="s">
        <v>3440</v>
      </c>
      <c r="C3028" s="331" t="s">
        <v>150</v>
      </c>
      <c r="D3028" s="331" t="s">
        <v>2472</v>
      </c>
      <c r="E3028" s="459">
        <v>10000</v>
      </c>
      <c r="F3028" s="407">
        <f t="shared" si="41"/>
        <v>18.401363172983856</v>
      </c>
      <c r="G3028" s="408">
        <v>543.43799999999999</v>
      </c>
      <c r="H3028" s="331" t="s">
        <v>182</v>
      </c>
      <c r="I3028" s="331" t="s">
        <v>3457</v>
      </c>
      <c r="J3028" s="243" t="s">
        <v>96</v>
      </c>
      <c r="K3028" s="243" t="s">
        <v>1906</v>
      </c>
      <c r="L3028" s="243" t="s">
        <v>153</v>
      </c>
    </row>
    <row r="3029" spans="1:12" ht="15.6" hidden="1">
      <c r="A3029" s="438">
        <v>45943</v>
      </c>
      <c r="B3029" s="331" t="s">
        <v>3474</v>
      </c>
      <c r="C3029" s="331" t="s">
        <v>150</v>
      </c>
      <c r="D3029" s="243" t="s">
        <v>119</v>
      </c>
      <c r="E3029" s="471">
        <v>10000</v>
      </c>
      <c r="F3029" s="407">
        <f t="shared" si="41"/>
        <v>18.401363172983856</v>
      </c>
      <c r="G3029" s="408">
        <v>543.43799999999999</v>
      </c>
      <c r="H3029" s="423" t="s">
        <v>173</v>
      </c>
      <c r="I3029" s="423" t="s">
        <v>3490</v>
      </c>
      <c r="J3029" s="243" t="s">
        <v>96</v>
      </c>
      <c r="K3029" s="243" t="s">
        <v>1906</v>
      </c>
      <c r="L3029" s="243" t="s">
        <v>153</v>
      </c>
    </row>
    <row r="3030" spans="1:12" ht="15.6" hidden="1">
      <c r="A3030" s="438">
        <v>45943</v>
      </c>
      <c r="B3030" s="243" t="s">
        <v>4876</v>
      </c>
      <c r="C3030" s="243" t="s">
        <v>172</v>
      </c>
      <c r="D3030" s="243" t="s">
        <v>119</v>
      </c>
      <c r="E3030" s="460">
        <v>1000</v>
      </c>
      <c r="F3030" s="407">
        <f t="shared" si="41"/>
        <v>1.8401363172983856</v>
      </c>
      <c r="G3030" s="408">
        <v>543.43799999999999</v>
      </c>
      <c r="H3030" s="243" t="s">
        <v>315</v>
      </c>
      <c r="I3030" s="243" t="s">
        <v>3510</v>
      </c>
      <c r="J3030" s="243" t="s">
        <v>96</v>
      </c>
      <c r="K3030" s="243" t="s">
        <v>1906</v>
      </c>
      <c r="L3030" s="243" t="s">
        <v>153</v>
      </c>
    </row>
    <row r="3031" spans="1:12" ht="15.6" hidden="1">
      <c r="A3031" s="438">
        <v>45943</v>
      </c>
      <c r="B3031" s="243" t="s">
        <v>4876</v>
      </c>
      <c r="C3031" s="243" t="s">
        <v>172</v>
      </c>
      <c r="D3031" s="243" t="s">
        <v>119</v>
      </c>
      <c r="E3031" s="460">
        <v>1500</v>
      </c>
      <c r="F3031" s="407">
        <f t="shared" si="41"/>
        <v>2.7602044759475781</v>
      </c>
      <c r="G3031" s="408">
        <v>543.43799999999999</v>
      </c>
      <c r="H3031" s="243" t="s">
        <v>315</v>
      </c>
      <c r="I3031" s="243" t="s">
        <v>3510</v>
      </c>
      <c r="J3031" s="243" t="s">
        <v>96</v>
      </c>
      <c r="K3031" s="243" t="s">
        <v>1906</v>
      </c>
      <c r="L3031" s="243" t="s">
        <v>153</v>
      </c>
    </row>
    <row r="3032" spans="1:12" ht="15.6" hidden="1">
      <c r="A3032" s="438">
        <v>45943</v>
      </c>
      <c r="B3032" s="243" t="s">
        <v>4876</v>
      </c>
      <c r="C3032" s="243" t="s">
        <v>172</v>
      </c>
      <c r="D3032" s="243" t="s">
        <v>119</v>
      </c>
      <c r="E3032" s="460">
        <v>2500</v>
      </c>
      <c r="F3032" s="407">
        <f t="shared" si="41"/>
        <v>4.6003407932459641</v>
      </c>
      <c r="G3032" s="408">
        <v>543.43799999999999</v>
      </c>
      <c r="H3032" s="243" t="s">
        <v>315</v>
      </c>
      <c r="I3032" s="243" t="s">
        <v>3510</v>
      </c>
      <c r="J3032" s="243" t="s">
        <v>96</v>
      </c>
      <c r="K3032" s="243" t="s">
        <v>1906</v>
      </c>
      <c r="L3032" s="243" t="s">
        <v>153</v>
      </c>
    </row>
    <row r="3033" spans="1:12" ht="15.6" hidden="1">
      <c r="A3033" s="438">
        <v>45943</v>
      </c>
      <c r="B3033" s="243" t="s">
        <v>3507</v>
      </c>
      <c r="C3033" s="243" t="s">
        <v>150</v>
      </c>
      <c r="D3033" s="243" t="s">
        <v>119</v>
      </c>
      <c r="E3033" s="460">
        <v>10000</v>
      </c>
      <c r="F3033" s="407">
        <f t="shared" si="41"/>
        <v>18.401363172983856</v>
      </c>
      <c r="G3033" s="408">
        <v>543.43799999999999</v>
      </c>
      <c r="H3033" s="243" t="s">
        <v>315</v>
      </c>
      <c r="I3033" s="243" t="s">
        <v>3511</v>
      </c>
      <c r="J3033" s="243" t="s">
        <v>96</v>
      </c>
      <c r="K3033" s="243" t="s">
        <v>1906</v>
      </c>
      <c r="L3033" s="243" t="s">
        <v>153</v>
      </c>
    </row>
    <row r="3034" spans="1:12" ht="15.6" hidden="1">
      <c r="A3034" s="438">
        <v>45943</v>
      </c>
      <c r="B3034" s="243" t="s">
        <v>3527</v>
      </c>
      <c r="C3034" s="243" t="s">
        <v>150</v>
      </c>
      <c r="D3034" s="243" t="s">
        <v>119</v>
      </c>
      <c r="E3034" s="457">
        <v>10000</v>
      </c>
      <c r="F3034" s="407">
        <f t="shared" si="41"/>
        <v>18.401363172983856</v>
      </c>
      <c r="G3034" s="408">
        <v>543.43799999999999</v>
      </c>
      <c r="H3034" s="243" t="s">
        <v>321</v>
      </c>
      <c r="I3034" s="243" t="s">
        <v>3532</v>
      </c>
      <c r="J3034" s="243" t="s">
        <v>96</v>
      </c>
      <c r="K3034" s="243" t="s">
        <v>1906</v>
      </c>
      <c r="L3034" s="243" t="s">
        <v>153</v>
      </c>
    </row>
    <row r="3035" spans="1:12" ht="15.6" hidden="1">
      <c r="A3035" s="438">
        <v>45943</v>
      </c>
      <c r="B3035" s="243" t="s">
        <v>4876</v>
      </c>
      <c r="C3035" s="243" t="s">
        <v>172</v>
      </c>
      <c r="D3035" s="243" t="s">
        <v>119</v>
      </c>
      <c r="E3035" s="457">
        <v>1000</v>
      </c>
      <c r="F3035" s="407">
        <f t="shared" si="41"/>
        <v>1.8401363172983856</v>
      </c>
      <c r="G3035" s="408">
        <v>543.43799999999999</v>
      </c>
      <c r="H3035" s="243" t="s">
        <v>321</v>
      </c>
      <c r="I3035" s="243" t="s">
        <v>3533</v>
      </c>
      <c r="J3035" s="243" t="s">
        <v>96</v>
      </c>
      <c r="K3035" s="243" t="s">
        <v>1906</v>
      </c>
      <c r="L3035" s="243" t="s">
        <v>153</v>
      </c>
    </row>
    <row r="3036" spans="1:12" ht="15.6" hidden="1">
      <c r="A3036" s="438">
        <v>45943</v>
      </c>
      <c r="B3036" s="243" t="s">
        <v>4876</v>
      </c>
      <c r="C3036" s="243" t="s">
        <v>172</v>
      </c>
      <c r="D3036" s="243" t="s">
        <v>119</v>
      </c>
      <c r="E3036" s="457">
        <v>1000</v>
      </c>
      <c r="F3036" s="407">
        <f t="shared" si="41"/>
        <v>1.8401363172983856</v>
      </c>
      <c r="G3036" s="408">
        <v>543.43799999999999</v>
      </c>
      <c r="H3036" s="243" t="s">
        <v>321</v>
      </c>
      <c r="I3036" s="243" t="s">
        <v>3533</v>
      </c>
      <c r="J3036" s="243" t="s">
        <v>96</v>
      </c>
      <c r="K3036" s="243" t="s">
        <v>1906</v>
      </c>
      <c r="L3036" s="243" t="s">
        <v>153</v>
      </c>
    </row>
    <row r="3037" spans="1:12" ht="15.6" hidden="1">
      <c r="A3037" s="438">
        <v>45943</v>
      </c>
      <c r="B3037" s="243" t="s">
        <v>4876</v>
      </c>
      <c r="C3037" s="243" t="s">
        <v>172</v>
      </c>
      <c r="D3037" s="243" t="s">
        <v>119</v>
      </c>
      <c r="E3037" s="457">
        <v>1500</v>
      </c>
      <c r="F3037" s="407">
        <f t="shared" si="41"/>
        <v>2.7602044759475781</v>
      </c>
      <c r="G3037" s="408">
        <v>543.43799999999999</v>
      </c>
      <c r="H3037" s="243" t="s">
        <v>321</v>
      </c>
      <c r="I3037" s="243" t="s">
        <v>3533</v>
      </c>
      <c r="J3037" s="243" t="s">
        <v>96</v>
      </c>
      <c r="K3037" s="243" t="s">
        <v>1906</v>
      </c>
      <c r="L3037" s="243" t="s">
        <v>153</v>
      </c>
    </row>
    <row r="3038" spans="1:12" ht="15.6" hidden="1">
      <c r="A3038" s="438">
        <v>45943</v>
      </c>
      <c r="B3038" s="243" t="s">
        <v>3552</v>
      </c>
      <c r="C3038" s="243" t="s">
        <v>150</v>
      </c>
      <c r="D3038" s="243" t="s">
        <v>115</v>
      </c>
      <c r="E3038" s="463">
        <v>7500</v>
      </c>
      <c r="F3038" s="407">
        <f t="shared" si="41"/>
        <v>13.801022379737891</v>
      </c>
      <c r="G3038" s="408">
        <v>543.43799999999999</v>
      </c>
      <c r="H3038" s="243" t="s">
        <v>188</v>
      </c>
      <c r="I3038" s="243" t="s">
        <v>3598</v>
      </c>
      <c r="J3038" s="243" t="s">
        <v>96</v>
      </c>
      <c r="K3038" s="243" t="s">
        <v>1906</v>
      </c>
      <c r="L3038" s="243" t="s">
        <v>153</v>
      </c>
    </row>
    <row r="3039" spans="1:12" ht="15.6" hidden="1">
      <c r="A3039" s="438">
        <v>45936</v>
      </c>
      <c r="B3039" s="243" t="s">
        <v>3622</v>
      </c>
      <c r="C3039" s="243" t="s">
        <v>172</v>
      </c>
      <c r="D3039" s="243" t="s">
        <v>115</v>
      </c>
      <c r="E3039" s="463">
        <v>42000</v>
      </c>
      <c r="F3039" s="407">
        <f t="shared" si="41"/>
        <v>77.285725326532187</v>
      </c>
      <c r="G3039" s="408">
        <v>543.43799999999999</v>
      </c>
      <c r="H3039" s="243" t="s">
        <v>191</v>
      </c>
      <c r="I3039" s="455" t="s">
        <v>3670</v>
      </c>
      <c r="J3039" s="243" t="s">
        <v>96</v>
      </c>
      <c r="K3039" s="243" t="s">
        <v>1906</v>
      </c>
      <c r="L3039" s="243" t="s">
        <v>153</v>
      </c>
    </row>
    <row r="3040" spans="1:12" ht="15.6" hidden="1">
      <c r="A3040" s="438">
        <v>45936</v>
      </c>
      <c r="B3040" s="243" t="s">
        <v>3623</v>
      </c>
      <c r="C3040" s="243" t="s">
        <v>175</v>
      </c>
      <c r="D3040" s="243" t="s">
        <v>115</v>
      </c>
      <c r="E3040" s="463">
        <v>275000</v>
      </c>
      <c r="F3040" s="407">
        <f t="shared" si="41"/>
        <v>506.037487257056</v>
      </c>
      <c r="G3040" s="408">
        <v>543.43799999999999</v>
      </c>
      <c r="H3040" s="243" t="s">
        <v>191</v>
      </c>
      <c r="I3040" s="455" t="s">
        <v>3671</v>
      </c>
      <c r="J3040" s="243" t="s">
        <v>96</v>
      </c>
      <c r="K3040" s="243" t="s">
        <v>1906</v>
      </c>
      <c r="L3040" s="243" t="s">
        <v>153</v>
      </c>
    </row>
    <row r="3041" spans="1:12" ht="15.6" hidden="1">
      <c r="A3041" s="438">
        <v>45943</v>
      </c>
      <c r="B3041" s="243" t="s">
        <v>3616</v>
      </c>
      <c r="C3041" s="243" t="s">
        <v>172</v>
      </c>
      <c r="D3041" s="243" t="s">
        <v>115</v>
      </c>
      <c r="E3041" s="463">
        <v>500</v>
      </c>
      <c r="F3041" s="407">
        <f t="shared" si="41"/>
        <v>0.92006815864919278</v>
      </c>
      <c r="G3041" s="408">
        <v>543.43799999999999</v>
      </c>
      <c r="H3041" s="243" t="s">
        <v>191</v>
      </c>
      <c r="I3041" s="243" t="s">
        <v>3665</v>
      </c>
      <c r="J3041" s="243" t="s">
        <v>96</v>
      </c>
      <c r="K3041" s="243" t="s">
        <v>1906</v>
      </c>
      <c r="L3041" s="243" t="s">
        <v>153</v>
      </c>
    </row>
    <row r="3042" spans="1:12" ht="15.6" hidden="1">
      <c r="A3042" s="438">
        <v>45943</v>
      </c>
      <c r="B3042" s="243" t="s">
        <v>3617</v>
      </c>
      <c r="C3042" s="243" t="s">
        <v>172</v>
      </c>
      <c r="D3042" s="243" t="s">
        <v>115</v>
      </c>
      <c r="E3042" s="463">
        <v>500</v>
      </c>
      <c r="F3042" s="407">
        <f t="shared" si="41"/>
        <v>0.92006815864919278</v>
      </c>
      <c r="G3042" s="408">
        <v>543.43799999999999</v>
      </c>
      <c r="H3042" s="243" t="s">
        <v>191</v>
      </c>
      <c r="I3042" s="243" t="s">
        <v>3665</v>
      </c>
      <c r="J3042" s="243" t="s">
        <v>96</v>
      </c>
      <c r="K3042" s="243" t="s">
        <v>1906</v>
      </c>
      <c r="L3042" s="243" t="s">
        <v>153</v>
      </c>
    </row>
    <row r="3043" spans="1:12" ht="15.6" hidden="1">
      <c r="A3043" s="438">
        <v>45943</v>
      </c>
      <c r="B3043" s="243" t="s">
        <v>3621</v>
      </c>
      <c r="C3043" s="243" t="s">
        <v>150</v>
      </c>
      <c r="D3043" s="243" t="s">
        <v>115</v>
      </c>
      <c r="E3043" s="463">
        <v>7500</v>
      </c>
      <c r="F3043" s="407">
        <f t="shared" si="41"/>
        <v>13.801022379737891</v>
      </c>
      <c r="G3043" s="408">
        <v>543.43799999999999</v>
      </c>
      <c r="H3043" s="243" t="s">
        <v>191</v>
      </c>
      <c r="I3043" s="243" t="s">
        <v>3669</v>
      </c>
      <c r="J3043" s="243" t="s">
        <v>96</v>
      </c>
      <c r="K3043" s="243" t="s">
        <v>1906</v>
      </c>
      <c r="L3043" s="243" t="s">
        <v>153</v>
      </c>
    </row>
    <row r="3044" spans="1:12" ht="15.6" hidden="1">
      <c r="A3044" s="438">
        <v>45943</v>
      </c>
      <c r="B3044" s="243" t="s">
        <v>3550</v>
      </c>
      <c r="C3044" s="243" t="s">
        <v>180</v>
      </c>
      <c r="D3044" s="243" t="s">
        <v>116</v>
      </c>
      <c r="E3044" s="463">
        <v>12150</v>
      </c>
      <c r="F3044" s="407">
        <f t="shared" si="41"/>
        <v>22.357656255175385</v>
      </c>
      <c r="G3044" s="408">
        <v>543.43799999999999</v>
      </c>
      <c r="H3044" s="243" t="s">
        <v>191</v>
      </c>
      <c r="I3044" s="455" t="s">
        <v>3672</v>
      </c>
      <c r="J3044" s="243" t="s">
        <v>96</v>
      </c>
      <c r="K3044" s="243" t="s">
        <v>1906</v>
      </c>
      <c r="L3044" s="243" t="s">
        <v>153</v>
      </c>
    </row>
    <row r="3045" spans="1:12" ht="15.6" hidden="1">
      <c r="A3045" s="438">
        <v>45943</v>
      </c>
      <c r="B3045" s="243" t="s">
        <v>3716</v>
      </c>
      <c r="C3045" s="239" t="s">
        <v>194</v>
      </c>
      <c r="D3045" s="239" t="s">
        <v>115</v>
      </c>
      <c r="E3045" s="457">
        <v>1000</v>
      </c>
      <c r="F3045" s="407">
        <f t="shared" si="41"/>
        <v>1.8401363172983856</v>
      </c>
      <c r="G3045" s="408">
        <v>543.43799999999999</v>
      </c>
      <c r="H3045" s="239" t="s">
        <v>195</v>
      </c>
      <c r="I3045" s="243" t="s">
        <v>3747</v>
      </c>
      <c r="J3045" s="243" t="s">
        <v>96</v>
      </c>
      <c r="K3045" s="243" t="s">
        <v>1906</v>
      </c>
      <c r="L3045" s="243" t="s">
        <v>153</v>
      </c>
    </row>
    <row r="3046" spans="1:12" ht="15.6" hidden="1">
      <c r="A3046" s="438">
        <v>45943</v>
      </c>
      <c r="B3046" s="243" t="s">
        <v>3724</v>
      </c>
      <c r="C3046" s="239" t="s">
        <v>194</v>
      </c>
      <c r="D3046" s="239" t="s">
        <v>115</v>
      </c>
      <c r="E3046" s="457">
        <v>1000</v>
      </c>
      <c r="F3046" s="407">
        <f t="shared" si="41"/>
        <v>1.8401363172983856</v>
      </c>
      <c r="G3046" s="408">
        <v>543.43799999999999</v>
      </c>
      <c r="H3046" s="239" t="s">
        <v>195</v>
      </c>
      <c r="I3046" s="243" t="s">
        <v>3747</v>
      </c>
      <c r="J3046" s="243" t="s">
        <v>96</v>
      </c>
      <c r="K3046" s="243" t="s">
        <v>1906</v>
      </c>
      <c r="L3046" s="243" t="s">
        <v>153</v>
      </c>
    </row>
    <row r="3047" spans="1:12" ht="15.6" hidden="1">
      <c r="A3047" s="438">
        <v>45943</v>
      </c>
      <c r="B3047" s="243" t="s">
        <v>3725</v>
      </c>
      <c r="C3047" s="239" t="s">
        <v>194</v>
      </c>
      <c r="D3047" s="239" t="s">
        <v>115</v>
      </c>
      <c r="E3047" s="457">
        <v>1000</v>
      </c>
      <c r="F3047" s="407">
        <f t="shared" si="41"/>
        <v>1.8401363172983856</v>
      </c>
      <c r="G3047" s="408">
        <v>543.43799999999999</v>
      </c>
      <c r="H3047" s="239" t="s">
        <v>195</v>
      </c>
      <c r="I3047" s="243" t="s">
        <v>3747</v>
      </c>
      <c r="J3047" s="243" t="s">
        <v>96</v>
      </c>
      <c r="K3047" s="243" t="s">
        <v>1906</v>
      </c>
      <c r="L3047" s="243" t="s">
        <v>153</v>
      </c>
    </row>
    <row r="3048" spans="1:12" ht="15.6" hidden="1">
      <c r="A3048" s="438">
        <v>45943</v>
      </c>
      <c r="B3048" s="243" t="s">
        <v>3726</v>
      </c>
      <c r="C3048" s="239" t="s">
        <v>194</v>
      </c>
      <c r="D3048" s="239" t="s">
        <v>115</v>
      </c>
      <c r="E3048" s="457">
        <v>1000</v>
      </c>
      <c r="F3048" s="407">
        <f t="shared" si="41"/>
        <v>1.8401363172983856</v>
      </c>
      <c r="G3048" s="408">
        <v>543.43799999999999</v>
      </c>
      <c r="H3048" s="239" t="s">
        <v>195</v>
      </c>
      <c r="I3048" s="243" t="s">
        <v>3747</v>
      </c>
      <c r="J3048" s="243" t="s">
        <v>96</v>
      </c>
      <c r="K3048" s="243" t="s">
        <v>1906</v>
      </c>
      <c r="L3048" s="243" t="s">
        <v>153</v>
      </c>
    </row>
    <row r="3049" spans="1:12" ht="15.6" hidden="1">
      <c r="A3049" s="438">
        <v>45943</v>
      </c>
      <c r="B3049" s="243" t="s">
        <v>3727</v>
      </c>
      <c r="C3049" s="239" t="s">
        <v>194</v>
      </c>
      <c r="D3049" s="239" t="s">
        <v>115</v>
      </c>
      <c r="E3049" s="457">
        <v>1000</v>
      </c>
      <c r="F3049" s="407">
        <f t="shared" si="41"/>
        <v>1.8401363172983856</v>
      </c>
      <c r="G3049" s="408">
        <v>543.43799999999999</v>
      </c>
      <c r="H3049" s="239" t="s">
        <v>195</v>
      </c>
      <c r="I3049" s="243" t="s">
        <v>3747</v>
      </c>
      <c r="J3049" s="243" t="s">
        <v>96</v>
      </c>
      <c r="K3049" s="243" t="s">
        <v>1906</v>
      </c>
      <c r="L3049" s="243" t="s">
        <v>153</v>
      </c>
    </row>
    <row r="3050" spans="1:12" ht="15.6" hidden="1">
      <c r="A3050" s="438">
        <v>45943</v>
      </c>
      <c r="B3050" s="243" t="s">
        <v>3728</v>
      </c>
      <c r="C3050" s="239" t="s">
        <v>194</v>
      </c>
      <c r="D3050" s="239" t="s">
        <v>115</v>
      </c>
      <c r="E3050" s="457">
        <v>1000</v>
      </c>
      <c r="F3050" s="407">
        <f t="shared" si="41"/>
        <v>1.8401363172983856</v>
      </c>
      <c r="G3050" s="408">
        <v>543.43799999999999</v>
      </c>
      <c r="H3050" s="239" t="s">
        <v>195</v>
      </c>
      <c r="I3050" s="243" t="s">
        <v>3747</v>
      </c>
      <c r="J3050" s="243" t="s">
        <v>96</v>
      </c>
      <c r="K3050" s="243" t="s">
        <v>1906</v>
      </c>
      <c r="L3050" s="243" t="s">
        <v>153</v>
      </c>
    </row>
    <row r="3051" spans="1:12" ht="15.6" hidden="1">
      <c r="A3051" s="438">
        <v>45943</v>
      </c>
      <c r="B3051" s="243" t="s">
        <v>3723</v>
      </c>
      <c r="C3051" s="239" t="s">
        <v>194</v>
      </c>
      <c r="D3051" s="239" t="s">
        <v>115</v>
      </c>
      <c r="E3051" s="457">
        <v>1000</v>
      </c>
      <c r="F3051" s="407">
        <f t="shared" si="41"/>
        <v>1.8401363172983856</v>
      </c>
      <c r="G3051" s="408">
        <v>543.43799999999999</v>
      </c>
      <c r="H3051" s="239" t="s">
        <v>195</v>
      </c>
      <c r="I3051" s="243" t="s">
        <v>3747</v>
      </c>
      <c r="J3051" s="243" t="s">
        <v>96</v>
      </c>
      <c r="K3051" s="243" t="s">
        <v>1906</v>
      </c>
      <c r="L3051" s="243" t="s">
        <v>153</v>
      </c>
    </row>
    <row r="3052" spans="1:12" ht="15.6" hidden="1">
      <c r="A3052" s="438">
        <v>45943</v>
      </c>
      <c r="B3052" s="243" t="s">
        <v>3729</v>
      </c>
      <c r="C3052" s="239" t="s">
        <v>150</v>
      </c>
      <c r="D3052" s="239" t="s">
        <v>115</v>
      </c>
      <c r="E3052" s="457">
        <v>10000</v>
      </c>
      <c r="F3052" s="407">
        <f t="shared" si="41"/>
        <v>18.401363172983856</v>
      </c>
      <c r="G3052" s="408">
        <v>543.43799999999999</v>
      </c>
      <c r="H3052" s="239" t="s">
        <v>195</v>
      </c>
      <c r="I3052" s="243" t="s">
        <v>3754</v>
      </c>
      <c r="J3052" s="243" t="s">
        <v>96</v>
      </c>
      <c r="K3052" s="243" t="s">
        <v>1906</v>
      </c>
      <c r="L3052" s="243" t="s">
        <v>153</v>
      </c>
    </row>
    <row r="3053" spans="1:12" ht="15.6" hidden="1">
      <c r="A3053" s="438">
        <v>45943</v>
      </c>
      <c r="B3053" s="243" t="s">
        <v>3712</v>
      </c>
      <c r="C3053" s="239" t="s">
        <v>194</v>
      </c>
      <c r="D3053" s="239" t="s">
        <v>115</v>
      </c>
      <c r="E3053" s="457">
        <v>1000</v>
      </c>
      <c r="F3053" s="407">
        <f t="shared" si="41"/>
        <v>1.8401363172983856</v>
      </c>
      <c r="G3053" s="408">
        <v>543.43799999999999</v>
      </c>
      <c r="H3053" s="239" t="s">
        <v>195</v>
      </c>
      <c r="I3053" s="243" t="s">
        <v>3747</v>
      </c>
      <c r="J3053" s="243" t="s">
        <v>96</v>
      </c>
      <c r="K3053" s="243" t="s">
        <v>1906</v>
      </c>
      <c r="L3053" s="243" t="s">
        <v>153</v>
      </c>
    </row>
    <row r="3054" spans="1:12" ht="15.6" hidden="1">
      <c r="A3054" s="438">
        <v>45943</v>
      </c>
      <c r="B3054" s="461" t="s">
        <v>3814</v>
      </c>
      <c r="C3054" s="439" t="s">
        <v>172</v>
      </c>
      <c r="D3054" s="461" t="s">
        <v>118</v>
      </c>
      <c r="E3054" s="464">
        <v>1000</v>
      </c>
      <c r="F3054" s="407">
        <f t="shared" si="41"/>
        <v>1.8401363172983856</v>
      </c>
      <c r="G3054" s="408">
        <v>543.43799999999999</v>
      </c>
      <c r="H3054" s="461" t="s">
        <v>211</v>
      </c>
      <c r="I3054" s="461" t="s">
        <v>3910</v>
      </c>
      <c r="J3054" s="243" t="s">
        <v>96</v>
      </c>
      <c r="K3054" s="243" t="s">
        <v>1906</v>
      </c>
      <c r="L3054" s="243" t="s">
        <v>153</v>
      </c>
    </row>
    <row r="3055" spans="1:12" ht="15.6" hidden="1">
      <c r="A3055" s="438">
        <v>45943</v>
      </c>
      <c r="B3055" s="461" t="s">
        <v>3815</v>
      </c>
      <c r="C3055" s="439" t="s">
        <v>172</v>
      </c>
      <c r="D3055" s="461" t="s">
        <v>118</v>
      </c>
      <c r="E3055" s="464">
        <v>1000</v>
      </c>
      <c r="F3055" s="407">
        <f t="shared" si="41"/>
        <v>1.8401363172983856</v>
      </c>
      <c r="G3055" s="408">
        <v>543.43799999999999</v>
      </c>
      <c r="H3055" s="461" t="s">
        <v>211</v>
      </c>
      <c r="I3055" s="461" t="s">
        <v>3910</v>
      </c>
      <c r="J3055" s="243" t="s">
        <v>96</v>
      </c>
      <c r="K3055" s="243" t="s">
        <v>1906</v>
      </c>
      <c r="L3055" s="243" t="s">
        <v>153</v>
      </c>
    </row>
    <row r="3056" spans="1:12" ht="15.6" hidden="1">
      <c r="A3056" s="438">
        <v>45943</v>
      </c>
      <c r="B3056" s="461" t="s">
        <v>3816</v>
      </c>
      <c r="C3056" s="439" t="s">
        <v>172</v>
      </c>
      <c r="D3056" s="461" t="s">
        <v>118</v>
      </c>
      <c r="E3056" s="464">
        <v>1000</v>
      </c>
      <c r="F3056" s="407">
        <f t="shared" si="41"/>
        <v>1.8401363172983856</v>
      </c>
      <c r="G3056" s="408">
        <v>543.43799999999999</v>
      </c>
      <c r="H3056" s="461" t="s">
        <v>211</v>
      </c>
      <c r="I3056" s="461" t="s">
        <v>3910</v>
      </c>
      <c r="J3056" s="243" t="s">
        <v>96</v>
      </c>
      <c r="K3056" s="243" t="s">
        <v>1906</v>
      </c>
      <c r="L3056" s="243" t="s">
        <v>153</v>
      </c>
    </row>
    <row r="3057" spans="1:12" ht="15.6" hidden="1">
      <c r="A3057" s="438">
        <v>45943</v>
      </c>
      <c r="B3057" s="461" t="s">
        <v>3817</v>
      </c>
      <c r="C3057" s="439" t="s">
        <v>172</v>
      </c>
      <c r="D3057" s="461" t="s">
        <v>118</v>
      </c>
      <c r="E3057" s="464">
        <v>1000</v>
      </c>
      <c r="F3057" s="407">
        <f t="shared" si="41"/>
        <v>1.8401363172983856</v>
      </c>
      <c r="G3057" s="408">
        <v>543.43799999999999</v>
      </c>
      <c r="H3057" s="461" t="s">
        <v>211</v>
      </c>
      <c r="I3057" s="461" t="s">
        <v>3910</v>
      </c>
      <c r="J3057" s="243" t="s">
        <v>96</v>
      </c>
      <c r="K3057" s="243" t="s">
        <v>1906</v>
      </c>
      <c r="L3057" s="243" t="s">
        <v>153</v>
      </c>
    </row>
    <row r="3058" spans="1:12" ht="15.6" hidden="1">
      <c r="A3058" s="438">
        <v>45943</v>
      </c>
      <c r="B3058" s="461" t="s">
        <v>3818</v>
      </c>
      <c r="C3058" s="439" t="s">
        <v>172</v>
      </c>
      <c r="D3058" s="461" t="s">
        <v>118</v>
      </c>
      <c r="E3058" s="464">
        <v>1000</v>
      </c>
      <c r="F3058" s="407">
        <f t="shared" si="41"/>
        <v>1.8401363172983856</v>
      </c>
      <c r="G3058" s="408">
        <v>543.43799999999999</v>
      </c>
      <c r="H3058" s="461" t="s">
        <v>211</v>
      </c>
      <c r="I3058" s="461" t="s">
        <v>3910</v>
      </c>
      <c r="J3058" s="243" t="s">
        <v>96</v>
      </c>
      <c r="K3058" s="243" t="s">
        <v>1906</v>
      </c>
      <c r="L3058" s="243" t="s">
        <v>153</v>
      </c>
    </row>
    <row r="3059" spans="1:12" ht="15.6" hidden="1">
      <c r="A3059" s="438">
        <v>45943</v>
      </c>
      <c r="B3059" s="461" t="s">
        <v>3819</v>
      </c>
      <c r="C3059" s="439" t="s">
        <v>172</v>
      </c>
      <c r="D3059" s="461" t="s">
        <v>118</v>
      </c>
      <c r="E3059" s="464">
        <v>1000</v>
      </c>
      <c r="F3059" s="407">
        <f t="shared" si="41"/>
        <v>1.8401363172983856</v>
      </c>
      <c r="G3059" s="408">
        <v>543.43799999999999</v>
      </c>
      <c r="H3059" s="461" t="s">
        <v>211</v>
      </c>
      <c r="I3059" s="461" t="s">
        <v>3910</v>
      </c>
      <c r="J3059" s="243" t="s">
        <v>96</v>
      </c>
      <c r="K3059" s="243" t="s">
        <v>1906</v>
      </c>
      <c r="L3059" s="243" t="s">
        <v>153</v>
      </c>
    </row>
    <row r="3060" spans="1:12" ht="15.6" hidden="1">
      <c r="A3060" s="438">
        <v>45943</v>
      </c>
      <c r="B3060" s="439" t="s">
        <v>3820</v>
      </c>
      <c r="C3060" s="439" t="s">
        <v>150</v>
      </c>
      <c r="D3060" s="439" t="s">
        <v>118</v>
      </c>
      <c r="E3060" s="464">
        <v>10000</v>
      </c>
      <c r="F3060" s="407">
        <f t="shared" si="41"/>
        <v>18.401363172983856</v>
      </c>
      <c r="G3060" s="408">
        <v>543.43799999999999</v>
      </c>
      <c r="H3060" s="461" t="s">
        <v>211</v>
      </c>
      <c r="I3060" s="461" t="s">
        <v>3919</v>
      </c>
      <c r="J3060" s="243" t="s">
        <v>96</v>
      </c>
      <c r="K3060" s="243" t="s">
        <v>1906</v>
      </c>
      <c r="L3060" s="243" t="s">
        <v>153</v>
      </c>
    </row>
    <row r="3061" spans="1:12" ht="15.6" hidden="1">
      <c r="A3061" s="438">
        <v>45943</v>
      </c>
      <c r="B3061" s="423" t="s">
        <v>3821</v>
      </c>
      <c r="C3061" s="423" t="s">
        <v>2092</v>
      </c>
      <c r="D3061" s="439" t="s">
        <v>118</v>
      </c>
      <c r="E3061" s="464">
        <v>50000</v>
      </c>
      <c r="F3061" s="407">
        <f t="shared" si="41"/>
        <v>92.006815864919275</v>
      </c>
      <c r="G3061" s="408">
        <v>543.43799999999999</v>
      </c>
      <c r="H3061" s="423" t="s">
        <v>211</v>
      </c>
      <c r="I3061" s="456" t="s">
        <v>3920</v>
      </c>
      <c r="J3061" s="243" t="s">
        <v>96</v>
      </c>
      <c r="K3061" s="243" t="s">
        <v>1906</v>
      </c>
      <c r="L3061" s="243" t="s">
        <v>153</v>
      </c>
    </row>
    <row r="3062" spans="1:12" ht="15.6" hidden="1">
      <c r="A3062" s="438">
        <v>45943</v>
      </c>
      <c r="B3062" s="423" t="s">
        <v>3822</v>
      </c>
      <c r="C3062" s="423" t="s">
        <v>2092</v>
      </c>
      <c r="D3062" s="439" t="s">
        <v>118</v>
      </c>
      <c r="E3062" s="464">
        <v>50000</v>
      </c>
      <c r="F3062" s="407">
        <f t="shared" si="41"/>
        <v>92.006815864919275</v>
      </c>
      <c r="G3062" s="408">
        <v>543.43799999999999</v>
      </c>
      <c r="H3062" s="423" t="s">
        <v>211</v>
      </c>
      <c r="I3062" s="456" t="s">
        <v>3920</v>
      </c>
      <c r="J3062" s="243" t="s">
        <v>96</v>
      </c>
      <c r="K3062" s="243" t="s">
        <v>1906</v>
      </c>
      <c r="L3062" s="243" t="s">
        <v>153</v>
      </c>
    </row>
    <row r="3063" spans="1:12" ht="15.6" hidden="1">
      <c r="A3063" s="438">
        <v>45943</v>
      </c>
      <c r="B3063" s="423" t="s">
        <v>3823</v>
      </c>
      <c r="C3063" s="423" t="s">
        <v>2092</v>
      </c>
      <c r="D3063" s="439" t="s">
        <v>118</v>
      </c>
      <c r="E3063" s="464">
        <v>50000</v>
      </c>
      <c r="F3063" s="407">
        <f t="shared" si="41"/>
        <v>92.006815864919275</v>
      </c>
      <c r="G3063" s="408">
        <v>543.43799999999999</v>
      </c>
      <c r="H3063" s="423" t="s">
        <v>211</v>
      </c>
      <c r="I3063" s="456" t="s">
        <v>3920</v>
      </c>
      <c r="J3063" s="243" t="s">
        <v>96</v>
      </c>
      <c r="K3063" s="243" t="s">
        <v>1906</v>
      </c>
      <c r="L3063" s="243" t="s">
        <v>153</v>
      </c>
    </row>
    <row r="3064" spans="1:12" ht="15.6" hidden="1">
      <c r="A3064" s="438">
        <v>45943</v>
      </c>
      <c r="B3064" s="423" t="s">
        <v>3824</v>
      </c>
      <c r="C3064" s="423" t="s">
        <v>2092</v>
      </c>
      <c r="D3064" s="439" t="s">
        <v>118</v>
      </c>
      <c r="E3064" s="464">
        <v>50000</v>
      </c>
      <c r="F3064" s="407">
        <f t="shared" si="41"/>
        <v>92.006815864919275</v>
      </c>
      <c r="G3064" s="408">
        <v>543.43799999999999</v>
      </c>
      <c r="H3064" s="423" t="s">
        <v>211</v>
      </c>
      <c r="I3064" s="456" t="s">
        <v>3920</v>
      </c>
      <c r="J3064" s="243" t="s">
        <v>96</v>
      </c>
      <c r="K3064" s="243" t="s">
        <v>1906</v>
      </c>
      <c r="L3064" s="243" t="s">
        <v>153</v>
      </c>
    </row>
    <row r="3065" spans="1:12" ht="15.6" hidden="1">
      <c r="A3065" s="438">
        <v>45943</v>
      </c>
      <c r="B3065" s="423" t="s">
        <v>3944</v>
      </c>
      <c r="C3065" s="423" t="s">
        <v>150</v>
      </c>
      <c r="D3065" s="423" t="s">
        <v>115</v>
      </c>
      <c r="E3065" s="471">
        <v>7500</v>
      </c>
      <c r="F3065" s="407">
        <f t="shared" si="41"/>
        <v>13.801022379737891</v>
      </c>
      <c r="G3065" s="408">
        <v>543.43799999999999</v>
      </c>
      <c r="H3065" s="423" t="s">
        <v>185</v>
      </c>
      <c r="I3065" s="423" t="s">
        <v>4013</v>
      </c>
      <c r="J3065" s="243" t="s">
        <v>96</v>
      </c>
      <c r="K3065" s="243" t="s">
        <v>1906</v>
      </c>
      <c r="L3065" s="243" t="s">
        <v>153</v>
      </c>
    </row>
    <row r="3066" spans="1:12" ht="15.6" hidden="1">
      <c r="A3066" s="438">
        <v>45943</v>
      </c>
      <c r="B3066" s="423" t="s">
        <v>3945</v>
      </c>
      <c r="C3066" s="423" t="s">
        <v>172</v>
      </c>
      <c r="D3066" s="423" t="s">
        <v>115</v>
      </c>
      <c r="E3066" s="471">
        <v>1000</v>
      </c>
      <c r="F3066" s="407">
        <f t="shared" si="41"/>
        <v>1.8401363172983856</v>
      </c>
      <c r="G3066" s="408">
        <v>543.43799999999999</v>
      </c>
      <c r="H3066" s="423" t="s">
        <v>185</v>
      </c>
      <c r="I3066" s="423" t="s">
        <v>4008</v>
      </c>
      <c r="J3066" s="243" t="s">
        <v>96</v>
      </c>
      <c r="K3066" s="243" t="s">
        <v>1906</v>
      </c>
      <c r="L3066" s="243" t="s">
        <v>153</v>
      </c>
    </row>
    <row r="3067" spans="1:12" ht="15.6" hidden="1">
      <c r="A3067" s="438">
        <v>45943</v>
      </c>
      <c r="B3067" s="423" t="s">
        <v>3946</v>
      </c>
      <c r="C3067" s="423" t="s">
        <v>172</v>
      </c>
      <c r="D3067" s="423" t="s">
        <v>115</v>
      </c>
      <c r="E3067" s="471">
        <v>1000</v>
      </c>
      <c r="F3067" s="407">
        <f t="shared" si="41"/>
        <v>1.8401363172983856</v>
      </c>
      <c r="G3067" s="408">
        <v>543.43799999999999</v>
      </c>
      <c r="H3067" s="423" t="s">
        <v>185</v>
      </c>
      <c r="I3067" s="423" t="s">
        <v>4008</v>
      </c>
      <c r="J3067" s="243" t="s">
        <v>96</v>
      </c>
      <c r="K3067" s="243" t="s">
        <v>1906</v>
      </c>
      <c r="L3067" s="243" t="s">
        <v>153</v>
      </c>
    </row>
    <row r="3068" spans="1:12" ht="15.6" hidden="1">
      <c r="A3068" s="438">
        <v>45943</v>
      </c>
      <c r="B3068" s="423" t="s">
        <v>3947</v>
      </c>
      <c r="C3068" s="423" t="s">
        <v>172</v>
      </c>
      <c r="D3068" s="423" t="s">
        <v>115</v>
      </c>
      <c r="E3068" s="471">
        <v>7000</v>
      </c>
      <c r="F3068" s="407">
        <f t="shared" si="41"/>
        <v>12.880954221088698</v>
      </c>
      <c r="G3068" s="408">
        <v>543.43799999999999</v>
      </c>
      <c r="H3068" s="423" t="s">
        <v>185</v>
      </c>
      <c r="I3068" s="423" t="s">
        <v>4014</v>
      </c>
      <c r="J3068" s="243" t="s">
        <v>96</v>
      </c>
      <c r="K3068" s="243" t="s">
        <v>1906</v>
      </c>
      <c r="L3068" s="243" t="s">
        <v>153</v>
      </c>
    </row>
    <row r="3069" spans="1:12" ht="15.6" hidden="1">
      <c r="A3069" s="438">
        <v>45943</v>
      </c>
      <c r="B3069" s="423" t="s">
        <v>3948</v>
      </c>
      <c r="C3069" s="423" t="s">
        <v>172</v>
      </c>
      <c r="D3069" s="423" t="s">
        <v>115</v>
      </c>
      <c r="E3069" s="471">
        <v>1000</v>
      </c>
      <c r="F3069" s="407">
        <f t="shared" si="41"/>
        <v>1.8401363172983856</v>
      </c>
      <c r="G3069" s="408">
        <v>543.43799999999999</v>
      </c>
      <c r="H3069" s="423" t="s">
        <v>185</v>
      </c>
      <c r="I3069" s="423" t="s">
        <v>4008</v>
      </c>
      <c r="J3069" s="243" t="s">
        <v>96</v>
      </c>
      <c r="K3069" s="243" t="s">
        <v>1906</v>
      </c>
      <c r="L3069" s="243" t="s">
        <v>153</v>
      </c>
    </row>
    <row r="3070" spans="1:12" ht="15.6" hidden="1">
      <c r="A3070" s="438">
        <v>45943</v>
      </c>
      <c r="B3070" s="423" t="s">
        <v>3334</v>
      </c>
      <c r="C3070" s="423" t="s">
        <v>172</v>
      </c>
      <c r="D3070" s="423" t="s">
        <v>115</v>
      </c>
      <c r="E3070" s="471">
        <v>1000</v>
      </c>
      <c r="F3070" s="407">
        <f t="shared" si="41"/>
        <v>1.8401363172983856</v>
      </c>
      <c r="G3070" s="408">
        <v>543.43799999999999</v>
      </c>
      <c r="H3070" s="423" t="s">
        <v>185</v>
      </c>
      <c r="I3070" s="423" t="s">
        <v>4008</v>
      </c>
      <c r="J3070" s="243" t="s">
        <v>96</v>
      </c>
      <c r="K3070" s="243" t="s">
        <v>1906</v>
      </c>
      <c r="L3070" s="243" t="s">
        <v>153</v>
      </c>
    </row>
    <row r="3071" spans="1:12" ht="15.6" hidden="1">
      <c r="A3071" s="438">
        <v>45943</v>
      </c>
      <c r="B3071" s="423" t="s">
        <v>3949</v>
      </c>
      <c r="C3071" s="423" t="s">
        <v>172</v>
      </c>
      <c r="D3071" s="423" t="s">
        <v>115</v>
      </c>
      <c r="E3071" s="464">
        <v>22000</v>
      </c>
      <c r="F3071" s="407">
        <f t="shared" si="41"/>
        <v>40.482998980564481</v>
      </c>
      <c r="G3071" s="408">
        <v>543.43799999999999</v>
      </c>
      <c r="H3071" s="423" t="s">
        <v>185</v>
      </c>
      <c r="I3071" s="456" t="s">
        <v>4015</v>
      </c>
      <c r="J3071" s="243" t="s">
        <v>96</v>
      </c>
      <c r="K3071" s="243" t="s">
        <v>1906</v>
      </c>
      <c r="L3071" s="243" t="s">
        <v>153</v>
      </c>
    </row>
    <row r="3072" spans="1:12" ht="15.6" hidden="1">
      <c r="A3072" s="438">
        <v>45943</v>
      </c>
      <c r="B3072" s="423" t="s">
        <v>3950</v>
      </c>
      <c r="C3072" s="423" t="s">
        <v>175</v>
      </c>
      <c r="D3072" s="423" t="s">
        <v>115</v>
      </c>
      <c r="E3072" s="464">
        <v>50000</v>
      </c>
      <c r="F3072" s="407">
        <f t="shared" si="41"/>
        <v>92.006815864919275</v>
      </c>
      <c r="G3072" s="408">
        <v>543.43799999999999</v>
      </c>
      <c r="H3072" s="423" t="s">
        <v>185</v>
      </c>
      <c r="I3072" s="456" t="s">
        <v>4016</v>
      </c>
      <c r="J3072" s="243" t="s">
        <v>96</v>
      </c>
      <c r="K3072" s="243" t="s">
        <v>1906</v>
      </c>
      <c r="L3072" s="243" t="s">
        <v>153</v>
      </c>
    </row>
    <row r="3073" spans="1:14" ht="15.6" hidden="1">
      <c r="A3073" s="438">
        <v>45943</v>
      </c>
      <c r="B3073" s="164" t="s">
        <v>4039</v>
      </c>
      <c r="C3073" s="442" t="s">
        <v>123</v>
      </c>
      <c r="D3073" s="124"/>
      <c r="E3073" s="349"/>
      <c r="F3073" s="407"/>
      <c r="G3073" s="408">
        <f>+M3073/N3073</f>
        <v>543.43834883720933</v>
      </c>
      <c r="H3073" s="125" t="s">
        <v>146</v>
      </c>
      <c r="I3073" s="125" t="s">
        <v>4072</v>
      </c>
      <c r="J3073" s="243" t="s">
        <v>96</v>
      </c>
      <c r="K3073" s="243" t="s">
        <v>1906</v>
      </c>
      <c r="L3073" s="243" t="s">
        <v>153</v>
      </c>
      <c r="M3073" s="317">
        <v>23367849</v>
      </c>
      <c r="N3073" s="125">
        <v>43000</v>
      </c>
    </row>
    <row r="3074" spans="1:14" ht="15.6" hidden="1">
      <c r="A3074" s="438">
        <v>45943</v>
      </c>
      <c r="B3074" s="164" t="s">
        <v>4040</v>
      </c>
      <c r="C3074" s="442" t="s">
        <v>123</v>
      </c>
      <c r="D3074" s="124"/>
      <c r="E3074" s="349"/>
      <c r="F3074" s="407"/>
      <c r="G3074" s="408">
        <f>+M3074/N3074</f>
        <v>543.4384</v>
      </c>
      <c r="H3074" s="125" t="s">
        <v>146</v>
      </c>
      <c r="I3074" s="125" t="s">
        <v>4073</v>
      </c>
      <c r="J3074" s="243" t="s">
        <v>96</v>
      </c>
      <c r="K3074" s="243" t="s">
        <v>4104</v>
      </c>
      <c r="L3074" s="243" t="s">
        <v>153</v>
      </c>
      <c r="M3074" s="317">
        <v>2717192</v>
      </c>
      <c r="N3074" s="125">
        <v>5000</v>
      </c>
    </row>
    <row r="3075" spans="1:14" ht="15.6" hidden="1">
      <c r="A3075" s="438">
        <v>45943</v>
      </c>
      <c r="B3075" s="164" t="s">
        <v>4041</v>
      </c>
      <c r="C3075" s="442" t="s">
        <v>125</v>
      </c>
      <c r="D3075" s="442" t="s">
        <v>119</v>
      </c>
      <c r="E3075" s="349">
        <v>400000</v>
      </c>
      <c r="F3075" s="407">
        <f t="shared" ref="F3075:F3138" si="42">E3075/G3075</f>
        <v>736.0545269193542</v>
      </c>
      <c r="G3075" s="408">
        <v>543.43799999999999</v>
      </c>
      <c r="H3075" s="125" t="s">
        <v>146</v>
      </c>
      <c r="I3075" s="125" t="s">
        <v>4074</v>
      </c>
      <c r="J3075" s="243" t="s">
        <v>96</v>
      </c>
      <c r="K3075" s="243" t="s">
        <v>1906</v>
      </c>
      <c r="L3075" s="243" t="s">
        <v>153</v>
      </c>
    </row>
    <row r="3076" spans="1:14" ht="15.6" hidden="1">
      <c r="A3076" s="438">
        <v>45943</v>
      </c>
      <c r="B3076" s="164" t="s">
        <v>4042</v>
      </c>
      <c r="C3076" s="124" t="s">
        <v>125</v>
      </c>
      <c r="D3076" s="350" t="s">
        <v>115</v>
      </c>
      <c r="E3076" s="349">
        <v>580282</v>
      </c>
      <c r="F3076" s="407">
        <f t="shared" si="42"/>
        <v>1067.7979824745416</v>
      </c>
      <c r="G3076" s="408">
        <v>543.43799999999999</v>
      </c>
      <c r="H3076" s="125" t="s">
        <v>146</v>
      </c>
      <c r="I3076" s="125" t="s">
        <v>4075</v>
      </c>
      <c r="J3076" s="243" t="s">
        <v>96</v>
      </c>
      <c r="K3076" s="243" t="s">
        <v>1906</v>
      </c>
      <c r="L3076" s="243" t="s">
        <v>153</v>
      </c>
    </row>
    <row r="3077" spans="1:14" ht="15.6" hidden="1">
      <c r="A3077" s="438">
        <v>45943</v>
      </c>
      <c r="B3077" s="164" t="s">
        <v>4043</v>
      </c>
      <c r="C3077" s="442" t="s">
        <v>125</v>
      </c>
      <c r="D3077" s="124" t="s">
        <v>115</v>
      </c>
      <c r="E3077" s="349">
        <v>328800</v>
      </c>
      <c r="F3077" s="407">
        <f t="shared" si="42"/>
        <v>605.03682112770912</v>
      </c>
      <c r="G3077" s="408">
        <v>543.43799999999999</v>
      </c>
      <c r="H3077" s="125" t="s">
        <v>146</v>
      </c>
      <c r="I3077" s="125" t="s">
        <v>4076</v>
      </c>
      <c r="J3077" s="243" t="s">
        <v>96</v>
      </c>
      <c r="K3077" s="243" t="s">
        <v>1906</v>
      </c>
      <c r="L3077" s="243" t="s">
        <v>153</v>
      </c>
    </row>
    <row r="3078" spans="1:14" ht="15.6" hidden="1">
      <c r="A3078" s="438">
        <v>45943</v>
      </c>
      <c r="B3078" s="164" t="s">
        <v>4044</v>
      </c>
      <c r="C3078" s="442" t="s">
        <v>125</v>
      </c>
      <c r="D3078" s="124" t="s">
        <v>118</v>
      </c>
      <c r="E3078" s="349">
        <v>266940</v>
      </c>
      <c r="F3078" s="407">
        <f t="shared" si="42"/>
        <v>491.20598853963105</v>
      </c>
      <c r="G3078" s="408">
        <v>543.43799999999999</v>
      </c>
      <c r="H3078" s="125" t="s">
        <v>146</v>
      </c>
      <c r="I3078" s="125" t="s">
        <v>4077</v>
      </c>
      <c r="J3078" s="243" t="s">
        <v>96</v>
      </c>
      <c r="K3078" s="243" t="s">
        <v>1906</v>
      </c>
      <c r="L3078" s="243" t="s">
        <v>153</v>
      </c>
    </row>
    <row r="3079" spans="1:14" ht="15.6" hidden="1">
      <c r="A3079" s="438">
        <v>45943</v>
      </c>
      <c r="B3079" s="164" t="s">
        <v>4045</v>
      </c>
      <c r="C3079" s="442" t="s">
        <v>126</v>
      </c>
      <c r="D3079" s="124" t="s">
        <v>116</v>
      </c>
      <c r="E3079" s="349">
        <v>10665</v>
      </c>
      <c r="F3079" s="407">
        <f t="shared" si="42"/>
        <v>19.625053823987283</v>
      </c>
      <c r="G3079" s="408">
        <v>543.43799999999999</v>
      </c>
      <c r="H3079" s="125" t="s">
        <v>146</v>
      </c>
      <c r="I3079" s="125" t="s">
        <v>4078</v>
      </c>
      <c r="J3079" s="243" t="s">
        <v>96</v>
      </c>
      <c r="K3079" s="243" t="s">
        <v>1906</v>
      </c>
      <c r="L3079" s="243" t="s">
        <v>153</v>
      </c>
    </row>
    <row r="3080" spans="1:14" ht="15.6" hidden="1">
      <c r="A3080" s="438">
        <v>45944</v>
      </c>
      <c r="B3080" s="239" t="s">
        <v>2103</v>
      </c>
      <c r="C3080" s="453" t="s">
        <v>172</v>
      </c>
      <c r="D3080" s="453" t="s">
        <v>117</v>
      </c>
      <c r="E3080" s="458">
        <v>1000</v>
      </c>
      <c r="F3080" s="407">
        <f t="shared" si="42"/>
        <v>1.8401363172983856</v>
      </c>
      <c r="G3080" s="408">
        <v>543.43799999999999</v>
      </c>
      <c r="H3080" s="454" t="s">
        <v>151</v>
      </c>
      <c r="I3080" s="239" t="s">
        <v>3264</v>
      </c>
      <c r="J3080" s="243" t="s">
        <v>96</v>
      </c>
      <c r="K3080" s="243" t="s">
        <v>1906</v>
      </c>
      <c r="L3080" s="243" t="s">
        <v>153</v>
      </c>
    </row>
    <row r="3081" spans="1:14" ht="15.6" hidden="1">
      <c r="A3081" s="438">
        <v>45944</v>
      </c>
      <c r="B3081" s="239" t="s">
        <v>2104</v>
      </c>
      <c r="C3081" s="453" t="s">
        <v>172</v>
      </c>
      <c r="D3081" s="453" t="s">
        <v>117</v>
      </c>
      <c r="E3081" s="458">
        <v>1000</v>
      </c>
      <c r="F3081" s="407">
        <f t="shared" si="42"/>
        <v>1.8401363172983856</v>
      </c>
      <c r="G3081" s="408">
        <v>543.43799999999999</v>
      </c>
      <c r="H3081" s="454" t="s">
        <v>151</v>
      </c>
      <c r="I3081" s="239" t="s">
        <v>3264</v>
      </c>
      <c r="J3081" s="243" t="s">
        <v>96</v>
      </c>
      <c r="K3081" s="243" t="s">
        <v>1906</v>
      </c>
      <c r="L3081" s="243" t="s">
        <v>153</v>
      </c>
    </row>
    <row r="3082" spans="1:14" ht="15.6" hidden="1">
      <c r="A3082" s="438">
        <v>45944</v>
      </c>
      <c r="B3082" s="243" t="s">
        <v>3387</v>
      </c>
      <c r="C3082" s="423" t="s">
        <v>172</v>
      </c>
      <c r="D3082" s="423" t="s">
        <v>116</v>
      </c>
      <c r="E3082" s="464">
        <v>1000</v>
      </c>
      <c r="F3082" s="407">
        <f t="shared" si="42"/>
        <v>1.8401363172983856</v>
      </c>
      <c r="G3082" s="408">
        <v>543.43799999999999</v>
      </c>
      <c r="H3082" s="423" t="s">
        <v>581</v>
      </c>
      <c r="I3082" s="423" t="s">
        <v>3419</v>
      </c>
      <c r="J3082" s="243" t="s">
        <v>96</v>
      </c>
      <c r="K3082" s="243" t="s">
        <v>1906</v>
      </c>
      <c r="L3082" s="243" t="s">
        <v>153</v>
      </c>
    </row>
    <row r="3083" spans="1:14" ht="15.6" hidden="1">
      <c r="A3083" s="438">
        <v>45944</v>
      </c>
      <c r="B3083" s="243" t="s">
        <v>3388</v>
      </c>
      <c r="C3083" s="423" t="s">
        <v>172</v>
      </c>
      <c r="D3083" s="423" t="s">
        <v>116</v>
      </c>
      <c r="E3083" s="464">
        <v>1000</v>
      </c>
      <c r="F3083" s="407">
        <f t="shared" si="42"/>
        <v>1.8401363172983856</v>
      </c>
      <c r="G3083" s="408">
        <v>543.43799999999999</v>
      </c>
      <c r="H3083" s="423" t="s">
        <v>581</v>
      </c>
      <c r="I3083" s="423" t="s">
        <v>3419</v>
      </c>
      <c r="J3083" s="243" t="s">
        <v>96</v>
      </c>
      <c r="K3083" s="243" t="s">
        <v>1906</v>
      </c>
      <c r="L3083" s="243" t="s">
        <v>153</v>
      </c>
    </row>
    <row r="3084" spans="1:14" ht="15.6" hidden="1">
      <c r="A3084" s="438">
        <v>45944</v>
      </c>
      <c r="B3084" s="243" t="s">
        <v>2141</v>
      </c>
      <c r="C3084" s="423" t="s">
        <v>172</v>
      </c>
      <c r="D3084" s="423" t="s">
        <v>116</v>
      </c>
      <c r="E3084" s="464">
        <v>1000</v>
      </c>
      <c r="F3084" s="407">
        <f t="shared" si="42"/>
        <v>1.8401363172983856</v>
      </c>
      <c r="G3084" s="408">
        <v>543.43799999999999</v>
      </c>
      <c r="H3084" s="423" t="s">
        <v>581</v>
      </c>
      <c r="I3084" s="423" t="s">
        <v>3419</v>
      </c>
      <c r="J3084" s="243" t="s">
        <v>96</v>
      </c>
      <c r="K3084" s="243" t="s">
        <v>1906</v>
      </c>
      <c r="L3084" s="243" t="s">
        <v>153</v>
      </c>
    </row>
    <row r="3085" spans="1:14" ht="15.6" hidden="1">
      <c r="A3085" s="438">
        <v>45944</v>
      </c>
      <c r="B3085" s="331" t="s">
        <v>4917</v>
      </c>
      <c r="C3085" s="331" t="s">
        <v>172</v>
      </c>
      <c r="D3085" s="331" t="s">
        <v>119</v>
      </c>
      <c r="E3085" s="459">
        <v>1500</v>
      </c>
      <c r="F3085" s="407">
        <f t="shared" si="42"/>
        <v>2.7602044759475781</v>
      </c>
      <c r="G3085" s="408">
        <v>543.43799999999999</v>
      </c>
      <c r="H3085" s="331" t="s">
        <v>182</v>
      </c>
      <c r="I3085" s="331" t="s">
        <v>3447</v>
      </c>
      <c r="J3085" s="243" t="s">
        <v>96</v>
      </c>
      <c r="K3085" s="243" t="s">
        <v>1906</v>
      </c>
      <c r="L3085" s="243" t="s">
        <v>153</v>
      </c>
    </row>
    <row r="3086" spans="1:14" ht="15.6" hidden="1">
      <c r="A3086" s="438">
        <v>45944</v>
      </c>
      <c r="B3086" s="331" t="s">
        <v>4917</v>
      </c>
      <c r="C3086" s="331" t="s">
        <v>172</v>
      </c>
      <c r="D3086" s="331" t="s">
        <v>119</v>
      </c>
      <c r="E3086" s="459">
        <v>3000</v>
      </c>
      <c r="F3086" s="407">
        <f t="shared" si="42"/>
        <v>5.5204089518951562</v>
      </c>
      <c r="G3086" s="408">
        <v>543.43799999999999</v>
      </c>
      <c r="H3086" s="331" t="s">
        <v>182</v>
      </c>
      <c r="I3086" s="331" t="s">
        <v>3447</v>
      </c>
      <c r="J3086" s="243" t="s">
        <v>96</v>
      </c>
      <c r="K3086" s="243" t="s">
        <v>1906</v>
      </c>
      <c r="L3086" s="243" t="s">
        <v>153</v>
      </c>
    </row>
    <row r="3087" spans="1:14" ht="15.6" hidden="1">
      <c r="A3087" s="438">
        <v>45944</v>
      </c>
      <c r="B3087" s="331" t="s">
        <v>4917</v>
      </c>
      <c r="C3087" s="331" t="s">
        <v>172</v>
      </c>
      <c r="D3087" s="331" t="s">
        <v>119</v>
      </c>
      <c r="E3087" s="459">
        <v>3000</v>
      </c>
      <c r="F3087" s="407">
        <f t="shared" si="42"/>
        <v>5.5204089518951562</v>
      </c>
      <c r="G3087" s="408">
        <v>543.43799999999999</v>
      </c>
      <c r="H3087" s="331" t="s">
        <v>182</v>
      </c>
      <c r="I3087" s="331" t="s">
        <v>3447</v>
      </c>
      <c r="J3087" s="243" t="s">
        <v>96</v>
      </c>
      <c r="K3087" s="243" t="s">
        <v>1906</v>
      </c>
      <c r="L3087" s="243" t="s">
        <v>153</v>
      </c>
    </row>
    <row r="3088" spans="1:14" ht="15.6" hidden="1">
      <c r="A3088" s="438">
        <v>45944</v>
      </c>
      <c r="B3088" s="331" t="s">
        <v>4912</v>
      </c>
      <c r="C3088" s="331" t="s">
        <v>172</v>
      </c>
      <c r="D3088" s="331" t="s">
        <v>119</v>
      </c>
      <c r="E3088" s="459">
        <v>1500</v>
      </c>
      <c r="F3088" s="407">
        <f t="shared" si="42"/>
        <v>2.7602044759475781</v>
      </c>
      <c r="G3088" s="408">
        <v>543.43799999999999</v>
      </c>
      <c r="H3088" s="331" t="s">
        <v>182</v>
      </c>
      <c r="I3088" s="331" t="s">
        <v>3447</v>
      </c>
      <c r="J3088" s="243" t="s">
        <v>96</v>
      </c>
      <c r="K3088" s="243" t="s">
        <v>1906</v>
      </c>
      <c r="L3088" s="243" t="s">
        <v>153</v>
      </c>
    </row>
    <row r="3089" spans="1:12" ht="15.6" hidden="1">
      <c r="A3089" s="438">
        <v>45944</v>
      </c>
      <c r="B3089" s="331" t="s">
        <v>2932</v>
      </c>
      <c r="C3089" s="331" t="s">
        <v>366</v>
      </c>
      <c r="D3089" s="331" t="s">
        <v>119</v>
      </c>
      <c r="E3089" s="459">
        <v>1000</v>
      </c>
      <c r="F3089" s="407">
        <f t="shared" si="42"/>
        <v>1.8401363172983856</v>
      </c>
      <c r="G3089" s="408">
        <v>543.43799999999999</v>
      </c>
      <c r="H3089" s="331" t="s">
        <v>182</v>
      </c>
      <c r="I3089" s="331" t="s">
        <v>3456</v>
      </c>
      <c r="J3089" s="243" t="s">
        <v>96</v>
      </c>
      <c r="K3089" s="243" t="s">
        <v>1906</v>
      </c>
      <c r="L3089" s="243" t="s">
        <v>153</v>
      </c>
    </row>
    <row r="3090" spans="1:12" ht="15.6" hidden="1">
      <c r="A3090" s="438">
        <v>45944</v>
      </c>
      <c r="B3090" s="243" t="s">
        <v>4876</v>
      </c>
      <c r="C3090" s="243" t="s">
        <v>172</v>
      </c>
      <c r="D3090" s="243" t="s">
        <v>119</v>
      </c>
      <c r="E3090" s="460">
        <v>3000</v>
      </c>
      <c r="F3090" s="407">
        <f t="shared" si="42"/>
        <v>5.5204089518951562</v>
      </c>
      <c r="G3090" s="408">
        <v>543.43799999999999</v>
      </c>
      <c r="H3090" s="243" t="s">
        <v>315</v>
      </c>
      <c r="I3090" s="243" t="s">
        <v>3510</v>
      </c>
      <c r="J3090" s="243" t="s">
        <v>96</v>
      </c>
      <c r="K3090" s="243" t="s">
        <v>1906</v>
      </c>
      <c r="L3090" s="243" t="s">
        <v>153</v>
      </c>
    </row>
    <row r="3091" spans="1:12" ht="15.6" hidden="1">
      <c r="A3091" s="438">
        <v>45944</v>
      </c>
      <c r="B3091" s="243" t="s">
        <v>4876</v>
      </c>
      <c r="C3091" s="243" t="s">
        <v>172</v>
      </c>
      <c r="D3091" s="243" t="s">
        <v>119</v>
      </c>
      <c r="E3091" s="460">
        <v>2000</v>
      </c>
      <c r="F3091" s="407">
        <f t="shared" si="42"/>
        <v>3.6802726345967711</v>
      </c>
      <c r="G3091" s="408">
        <v>543.43799999999999</v>
      </c>
      <c r="H3091" s="243" t="s">
        <v>315</v>
      </c>
      <c r="I3091" s="243" t="s">
        <v>3510</v>
      </c>
      <c r="J3091" s="243" t="s">
        <v>96</v>
      </c>
      <c r="K3091" s="243" t="s">
        <v>1906</v>
      </c>
      <c r="L3091" s="243" t="s">
        <v>153</v>
      </c>
    </row>
    <row r="3092" spans="1:12" ht="15.6" hidden="1">
      <c r="A3092" s="438">
        <v>45944</v>
      </c>
      <c r="B3092" s="243" t="s">
        <v>4876</v>
      </c>
      <c r="C3092" s="243" t="s">
        <v>172</v>
      </c>
      <c r="D3092" s="243" t="s">
        <v>119</v>
      </c>
      <c r="E3092" s="460">
        <v>2000</v>
      </c>
      <c r="F3092" s="407">
        <f t="shared" si="42"/>
        <v>3.6802726345967711</v>
      </c>
      <c r="G3092" s="408">
        <v>543.43799999999999</v>
      </c>
      <c r="H3092" s="243" t="s">
        <v>315</v>
      </c>
      <c r="I3092" s="243" t="s">
        <v>3510</v>
      </c>
      <c r="J3092" s="243" t="s">
        <v>96</v>
      </c>
      <c r="K3092" s="243" t="s">
        <v>1906</v>
      </c>
      <c r="L3092" s="243" t="s">
        <v>153</v>
      </c>
    </row>
    <row r="3093" spans="1:12" ht="15.6" hidden="1">
      <c r="A3093" s="438">
        <v>45944</v>
      </c>
      <c r="B3093" s="243" t="s">
        <v>4876</v>
      </c>
      <c r="C3093" s="243" t="s">
        <v>172</v>
      </c>
      <c r="D3093" s="243" t="s">
        <v>119</v>
      </c>
      <c r="E3093" s="457">
        <v>1500</v>
      </c>
      <c r="F3093" s="407">
        <f t="shared" si="42"/>
        <v>2.7602044759475781</v>
      </c>
      <c r="G3093" s="408">
        <v>543.43799999999999</v>
      </c>
      <c r="H3093" s="243" t="s">
        <v>321</v>
      </c>
      <c r="I3093" s="243" t="s">
        <v>3533</v>
      </c>
      <c r="J3093" s="243" t="s">
        <v>96</v>
      </c>
      <c r="K3093" s="243" t="s">
        <v>1906</v>
      </c>
      <c r="L3093" s="243" t="s">
        <v>153</v>
      </c>
    </row>
    <row r="3094" spans="1:12" ht="15.6" hidden="1">
      <c r="A3094" s="438">
        <v>45944</v>
      </c>
      <c r="B3094" s="243" t="s">
        <v>4917</v>
      </c>
      <c r="C3094" s="243" t="s">
        <v>172</v>
      </c>
      <c r="D3094" s="243" t="s">
        <v>119</v>
      </c>
      <c r="E3094" s="457">
        <v>1000</v>
      </c>
      <c r="F3094" s="407">
        <f t="shared" si="42"/>
        <v>1.8401363172983856</v>
      </c>
      <c r="G3094" s="408">
        <v>543.43799999999999</v>
      </c>
      <c r="H3094" s="243" t="s">
        <v>321</v>
      </c>
      <c r="I3094" s="243" t="s">
        <v>3533</v>
      </c>
      <c r="J3094" s="243" t="s">
        <v>96</v>
      </c>
      <c r="K3094" s="243" t="s">
        <v>1906</v>
      </c>
      <c r="L3094" s="243" t="s">
        <v>153</v>
      </c>
    </row>
    <row r="3095" spans="1:12" ht="15.6" hidden="1">
      <c r="A3095" s="438">
        <v>45944</v>
      </c>
      <c r="B3095" s="243" t="s">
        <v>4876</v>
      </c>
      <c r="C3095" s="243" t="s">
        <v>172</v>
      </c>
      <c r="D3095" s="243" t="s">
        <v>119</v>
      </c>
      <c r="E3095" s="457">
        <v>1000</v>
      </c>
      <c r="F3095" s="407">
        <f t="shared" si="42"/>
        <v>1.8401363172983856</v>
      </c>
      <c r="G3095" s="408">
        <v>543.43799999999999</v>
      </c>
      <c r="H3095" s="243" t="s">
        <v>321</v>
      </c>
      <c r="I3095" s="243" t="s">
        <v>3533</v>
      </c>
      <c r="J3095" s="243" t="s">
        <v>96</v>
      </c>
      <c r="K3095" s="243" t="s">
        <v>1906</v>
      </c>
      <c r="L3095" s="243" t="s">
        <v>153</v>
      </c>
    </row>
    <row r="3096" spans="1:12" ht="15.6" hidden="1">
      <c r="A3096" s="438">
        <v>45944</v>
      </c>
      <c r="B3096" s="243" t="s">
        <v>3730</v>
      </c>
      <c r="C3096" s="243" t="s">
        <v>175</v>
      </c>
      <c r="D3096" s="243" t="s">
        <v>115</v>
      </c>
      <c r="E3096" s="457">
        <v>225000</v>
      </c>
      <c r="F3096" s="407">
        <f t="shared" si="42"/>
        <v>414.03067139213675</v>
      </c>
      <c r="G3096" s="408">
        <v>543.43799999999999</v>
      </c>
      <c r="H3096" s="239" t="s">
        <v>195</v>
      </c>
      <c r="I3096" s="243" t="s">
        <v>3755</v>
      </c>
      <c r="J3096" s="243" t="s">
        <v>96</v>
      </c>
      <c r="K3096" s="243" t="s">
        <v>1906</v>
      </c>
      <c r="L3096" s="243" t="s">
        <v>153</v>
      </c>
    </row>
    <row r="3097" spans="1:12" ht="15.6" hidden="1">
      <c r="A3097" s="438">
        <v>45944</v>
      </c>
      <c r="B3097" s="243" t="s">
        <v>3731</v>
      </c>
      <c r="C3097" s="239" t="s">
        <v>194</v>
      </c>
      <c r="D3097" s="239" t="s">
        <v>115</v>
      </c>
      <c r="E3097" s="457">
        <v>1000</v>
      </c>
      <c r="F3097" s="407">
        <f t="shared" si="42"/>
        <v>1.8401363172983856</v>
      </c>
      <c r="G3097" s="408">
        <v>543.43799999999999</v>
      </c>
      <c r="H3097" s="239" t="s">
        <v>195</v>
      </c>
      <c r="I3097" s="243" t="s">
        <v>3747</v>
      </c>
      <c r="J3097" s="243" t="s">
        <v>96</v>
      </c>
      <c r="K3097" s="243" t="s">
        <v>1906</v>
      </c>
      <c r="L3097" s="243" t="s">
        <v>153</v>
      </c>
    </row>
    <row r="3098" spans="1:12" ht="15.6" hidden="1">
      <c r="A3098" s="438">
        <v>45944</v>
      </c>
      <c r="B3098" s="461" t="s">
        <v>3825</v>
      </c>
      <c r="C3098" s="439" t="s">
        <v>172</v>
      </c>
      <c r="D3098" s="461" t="s">
        <v>118</v>
      </c>
      <c r="E3098" s="464">
        <v>1000</v>
      </c>
      <c r="F3098" s="407">
        <f t="shared" si="42"/>
        <v>1.8401363172983856</v>
      </c>
      <c r="G3098" s="408">
        <v>543.43799999999999</v>
      </c>
      <c r="H3098" s="461" t="s">
        <v>211</v>
      </c>
      <c r="I3098" s="461" t="s">
        <v>3910</v>
      </c>
      <c r="J3098" s="243" t="s">
        <v>96</v>
      </c>
      <c r="K3098" s="243" t="s">
        <v>1906</v>
      </c>
      <c r="L3098" s="243" t="s">
        <v>153</v>
      </c>
    </row>
    <row r="3099" spans="1:12" ht="15.6" hidden="1">
      <c r="A3099" s="438">
        <v>45944</v>
      </c>
      <c r="B3099" s="461" t="s">
        <v>3817</v>
      </c>
      <c r="C3099" s="439" t="s">
        <v>172</v>
      </c>
      <c r="D3099" s="461" t="s">
        <v>118</v>
      </c>
      <c r="E3099" s="464">
        <v>1000</v>
      </c>
      <c r="F3099" s="407">
        <f t="shared" si="42"/>
        <v>1.8401363172983856</v>
      </c>
      <c r="G3099" s="408">
        <v>543.43799999999999</v>
      </c>
      <c r="H3099" s="461" t="s">
        <v>211</v>
      </c>
      <c r="I3099" s="461" t="s">
        <v>3910</v>
      </c>
      <c r="J3099" s="243" t="s">
        <v>96</v>
      </c>
      <c r="K3099" s="243" t="s">
        <v>1906</v>
      </c>
      <c r="L3099" s="243" t="s">
        <v>153</v>
      </c>
    </row>
    <row r="3100" spans="1:12" ht="15.6" hidden="1">
      <c r="A3100" s="438">
        <v>45944</v>
      </c>
      <c r="B3100" s="461" t="s">
        <v>3818</v>
      </c>
      <c r="C3100" s="439" t="s">
        <v>172</v>
      </c>
      <c r="D3100" s="461" t="s">
        <v>118</v>
      </c>
      <c r="E3100" s="464">
        <v>1000</v>
      </c>
      <c r="F3100" s="407">
        <f t="shared" si="42"/>
        <v>1.8401363172983856</v>
      </c>
      <c r="G3100" s="408">
        <v>543.43799999999999</v>
      </c>
      <c r="H3100" s="461" t="s">
        <v>211</v>
      </c>
      <c r="I3100" s="461" t="s">
        <v>3910</v>
      </c>
      <c r="J3100" s="243" t="s">
        <v>96</v>
      </c>
      <c r="K3100" s="243" t="s">
        <v>1906</v>
      </c>
      <c r="L3100" s="243" t="s">
        <v>153</v>
      </c>
    </row>
    <row r="3101" spans="1:12" ht="15.6" hidden="1">
      <c r="A3101" s="438">
        <v>45944</v>
      </c>
      <c r="B3101" s="461" t="s">
        <v>3819</v>
      </c>
      <c r="C3101" s="439" t="s">
        <v>172</v>
      </c>
      <c r="D3101" s="461" t="s">
        <v>118</v>
      </c>
      <c r="E3101" s="464">
        <v>1000</v>
      </c>
      <c r="F3101" s="407">
        <f t="shared" si="42"/>
        <v>1.8401363172983856</v>
      </c>
      <c r="G3101" s="408">
        <v>543.43799999999999</v>
      </c>
      <c r="H3101" s="461" t="s">
        <v>211</v>
      </c>
      <c r="I3101" s="461" t="s">
        <v>3910</v>
      </c>
      <c r="J3101" s="243" t="s">
        <v>96</v>
      </c>
      <c r="K3101" s="243" t="s">
        <v>1906</v>
      </c>
      <c r="L3101" s="243" t="s">
        <v>153</v>
      </c>
    </row>
    <row r="3102" spans="1:12" ht="15.6" hidden="1">
      <c r="A3102" s="438">
        <v>45944</v>
      </c>
      <c r="B3102" s="423" t="s">
        <v>3951</v>
      </c>
      <c r="C3102" s="423" t="s">
        <v>172</v>
      </c>
      <c r="D3102" s="423" t="s">
        <v>115</v>
      </c>
      <c r="E3102" s="471">
        <v>3500</v>
      </c>
      <c r="F3102" s="407">
        <f t="shared" si="42"/>
        <v>6.4404771105443492</v>
      </c>
      <c r="G3102" s="408">
        <v>543.43799999999999</v>
      </c>
      <c r="H3102" s="423" t="s">
        <v>185</v>
      </c>
      <c r="I3102" s="423" t="s">
        <v>4008</v>
      </c>
      <c r="J3102" s="243" t="s">
        <v>96</v>
      </c>
      <c r="K3102" s="243" t="s">
        <v>1906</v>
      </c>
      <c r="L3102" s="243" t="s">
        <v>153</v>
      </c>
    </row>
    <row r="3103" spans="1:12" ht="15.6" hidden="1">
      <c r="A3103" s="438">
        <v>45944</v>
      </c>
      <c r="B3103" s="423" t="s">
        <v>3952</v>
      </c>
      <c r="C3103" s="423" t="s">
        <v>172</v>
      </c>
      <c r="D3103" s="423" t="s">
        <v>115</v>
      </c>
      <c r="E3103" s="471">
        <v>300</v>
      </c>
      <c r="F3103" s="407">
        <f t="shared" si="42"/>
        <v>0.5520408951895156</v>
      </c>
      <c r="G3103" s="408">
        <v>543.43799999999999</v>
      </c>
      <c r="H3103" s="423" t="s">
        <v>185</v>
      </c>
      <c r="I3103" s="423" t="s">
        <v>4008</v>
      </c>
      <c r="J3103" s="243" t="s">
        <v>96</v>
      </c>
      <c r="K3103" s="243" t="s">
        <v>1906</v>
      </c>
      <c r="L3103" s="243" t="s">
        <v>153</v>
      </c>
    </row>
    <row r="3104" spans="1:12" ht="15.6" hidden="1">
      <c r="A3104" s="438">
        <v>45944</v>
      </c>
      <c r="B3104" s="423" t="s">
        <v>3953</v>
      </c>
      <c r="C3104" s="423" t="s">
        <v>172</v>
      </c>
      <c r="D3104" s="423" t="s">
        <v>115</v>
      </c>
      <c r="E3104" s="471">
        <v>300</v>
      </c>
      <c r="F3104" s="407">
        <f t="shared" si="42"/>
        <v>0.5520408951895156</v>
      </c>
      <c r="G3104" s="408">
        <v>543.43799999999999</v>
      </c>
      <c r="H3104" s="423" t="s">
        <v>185</v>
      </c>
      <c r="I3104" s="423" t="s">
        <v>4008</v>
      </c>
      <c r="J3104" s="243" t="s">
        <v>96</v>
      </c>
      <c r="K3104" s="243" t="s">
        <v>1906</v>
      </c>
      <c r="L3104" s="243" t="s">
        <v>153</v>
      </c>
    </row>
    <row r="3105" spans="1:12" ht="15.6" hidden="1">
      <c r="A3105" s="438">
        <v>45944</v>
      </c>
      <c r="B3105" s="423" t="s">
        <v>3954</v>
      </c>
      <c r="C3105" s="423" t="s">
        <v>311</v>
      </c>
      <c r="D3105" s="423" t="s">
        <v>115</v>
      </c>
      <c r="E3105" s="471">
        <v>3000</v>
      </c>
      <c r="F3105" s="407">
        <f t="shared" si="42"/>
        <v>5.5204089518951562</v>
      </c>
      <c r="G3105" s="408">
        <v>543.43799999999999</v>
      </c>
      <c r="H3105" s="423" t="s">
        <v>185</v>
      </c>
      <c r="I3105" s="423" t="s">
        <v>4017</v>
      </c>
      <c r="J3105" s="243" t="s">
        <v>96</v>
      </c>
      <c r="K3105" s="243" t="s">
        <v>1906</v>
      </c>
      <c r="L3105" s="243" t="s">
        <v>153</v>
      </c>
    </row>
    <row r="3106" spans="1:12" ht="15.6" hidden="1">
      <c r="A3106" s="438">
        <v>45944</v>
      </c>
      <c r="B3106" s="423" t="s">
        <v>3955</v>
      </c>
      <c r="C3106" s="423" t="s">
        <v>172</v>
      </c>
      <c r="D3106" s="423" t="s">
        <v>115</v>
      </c>
      <c r="E3106" s="471">
        <v>300</v>
      </c>
      <c r="F3106" s="407">
        <f t="shared" si="42"/>
        <v>0.5520408951895156</v>
      </c>
      <c r="G3106" s="408">
        <v>543.43799999999999</v>
      </c>
      <c r="H3106" s="423" t="s">
        <v>185</v>
      </c>
      <c r="I3106" s="423" t="s">
        <v>4008</v>
      </c>
      <c r="J3106" s="243" t="s">
        <v>96</v>
      </c>
      <c r="K3106" s="243" t="s">
        <v>1906</v>
      </c>
      <c r="L3106" s="243" t="s">
        <v>153</v>
      </c>
    </row>
    <row r="3107" spans="1:12" ht="15.6" hidden="1">
      <c r="A3107" s="438">
        <v>45944</v>
      </c>
      <c r="B3107" s="423" t="s">
        <v>3956</v>
      </c>
      <c r="C3107" s="423" t="s">
        <v>175</v>
      </c>
      <c r="D3107" s="423" t="s">
        <v>115</v>
      </c>
      <c r="E3107" s="471">
        <v>20000</v>
      </c>
      <c r="F3107" s="407">
        <f t="shared" si="42"/>
        <v>36.802726345967713</v>
      </c>
      <c r="G3107" s="408">
        <v>543.43799999999999</v>
      </c>
      <c r="H3107" s="423" t="s">
        <v>185</v>
      </c>
      <c r="I3107" s="423" t="s">
        <v>4018</v>
      </c>
      <c r="J3107" s="243" t="s">
        <v>96</v>
      </c>
      <c r="K3107" s="243" t="s">
        <v>1906</v>
      </c>
      <c r="L3107" s="243" t="s">
        <v>153</v>
      </c>
    </row>
    <row r="3108" spans="1:12" ht="15.6" hidden="1">
      <c r="A3108" s="438">
        <v>45944</v>
      </c>
      <c r="B3108" s="318" t="s">
        <v>4046</v>
      </c>
      <c r="C3108" s="318" t="s">
        <v>125</v>
      </c>
      <c r="D3108" s="318" t="s">
        <v>115</v>
      </c>
      <c r="E3108" s="349">
        <v>412967</v>
      </c>
      <c r="F3108" s="407">
        <f t="shared" si="42"/>
        <v>759.91557454576241</v>
      </c>
      <c r="G3108" s="408">
        <v>543.43799999999999</v>
      </c>
      <c r="H3108" s="125" t="s">
        <v>146</v>
      </c>
      <c r="I3108" s="125" t="s">
        <v>4079</v>
      </c>
      <c r="J3108" s="243" t="s">
        <v>96</v>
      </c>
      <c r="K3108" s="243" t="s">
        <v>1906</v>
      </c>
      <c r="L3108" s="243" t="s">
        <v>153</v>
      </c>
    </row>
    <row r="3109" spans="1:12" ht="15.6" hidden="1">
      <c r="A3109" s="438">
        <v>45944</v>
      </c>
      <c r="B3109" s="318" t="s">
        <v>4047</v>
      </c>
      <c r="C3109" s="318" t="s">
        <v>125</v>
      </c>
      <c r="D3109" s="318" t="s">
        <v>115</v>
      </c>
      <c r="E3109" s="349">
        <v>192357</v>
      </c>
      <c r="F3109" s="407">
        <f t="shared" si="42"/>
        <v>353.96310158656553</v>
      </c>
      <c r="G3109" s="408">
        <v>543.43799999999999</v>
      </c>
      <c r="H3109" s="125" t="s">
        <v>146</v>
      </c>
      <c r="I3109" s="125" t="s">
        <v>4080</v>
      </c>
      <c r="J3109" s="243" t="s">
        <v>96</v>
      </c>
      <c r="K3109" s="243" t="s">
        <v>1906</v>
      </c>
      <c r="L3109" s="243" t="s">
        <v>153</v>
      </c>
    </row>
    <row r="3110" spans="1:12" ht="15.6" hidden="1">
      <c r="A3110" s="438">
        <v>45944</v>
      </c>
      <c r="B3110" s="318" t="s">
        <v>4048</v>
      </c>
      <c r="C3110" s="318" t="s">
        <v>125</v>
      </c>
      <c r="D3110" s="318" t="s">
        <v>115</v>
      </c>
      <c r="E3110" s="349">
        <v>95805</v>
      </c>
      <c r="F3110" s="407">
        <f t="shared" si="42"/>
        <v>176.29425987877181</v>
      </c>
      <c r="G3110" s="408">
        <v>543.43799999999999</v>
      </c>
      <c r="H3110" s="125" t="s">
        <v>146</v>
      </c>
      <c r="I3110" s="125" t="s">
        <v>4081</v>
      </c>
      <c r="J3110" s="243" t="s">
        <v>96</v>
      </c>
      <c r="K3110" s="243" t="s">
        <v>1906</v>
      </c>
      <c r="L3110" s="243" t="s">
        <v>153</v>
      </c>
    </row>
    <row r="3111" spans="1:12" ht="15.6" hidden="1">
      <c r="A3111" s="438">
        <v>45944</v>
      </c>
      <c r="B3111" s="318" t="s">
        <v>4049</v>
      </c>
      <c r="C3111" s="318" t="s">
        <v>125</v>
      </c>
      <c r="D3111" s="318" t="s">
        <v>115</v>
      </c>
      <c r="E3111" s="349">
        <v>118062</v>
      </c>
      <c r="F3111" s="407">
        <f t="shared" si="42"/>
        <v>217.250173892882</v>
      </c>
      <c r="G3111" s="408">
        <v>543.43799999999999</v>
      </c>
      <c r="H3111" s="125" t="s">
        <v>146</v>
      </c>
      <c r="I3111" s="125" t="s">
        <v>4082</v>
      </c>
      <c r="J3111" s="243" t="s">
        <v>96</v>
      </c>
      <c r="K3111" s="243" t="s">
        <v>1906</v>
      </c>
      <c r="L3111" s="243" t="s">
        <v>153</v>
      </c>
    </row>
    <row r="3112" spans="1:12" ht="15.6" hidden="1">
      <c r="A3112" s="438">
        <v>45944</v>
      </c>
      <c r="B3112" s="318" t="s">
        <v>4050</v>
      </c>
      <c r="C3112" s="318" t="s">
        <v>125</v>
      </c>
      <c r="D3112" s="318" t="s">
        <v>115</v>
      </c>
      <c r="E3112" s="349">
        <v>118062</v>
      </c>
      <c r="F3112" s="407">
        <f t="shared" si="42"/>
        <v>217.250173892882</v>
      </c>
      <c r="G3112" s="408">
        <v>543.43799999999999</v>
      </c>
      <c r="H3112" s="125" t="s">
        <v>146</v>
      </c>
      <c r="I3112" s="125" t="s">
        <v>4083</v>
      </c>
      <c r="J3112" s="243" t="s">
        <v>96</v>
      </c>
      <c r="K3112" s="243" t="s">
        <v>1906</v>
      </c>
      <c r="L3112" s="243" t="s">
        <v>153</v>
      </c>
    </row>
    <row r="3113" spans="1:12" ht="15.6" hidden="1">
      <c r="A3113" s="438">
        <v>45944</v>
      </c>
      <c r="B3113" s="318" t="s">
        <v>4051</v>
      </c>
      <c r="C3113" s="318" t="s">
        <v>125</v>
      </c>
      <c r="D3113" s="318" t="s">
        <v>116</v>
      </c>
      <c r="E3113" s="349">
        <v>139002</v>
      </c>
      <c r="F3113" s="407">
        <f t="shared" si="42"/>
        <v>255.78262837711017</v>
      </c>
      <c r="G3113" s="408">
        <v>543.43799999999999</v>
      </c>
      <c r="H3113" s="125" t="s">
        <v>146</v>
      </c>
      <c r="I3113" s="125" t="s">
        <v>4084</v>
      </c>
      <c r="J3113" s="243" t="s">
        <v>96</v>
      </c>
      <c r="K3113" s="243" t="s">
        <v>1906</v>
      </c>
      <c r="L3113" s="243" t="s">
        <v>153</v>
      </c>
    </row>
    <row r="3114" spans="1:12" ht="15.6" hidden="1">
      <c r="A3114" s="438">
        <v>45944</v>
      </c>
      <c r="B3114" s="318" t="s">
        <v>4052</v>
      </c>
      <c r="C3114" s="318" t="s">
        <v>125</v>
      </c>
      <c r="D3114" s="318" t="s">
        <v>118</v>
      </c>
      <c r="E3114" s="349">
        <v>142128</v>
      </c>
      <c r="F3114" s="407">
        <f t="shared" si="42"/>
        <v>261.53489450498495</v>
      </c>
      <c r="G3114" s="408">
        <v>543.43799999999999</v>
      </c>
      <c r="H3114" s="125" t="s">
        <v>146</v>
      </c>
      <c r="I3114" s="125" t="s">
        <v>4085</v>
      </c>
      <c r="J3114" s="243" t="s">
        <v>96</v>
      </c>
      <c r="K3114" s="243" t="s">
        <v>1906</v>
      </c>
      <c r="L3114" s="243" t="s">
        <v>153</v>
      </c>
    </row>
    <row r="3115" spans="1:12" ht="15.6" hidden="1">
      <c r="A3115" s="438">
        <v>45945</v>
      </c>
      <c r="B3115" s="239" t="s">
        <v>2103</v>
      </c>
      <c r="C3115" s="453" t="s">
        <v>172</v>
      </c>
      <c r="D3115" s="453" t="s">
        <v>117</v>
      </c>
      <c r="E3115" s="458">
        <v>1000</v>
      </c>
      <c r="F3115" s="407">
        <f t="shared" si="42"/>
        <v>1.8401363172983856</v>
      </c>
      <c r="G3115" s="408">
        <v>543.43799999999999</v>
      </c>
      <c r="H3115" s="454" t="s">
        <v>151</v>
      </c>
      <c r="I3115" s="239" t="s">
        <v>3264</v>
      </c>
      <c r="J3115" s="243" t="s">
        <v>96</v>
      </c>
      <c r="K3115" s="243" t="s">
        <v>1906</v>
      </c>
      <c r="L3115" s="243" t="s">
        <v>153</v>
      </c>
    </row>
    <row r="3116" spans="1:12" ht="15.6" hidden="1">
      <c r="A3116" s="438">
        <v>45945</v>
      </c>
      <c r="B3116" s="239" t="s">
        <v>2104</v>
      </c>
      <c r="C3116" s="453" t="s">
        <v>172</v>
      </c>
      <c r="D3116" s="453" t="s">
        <v>117</v>
      </c>
      <c r="E3116" s="458">
        <v>1000</v>
      </c>
      <c r="F3116" s="407">
        <f t="shared" si="42"/>
        <v>1.8401363172983856</v>
      </c>
      <c r="G3116" s="408">
        <v>543.43799999999999</v>
      </c>
      <c r="H3116" s="454" t="s">
        <v>151</v>
      </c>
      <c r="I3116" s="239" t="s">
        <v>3264</v>
      </c>
      <c r="J3116" s="243" t="s">
        <v>96</v>
      </c>
      <c r="K3116" s="243" t="s">
        <v>1906</v>
      </c>
      <c r="L3116" s="243" t="s">
        <v>153</v>
      </c>
    </row>
    <row r="3117" spans="1:12" ht="15.6" hidden="1">
      <c r="A3117" s="438">
        <v>45945</v>
      </c>
      <c r="B3117" s="243" t="s">
        <v>3389</v>
      </c>
      <c r="C3117" s="423" t="s">
        <v>172</v>
      </c>
      <c r="D3117" s="423" t="s">
        <v>116</v>
      </c>
      <c r="E3117" s="464">
        <v>1000</v>
      </c>
      <c r="F3117" s="407">
        <f t="shared" si="42"/>
        <v>1.8401363172983856</v>
      </c>
      <c r="G3117" s="408">
        <v>543.43799999999999</v>
      </c>
      <c r="H3117" s="423" t="s">
        <v>581</v>
      </c>
      <c r="I3117" s="423" t="s">
        <v>3419</v>
      </c>
      <c r="J3117" s="243" t="s">
        <v>96</v>
      </c>
      <c r="K3117" s="243" t="s">
        <v>1906</v>
      </c>
      <c r="L3117" s="243" t="s">
        <v>153</v>
      </c>
    </row>
    <row r="3118" spans="1:12" ht="15.6" hidden="1">
      <c r="A3118" s="438">
        <v>45945</v>
      </c>
      <c r="B3118" s="243" t="s">
        <v>3390</v>
      </c>
      <c r="C3118" s="423" t="s">
        <v>172</v>
      </c>
      <c r="D3118" s="423" t="s">
        <v>116</v>
      </c>
      <c r="E3118" s="464">
        <v>1000</v>
      </c>
      <c r="F3118" s="407">
        <f t="shared" si="42"/>
        <v>1.8401363172983856</v>
      </c>
      <c r="G3118" s="408">
        <v>543.43799999999999</v>
      </c>
      <c r="H3118" s="423" t="s">
        <v>581</v>
      </c>
      <c r="I3118" s="423" t="s">
        <v>3419</v>
      </c>
      <c r="J3118" s="243" t="s">
        <v>96</v>
      </c>
      <c r="K3118" s="243" t="s">
        <v>1906</v>
      </c>
      <c r="L3118" s="243" t="s">
        <v>153</v>
      </c>
    </row>
    <row r="3119" spans="1:12" ht="15.6" hidden="1">
      <c r="A3119" s="438">
        <v>45945</v>
      </c>
      <c r="B3119" s="423" t="s">
        <v>3391</v>
      </c>
      <c r="C3119" s="423" t="s">
        <v>124</v>
      </c>
      <c r="D3119" s="423" t="s">
        <v>116</v>
      </c>
      <c r="E3119" s="464">
        <v>38250</v>
      </c>
      <c r="F3119" s="407">
        <f t="shared" si="42"/>
        <v>70.385214136663251</v>
      </c>
      <c r="G3119" s="408">
        <v>543.43799999999999</v>
      </c>
      <c r="H3119" s="423" t="s">
        <v>581</v>
      </c>
      <c r="I3119" s="456" t="s">
        <v>3438</v>
      </c>
      <c r="J3119" s="243" t="s">
        <v>96</v>
      </c>
      <c r="K3119" s="243" t="s">
        <v>1906</v>
      </c>
      <c r="L3119" s="243" t="s">
        <v>153</v>
      </c>
    </row>
    <row r="3120" spans="1:12" ht="15.6" hidden="1">
      <c r="A3120" s="438">
        <v>45945</v>
      </c>
      <c r="B3120" s="331" t="s">
        <v>4917</v>
      </c>
      <c r="C3120" s="331" t="s">
        <v>172</v>
      </c>
      <c r="D3120" s="331" t="s">
        <v>119</v>
      </c>
      <c r="E3120" s="459">
        <v>1000</v>
      </c>
      <c r="F3120" s="407">
        <f t="shared" si="42"/>
        <v>1.8401363172983856</v>
      </c>
      <c r="G3120" s="408">
        <v>543.43799999999999</v>
      </c>
      <c r="H3120" s="331" t="s">
        <v>182</v>
      </c>
      <c r="I3120" s="331" t="s">
        <v>3447</v>
      </c>
      <c r="J3120" s="243" t="s">
        <v>96</v>
      </c>
      <c r="K3120" s="243" t="s">
        <v>1906</v>
      </c>
      <c r="L3120" s="243" t="s">
        <v>153</v>
      </c>
    </row>
    <row r="3121" spans="1:12" ht="15.6" hidden="1">
      <c r="A3121" s="438">
        <v>45945</v>
      </c>
      <c r="B3121" s="331" t="s">
        <v>4917</v>
      </c>
      <c r="C3121" s="331" t="s">
        <v>172</v>
      </c>
      <c r="D3121" s="331" t="s">
        <v>119</v>
      </c>
      <c r="E3121" s="459">
        <v>1000</v>
      </c>
      <c r="F3121" s="407">
        <f t="shared" si="42"/>
        <v>1.8401363172983856</v>
      </c>
      <c r="G3121" s="408">
        <v>543.43799999999999</v>
      </c>
      <c r="H3121" s="331" t="s">
        <v>182</v>
      </c>
      <c r="I3121" s="331" t="s">
        <v>3447</v>
      </c>
      <c r="J3121" s="243" t="s">
        <v>96</v>
      </c>
      <c r="K3121" s="243" t="s">
        <v>1906</v>
      </c>
      <c r="L3121" s="243" t="s">
        <v>153</v>
      </c>
    </row>
    <row r="3122" spans="1:12" ht="15.6" hidden="1">
      <c r="A3122" s="438">
        <v>45945</v>
      </c>
      <c r="B3122" s="331" t="s">
        <v>4912</v>
      </c>
      <c r="C3122" s="331" t="s">
        <v>172</v>
      </c>
      <c r="D3122" s="331" t="s">
        <v>119</v>
      </c>
      <c r="E3122" s="459">
        <v>1000</v>
      </c>
      <c r="F3122" s="407">
        <f t="shared" si="42"/>
        <v>1.8401363172983856</v>
      </c>
      <c r="G3122" s="408">
        <v>543.43799999999999</v>
      </c>
      <c r="H3122" s="331" t="s">
        <v>182</v>
      </c>
      <c r="I3122" s="331" t="s">
        <v>3447</v>
      </c>
      <c r="J3122" s="243" t="s">
        <v>96</v>
      </c>
      <c r="K3122" s="243" t="s">
        <v>1906</v>
      </c>
      <c r="L3122" s="243" t="s">
        <v>153</v>
      </c>
    </row>
    <row r="3123" spans="1:12" ht="15.6" hidden="1">
      <c r="A3123" s="438">
        <v>45945</v>
      </c>
      <c r="B3123" s="331" t="s">
        <v>4917</v>
      </c>
      <c r="C3123" s="331" t="s">
        <v>172</v>
      </c>
      <c r="D3123" s="331" t="s">
        <v>119</v>
      </c>
      <c r="E3123" s="459">
        <v>1500</v>
      </c>
      <c r="F3123" s="407">
        <f t="shared" si="42"/>
        <v>2.7602044759475781</v>
      </c>
      <c r="G3123" s="408">
        <v>543.43799999999999</v>
      </c>
      <c r="H3123" s="331" t="s">
        <v>182</v>
      </c>
      <c r="I3123" s="331" t="s">
        <v>3447</v>
      </c>
      <c r="J3123" s="243" t="s">
        <v>96</v>
      </c>
      <c r="K3123" s="243" t="s">
        <v>1906</v>
      </c>
      <c r="L3123" s="243" t="s">
        <v>153</v>
      </c>
    </row>
    <row r="3124" spans="1:12" ht="15.6" hidden="1">
      <c r="A3124" s="438">
        <v>45945</v>
      </c>
      <c r="B3124" s="331" t="s">
        <v>2932</v>
      </c>
      <c r="C3124" s="331" t="s">
        <v>366</v>
      </c>
      <c r="D3124" s="331" t="s">
        <v>119</v>
      </c>
      <c r="E3124" s="459">
        <v>1000</v>
      </c>
      <c r="F3124" s="407">
        <f t="shared" si="42"/>
        <v>1.8401363172983856</v>
      </c>
      <c r="G3124" s="408">
        <v>543.43799999999999</v>
      </c>
      <c r="H3124" s="331" t="s">
        <v>182</v>
      </c>
      <c r="I3124" s="331" t="s">
        <v>3456</v>
      </c>
      <c r="J3124" s="243" t="s">
        <v>96</v>
      </c>
      <c r="K3124" s="243" t="s">
        <v>1906</v>
      </c>
      <c r="L3124" s="243" t="s">
        <v>153</v>
      </c>
    </row>
    <row r="3125" spans="1:12" ht="15.6" hidden="1">
      <c r="A3125" s="438">
        <v>45945</v>
      </c>
      <c r="B3125" s="331" t="s">
        <v>4963</v>
      </c>
      <c r="C3125" s="331" t="s">
        <v>172</v>
      </c>
      <c r="D3125" s="331" t="s">
        <v>119</v>
      </c>
      <c r="E3125" s="459">
        <v>7000</v>
      </c>
      <c r="F3125" s="407">
        <f t="shared" si="42"/>
        <v>12.880954221088698</v>
      </c>
      <c r="G3125" s="408">
        <v>543.43799999999999</v>
      </c>
      <c r="H3125" s="331" t="s">
        <v>182</v>
      </c>
      <c r="I3125" s="331" t="s">
        <v>3458</v>
      </c>
      <c r="J3125" s="243" t="s">
        <v>96</v>
      </c>
      <c r="K3125" s="243" t="s">
        <v>1906</v>
      </c>
      <c r="L3125" s="243" t="s">
        <v>153</v>
      </c>
    </row>
    <row r="3126" spans="1:12" ht="15.6" hidden="1">
      <c r="A3126" s="438">
        <v>45945</v>
      </c>
      <c r="B3126" s="423" t="s">
        <v>4839</v>
      </c>
      <c r="C3126" s="423" t="s">
        <v>172</v>
      </c>
      <c r="D3126" s="423" t="s">
        <v>119</v>
      </c>
      <c r="E3126" s="471">
        <v>12000</v>
      </c>
      <c r="F3126" s="407">
        <f t="shared" si="42"/>
        <v>22.081635807580625</v>
      </c>
      <c r="G3126" s="408">
        <v>543.43799999999999</v>
      </c>
      <c r="H3126" s="423" t="s">
        <v>173</v>
      </c>
      <c r="I3126" s="423" t="s">
        <v>3491</v>
      </c>
      <c r="J3126" s="243" t="s">
        <v>96</v>
      </c>
      <c r="K3126" s="243" t="s">
        <v>1906</v>
      </c>
      <c r="L3126" s="243" t="s">
        <v>153</v>
      </c>
    </row>
    <row r="3127" spans="1:12" ht="15.6" hidden="1">
      <c r="A3127" s="438">
        <v>45945</v>
      </c>
      <c r="B3127" s="423" t="s">
        <v>4917</v>
      </c>
      <c r="C3127" s="423" t="s">
        <v>172</v>
      </c>
      <c r="D3127" s="423" t="s">
        <v>119</v>
      </c>
      <c r="E3127" s="471">
        <v>1000</v>
      </c>
      <c r="F3127" s="407">
        <f t="shared" si="42"/>
        <v>1.8401363172983856</v>
      </c>
      <c r="G3127" s="408">
        <v>543.43799999999999</v>
      </c>
      <c r="H3127" s="423" t="s">
        <v>173</v>
      </c>
      <c r="I3127" s="423" t="s">
        <v>3484</v>
      </c>
      <c r="J3127" s="243" t="s">
        <v>96</v>
      </c>
      <c r="K3127" s="243" t="s">
        <v>1906</v>
      </c>
      <c r="L3127" s="243" t="s">
        <v>153</v>
      </c>
    </row>
    <row r="3128" spans="1:12" ht="15.6" hidden="1">
      <c r="A3128" s="438">
        <v>45945</v>
      </c>
      <c r="B3128" s="423" t="s">
        <v>4876</v>
      </c>
      <c r="C3128" s="423" t="s">
        <v>172</v>
      </c>
      <c r="D3128" s="423" t="s">
        <v>119</v>
      </c>
      <c r="E3128" s="471">
        <v>1000</v>
      </c>
      <c r="F3128" s="407">
        <f t="shared" si="42"/>
        <v>1.8401363172983856</v>
      </c>
      <c r="G3128" s="408">
        <v>543.43799999999999</v>
      </c>
      <c r="H3128" s="423" t="s">
        <v>173</v>
      </c>
      <c r="I3128" s="423" t="s">
        <v>3484</v>
      </c>
      <c r="J3128" s="243" t="s">
        <v>96</v>
      </c>
      <c r="K3128" s="243" t="s">
        <v>1906</v>
      </c>
      <c r="L3128" s="243" t="s">
        <v>153</v>
      </c>
    </row>
    <row r="3129" spans="1:12" ht="15.6" hidden="1">
      <c r="A3129" s="438">
        <v>45945</v>
      </c>
      <c r="B3129" s="423" t="s">
        <v>4876</v>
      </c>
      <c r="C3129" s="423" t="s">
        <v>172</v>
      </c>
      <c r="D3129" s="423" t="s">
        <v>119</v>
      </c>
      <c r="E3129" s="471">
        <v>1000</v>
      </c>
      <c r="F3129" s="407">
        <f t="shared" si="42"/>
        <v>1.8401363172983856</v>
      </c>
      <c r="G3129" s="408">
        <v>543.43799999999999</v>
      </c>
      <c r="H3129" s="423" t="s">
        <v>173</v>
      </c>
      <c r="I3129" s="423" t="s">
        <v>3484</v>
      </c>
      <c r="J3129" s="243" t="s">
        <v>96</v>
      </c>
      <c r="K3129" s="243" t="s">
        <v>1906</v>
      </c>
      <c r="L3129" s="243" t="s">
        <v>153</v>
      </c>
    </row>
    <row r="3130" spans="1:12" ht="15.6" hidden="1">
      <c r="A3130" s="438">
        <v>45945</v>
      </c>
      <c r="B3130" s="423" t="s">
        <v>4876</v>
      </c>
      <c r="C3130" s="423" t="s">
        <v>172</v>
      </c>
      <c r="D3130" s="423" t="s">
        <v>119</v>
      </c>
      <c r="E3130" s="471">
        <v>1000</v>
      </c>
      <c r="F3130" s="407">
        <f t="shared" si="42"/>
        <v>1.8401363172983856</v>
      </c>
      <c r="G3130" s="408">
        <v>543.43799999999999</v>
      </c>
      <c r="H3130" s="423" t="s">
        <v>173</v>
      </c>
      <c r="I3130" s="423" t="s">
        <v>3484</v>
      </c>
      <c r="J3130" s="243" t="s">
        <v>96</v>
      </c>
      <c r="K3130" s="243" t="s">
        <v>1906</v>
      </c>
      <c r="L3130" s="243" t="s">
        <v>153</v>
      </c>
    </row>
    <row r="3131" spans="1:12" ht="15.6" hidden="1">
      <c r="A3131" s="438">
        <v>45945</v>
      </c>
      <c r="B3131" s="423" t="s">
        <v>3481</v>
      </c>
      <c r="C3131" s="423" t="s">
        <v>366</v>
      </c>
      <c r="D3131" s="423" t="s">
        <v>119</v>
      </c>
      <c r="E3131" s="471">
        <v>2000</v>
      </c>
      <c r="F3131" s="407">
        <f t="shared" si="42"/>
        <v>3.6802726345967711</v>
      </c>
      <c r="G3131" s="408">
        <v>543.43799999999999</v>
      </c>
      <c r="H3131" s="423" t="s">
        <v>173</v>
      </c>
      <c r="I3131" s="423" t="s">
        <v>3485</v>
      </c>
      <c r="J3131" s="243" t="s">
        <v>96</v>
      </c>
      <c r="K3131" s="243" t="s">
        <v>1906</v>
      </c>
      <c r="L3131" s="243" t="s">
        <v>153</v>
      </c>
    </row>
    <row r="3132" spans="1:12" ht="15.6" hidden="1">
      <c r="A3132" s="438">
        <v>45945</v>
      </c>
      <c r="B3132" s="243" t="s">
        <v>4917</v>
      </c>
      <c r="C3132" s="243" t="s">
        <v>172</v>
      </c>
      <c r="D3132" s="243" t="s">
        <v>119</v>
      </c>
      <c r="E3132" s="460">
        <v>1000</v>
      </c>
      <c r="F3132" s="407">
        <f t="shared" si="42"/>
        <v>1.8401363172983856</v>
      </c>
      <c r="G3132" s="408">
        <v>543.43799999999999</v>
      </c>
      <c r="H3132" s="243" t="s">
        <v>315</v>
      </c>
      <c r="I3132" s="243" t="s">
        <v>3510</v>
      </c>
      <c r="J3132" s="243" t="s">
        <v>96</v>
      </c>
      <c r="K3132" s="243" t="s">
        <v>1906</v>
      </c>
      <c r="L3132" s="243" t="s">
        <v>153</v>
      </c>
    </row>
    <row r="3133" spans="1:12" ht="15.6" hidden="1">
      <c r="A3133" s="438">
        <v>45945</v>
      </c>
      <c r="B3133" s="243" t="s">
        <v>4797</v>
      </c>
      <c r="C3133" s="243" t="s">
        <v>172</v>
      </c>
      <c r="D3133" s="243" t="s">
        <v>119</v>
      </c>
      <c r="E3133" s="460">
        <v>7000</v>
      </c>
      <c r="F3133" s="407">
        <f t="shared" si="42"/>
        <v>12.880954221088698</v>
      </c>
      <c r="G3133" s="408">
        <v>543.43799999999999</v>
      </c>
      <c r="H3133" s="243" t="s">
        <v>315</v>
      </c>
      <c r="I3133" s="243" t="s">
        <v>3512</v>
      </c>
      <c r="J3133" s="243" t="s">
        <v>96</v>
      </c>
      <c r="K3133" s="243" t="s">
        <v>1906</v>
      </c>
      <c r="L3133" s="243" t="s">
        <v>153</v>
      </c>
    </row>
    <row r="3134" spans="1:12" ht="15.6" hidden="1">
      <c r="A3134" s="438">
        <v>45945</v>
      </c>
      <c r="B3134" s="243" t="s">
        <v>4876</v>
      </c>
      <c r="C3134" s="243" t="s">
        <v>172</v>
      </c>
      <c r="D3134" s="243" t="s">
        <v>119</v>
      </c>
      <c r="E3134" s="460">
        <v>1500</v>
      </c>
      <c r="F3134" s="407">
        <f t="shared" si="42"/>
        <v>2.7602044759475781</v>
      </c>
      <c r="G3134" s="408">
        <v>543.43799999999999</v>
      </c>
      <c r="H3134" s="243" t="s">
        <v>315</v>
      </c>
      <c r="I3134" s="243" t="s">
        <v>3510</v>
      </c>
      <c r="J3134" s="243" t="s">
        <v>96</v>
      </c>
      <c r="K3134" s="243" t="s">
        <v>1906</v>
      </c>
      <c r="L3134" s="243" t="s">
        <v>153</v>
      </c>
    </row>
    <row r="3135" spans="1:12" ht="15.6" hidden="1">
      <c r="A3135" s="438">
        <v>45945</v>
      </c>
      <c r="B3135" s="243" t="s">
        <v>4876</v>
      </c>
      <c r="C3135" s="243" t="s">
        <v>172</v>
      </c>
      <c r="D3135" s="243" t="s">
        <v>119</v>
      </c>
      <c r="E3135" s="460">
        <v>1000</v>
      </c>
      <c r="F3135" s="407">
        <f t="shared" si="42"/>
        <v>1.8401363172983856</v>
      </c>
      <c r="G3135" s="408">
        <v>543.43799999999999</v>
      </c>
      <c r="H3135" s="243" t="s">
        <v>315</v>
      </c>
      <c r="I3135" s="243" t="s">
        <v>3510</v>
      </c>
      <c r="J3135" s="243" t="s">
        <v>96</v>
      </c>
      <c r="K3135" s="243" t="s">
        <v>1906</v>
      </c>
      <c r="L3135" s="243" t="s">
        <v>153</v>
      </c>
    </row>
    <row r="3136" spans="1:12" ht="15.6" hidden="1">
      <c r="A3136" s="438">
        <v>45945</v>
      </c>
      <c r="B3136" s="243" t="s">
        <v>4876</v>
      </c>
      <c r="C3136" s="243" t="s">
        <v>172</v>
      </c>
      <c r="D3136" s="243" t="s">
        <v>119</v>
      </c>
      <c r="E3136" s="460">
        <v>2000</v>
      </c>
      <c r="F3136" s="407">
        <f t="shared" si="42"/>
        <v>3.6802726345967711</v>
      </c>
      <c r="G3136" s="408">
        <v>543.43799999999999</v>
      </c>
      <c r="H3136" s="243" t="s">
        <v>315</v>
      </c>
      <c r="I3136" s="243" t="s">
        <v>3510</v>
      </c>
      <c r="J3136" s="243" t="s">
        <v>96</v>
      </c>
      <c r="K3136" s="243" t="s">
        <v>1906</v>
      </c>
      <c r="L3136" s="243" t="s">
        <v>153</v>
      </c>
    </row>
    <row r="3137" spans="1:12" ht="15.6" hidden="1">
      <c r="A3137" s="438">
        <v>45945</v>
      </c>
      <c r="B3137" s="243" t="s">
        <v>4907</v>
      </c>
      <c r="C3137" s="243" t="s">
        <v>172</v>
      </c>
      <c r="D3137" s="243" t="s">
        <v>119</v>
      </c>
      <c r="E3137" s="457">
        <v>1000</v>
      </c>
      <c r="F3137" s="407">
        <f t="shared" si="42"/>
        <v>1.8401363172983856</v>
      </c>
      <c r="G3137" s="408">
        <v>543.43799999999999</v>
      </c>
      <c r="H3137" s="243" t="s">
        <v>321</v>
      </c>
      <c r="I3137" s="243" t="s">
        <v>3533</v>
      </c>
      <c r="J3137" s="243" t="s">
        <v>96</v>
      </c>
      <c r="K3137" s="243" t="s">
        <v>1906</v>
      </c>
      <c r="L3137" s="243" t="s">
        <v>153</v>
      </c>
    </row>
    <row r="3138" spans="1:12" ht="15.6" hidden="1">
      <c r="A3138" s="438">
        <v>45945</v>
      </c>
      <c r="B3138" s="243" t="s">
        <v>4907</v>
      </c>
      <c r="C3138" s="243" t="s">
        <v>172</v>
      </c>
      <c r="D3138" s="243" t="s">
        <v>119</v>
      </c>
      <c r="E3138" s="457">
        <v>1000</v>
      </c>
      <c r="F3138" s="407">
        <f t="shared" si="42"/>
        <v>1.8401363172983856</v>
      </c>
      <c r="G3138" s="408">
        <v>543.43799999999999</v>
      </c>
      <c r="H3138" s="243" t="s">
        <v>321</v>
      </c>
      <c r="I3138" s="243" t="s">
        <v>3533</v>
      </c>
      <c r="J3138" s="243" t="s">
        <v>96</v>
      </c>
      <c r="K3138" s="243" t="s">
        <v>1906</v>
      </c>
      <c r="L3138" s="243" t="s">
        <v>153</v>
      </c>
    </row>
    <row r="3139" spans="1:12" ht="15.6" hidden="1">
      <c r="A3139" s="438">
        <v>45945</v>
      </c>
      <c r="B3139" s="243" t="s">
        <v>4951</v>
      </c>
      <c r="C3139" s="243" t="s">
        <v>172</v>
      </c>
      <c r="D3139" s="243" t="s">
        <v>119</v>
      </c>
      <c r="E3139" s="457">
        <v>1000</v>
      </c>
      <c r="F3139" s="407">
        <f t="shared" ref="F3139:F3202" si="43">E3139/G3139</f>
        <v>1.8401363172983856</v>
      </c>
      <c r="G3139" s="408">
        <v>543.43799999999999</v>
      </c>
      <c r="H3139" s="243" t="s">
        <v>321</v>
      </c>
      <c r="I3139" s="243" t="s">
        <v>3533</v>
      </c>
      <c r="J3139" s="243" t="s">
        <v>96</v>
      </c>
      <c r="K3139" s="243" t="s">
        <v>1906</v>
      </c>
      <c r="L3139" s="243" t="s">
        <v>153</v>
      </c>
    </row>
    <row r="3140" spans="1:12" ht="15.6" hidden="1">
      <c r="A3140" s="438">
        <v>45945</v>
      </c>
      <c r="B3140" s="243" t="s">
        <v>4876</v>
      </c>
      <c r="C3140" s="243" t="s">
        <v>172</v>
      </c>
      <c r="D3140" s="243" t="s">
        <v>119</v>
      </c>
      <c r="E3140" s="457">
        <v>1000</v>
      </c>
      <c r="F3140" s="407">
        <f t="shared" si="43"/>
        <v>1.8401363172983856</v>
      </c>
      <c r="G3140" s="408">
        <v>543.43799999999999</v>
      </c>
      <c r="H3140" s="243" t="s">
        <v>321</v>
      </c>
      <c r="I3140" s="243" t="s">
        <v>3533</v>
      </c>
      <c r="J3140" s="243" t="s">
        <v>96</v>
      </c>
      <c r="K3140" s="243" t="s">
        <v>1906</v>
      </c>
      <c r="L3140" s="243" t="s">
        <v>153</v>
      </c>
    </row>
    <row r="3141" spans="1:12" ht="15.6" hidden="1">
      <c r="A3141" s="438">
        <v>45945</v>
      </c>
      <c r="B3141" s="243" t="s">
        <v>4745</v>
      </c>
      <c r="C3141" s="243" t="s">
        <v>172</v>
      </c>
      <c r="D3141" s="243" t="s">
        <v>119</v>
      </c>
      <c r="E3141" s="457">
        <v>12000</v>
      </c>
      <c r="F3141" s="407">
        <f t="shared" si="43"/>
        <v>22.081635807580625</v>
      </c>
      <c r="G3141" s="408">
        <v>543.43799999999999</v>
      </c>
      <c r="H3141" s="243" t="s">
        <v>321</v>
      </c>
      <c r="I3141" s="243" t="s">
        <v>3534</v>
      </c>
      <c r="J3141" s="243" t="s">
        <v>96</v>
      </c>
      <c r="K3141" s="243" t="s">
        <v>1906</v>
      </c>
      <c r="L3141" s="243" t="s">
        <v>153</v>
      </c>
    </row>
    <row r="3142" spans="1:12" ht="15.6" hidden="1">
      <c r="A3142" s="438">
        <v>45945</v>
      </c>
      <c r="B3142" s="243" t="s">
        <v>3732</v>
      </c>
      <c r="C3142" s="239" t="s">
        <v>194</v>
      </c>
      <c r="D3142" s="239" t="s">
        <v>115</v>
      </c>
      <c r="E3142" s="457">
        <v>1000</v>
      </c>
      <c r="F3142" s="407">
        <f t="shared" si="43"/>
        <v>1.8401363172983856</v>
      </c>
      <c r="G3142" s="408">
        <v>543.43799999999999</v>
      </c>
      <c r="H3142" s="239" t="s">
        <v>195</v>
      </c>
      <c r="I3142" s="243" t="s">
        <v>3747</v>
      </c>
      <c r="J3142" s="243" t="s">
        <v>96</v>
      </c>
      <c r="K3142" s="243" t="s">
        <v>1906</v>
      </c>
      <c r="L3142" s="243" t="s">
        <v>153</v>
      </c>
    </row>
    <row r="3143" spans="1:12" ht="15.6" hidden="1">
      <c r="A3143" s="438">
        <v>45945</v>
      </c>
      <c r="B3143" s="243" t="s">
        <v>3733</v>
      </c>
      <c r="C3143" s="239" t="s">
        <v>194</v>
      </c>
      <c r="D3143" s="239" t="s">
        <v>115</v>
      </c>
      <c r="E3143" s="457">
        <v>1000</v>
      </c>
      <c r="F3143" s="407">
        <f t="shared" si="43"/>
        <v>1.8401363172983856</v>
      </c>
      <c r="G3143" s="408">
        <v>543.43799999999999</v>
      </c>
      <c r="H3143" s="239" t="s">
        <v>195</v>
      </c>
      <c r="I3143" s="243" t="s">
        <v>3747</v>
      </c>
      <c r="J3143" s="243" t="s">
        <v>96</v>
      </c>
      <c r="K3143" s="243" t="s">
        <v>1906</v>
      </c>
      <c r="L3143" s="243" t="s">
        <v>153</v>
      </c>
    </row>
    <row r="3144" spans="1:12" ht="15.6" hidden="1">
      <c r="A3144" s="438">
        <v>45945</v>
      </c>
      <c r="B3144" s="461" t="s">
        <v>3826</v>
      </c>
      <c r="C3144" s="439" t="s">
        <v>172</v>
      </c>
      <c r="D3144" s="461" t="s">
        <v>118</v>
      </c>
      <c r="E3144" s="464">
        <v>1000</v>
      </c>
      <c r="F3144" s="407">
        <f t="shared" si="43"/>
        <v>1.8401363172983856</v>
      </c>
      <c r="G3144" s="408">
        <v>543.43799999999999</v>
      </c>
      <c r="H3144" s="461" t="s">
        <v>211</v>
      </c>
      <c r="I3144" s="461" t="s">
        <v>3910</v>
      </c>
      <c r="J3144" s="243" t="s">
        <v>96</v>
      </c>
      <c r="K3144" s="243" t="s">
        <v>1906</v>
      </c>
      <c r="L3144" s="243" t="s">
        <v>153</v>
      </c>
    </row>
    <row r="3145" spans="1:12" ht="15.6" hidden="1">
      <c r="A3145" s="438">
        <v>45945</v>
      </c>
      <c r="B3145" s="461" t="s">
        <v>3827</v>
      </c>
      <c r="C3145" s="439" t="s">
        <v>172</v>
      </c>
      <c r="D3145" s="461" t="s">
        <v>118</v>
      </c>
      <c r="E3145" s="464">
        <v>1000</v>
      </c>
      <c r="F3145" s="407">
        <f t="shared" si="43"/>
        <v>1.8401363172983856</v>
      </c>
      <c r="G3145" s="408">
        <v>543.43799999999999</v>
      </c>
      <c r="H3145" s="461" t="s">
        <v>211</v>
      </c>
      <c r="I3145" s="461" t="s">
        <v>3910</v>
      </c>
      <c r="J3145" s="243" t="s">
        <v>96</v>
      </c>
      <c r="K3145" s="243" t="s">
        <v>1906</v>
      </c>
      <c r="L3145" s="243" t="s">
        <v>153</v>
      </c>
    </row>
    <row r="3146" spans="1:12" ht="15.6" hidden="1">
      <c r="A3146" s="438">
        <v>45945</v>
      </c>
      <c r="B3146" s="461" t="s">
        <v>3828</v>
      </c>
      <c r="C3146" s="439" t="s">
        <v>172</v>
      </c>
      <c r="D3146" s="461" t="s">
        <v>118</v>
      </c>
      <c r="E3146" s="464">
        <v>1000</v>
      </c>
      <c r="F3146" s="407">
        <f t="shared" si="43"/>
        <v>1.8401363172983856</v>
      </c>
      <c r="G3146" s="408">
        <v>543.43799999999999</v>
      </c>
      <c r="H3146" s="461" t="s">
        <v>211</v>
      </c>
      <c r="I3146" s="461" t="s">
        <v>3910</v>
      </c>
      <c r="J3146" s="243" t="s">
        <v>96</v>
      </c>
      <c r="K3146" s="243" t="s">
        <v>1906</v>
      </c>
      <c r="L3146" s="243" t="s">
        <v>153</v>
      </c>
    </row>
    <row r="3147" spans="1:12" ht="15.6" hidden="1">
      <c r="A3147" s="438">
        <v>45945</v>
      </c>
      <c r="B3147" s="243" t="s">
        <v>3829</v>
      </c>
      <c r="C3147" s="423" t="s">
        <v>2092</v>
      </c>
      <c r="D3147" s="461" t="s">
        <v>118</v>
      </c>
      <c r="E3147" s="464">
        <v>6000</v>
      </c>
      <c r="F3147" s="407">
        <f t="shared" si="43"/>
        <v>11.040817903790312</v>
      </c>
      <c r="G3147" s="408">
        <v>543.43799999999999</v>
      </c>
      <c r="H3147" s="423" t="s">
        <v>211</v>
      </c>
      <c r="I3147" s="456" t="s">
        <v>3921</v>
      </c>
      <c r="J3147" s="243" t="s">
        <v>96</v>
      </c>
      <c r="K3147" s="243" t="s">
        <v>1906</v>
      </c>
      <c r="L3147" s="243" t="s">
        <v>153</v>
      </c>
    </row>
    <row r="3148" spans="1:12" ht="15.6" hidden="1">
      <c r="A3148" s="438">
        <v>45945</v>
      </c>
      <c r="B3148" s="243" t="s">
        <v>3830</v>
      </c>
      <c r="C3148" s="423" t="s">
        <v>2092</v>
      </c>
      <c r="D3148" s="461" t="s">
        <v>118</v>
      </c>
      <c r="E3148" s="464">
        <v>6000</v>
      </c>
      <c r="F3148" s="407">
        <f t="shared" si="43"/>
        <v>11.040817903790312</v>
      </c>
      <c r="G3148" s="408">
        <v>543.43799999999999</v>
      </c>
      <c r="H3148" s="423" t="s">
        <v>211</v>
      </c>
      <c r="I3148" s="456" t="s">
        <v>3921</v>
      </c>
      <c r="J3148" s="243" t="s">
        <v>96</v>
      </c>
      <c r="K3148" s="243" t="s">
        <v>1906</v>
      </c>
      <c r="L3148" s="243" t="s">
        <v>153</v>
      </c>
    </row>
    <row r="3149" spans="1:12" ht="15.6" hidden="1">
      <c r="A3149" s="438">
        <v>45945</v>
      </c>
      <c r="B3149" s="243" t="s">
        <v>3831</v>
      </c>
      <c r="C3149" s="423" t="s">
        <v>2092</v>
      </c>
      <c r="D3149" s="461" t="s">
        <v>118</v>
      </c>
      <c r="E3149" s="464">
        <v>6000</v>
      </c>
      <c r="F3149" s="407">
        <f t="shared" si="43"/>
        <v>11.040817903790312</v>
      </c>
      <c r="G3149" s="408">
        <v>543.43799999999999</v>
      </c>
      <c r="H3149" s="423" t="s">
        <v>211</v>
      </c>
      <c r="I3149" s="456" t="s">
        <v>3921</v>
      </c>
      <c r="J3149" s="243" t="s">
        <v>96</v>
      </c>
      <c r="K3149" s="243" t="s">
        <v>1906</v>
      </c>
      <c r="L3149" s="243" t="s">
        <v>153</v>
      </c>
    </row>
    <row r="3150" spans="1:12" ht="15.6" hidden="1">
      <c r="A3150" s="438">
        <v>45945</v>
      </c>
      <c r="B3150" s="243" t="s">
        <v>3832</v>
      </c>
      <c r="C3150" s="423" t="s">
        <v>2092</v>
      </c>
      <c r="D3150" s="461" t="s">
        <v>118</v>
      </c>
      <c r="E3150" s="464">
        <v>6000</v>
      </c>
      <c r="F3150" s="407">
        <f t="shared" si="43"/>
        <v>11.040817903790312</v>
      </c>
      <c r="G3150" s="408">
        <v>543.43799999999999</v>
      </c>
      <c r="H3150" s="423" t="s">
        <v>211</v>
      </c>
      <c r="I3150" s="456" t="s">
        <v>3921</v>
      </c>
      <c r="J3150" s="243" t="s">
        <v>96</v>
      </c>
      <c r="K3150" s="243" t="s">
        <v>1906</v>
      </c>
      <c r="L3150" s="243" t="s">
        <v>153</v>
      </c>
    </row>
    <row r="3151" spans="1:12" ht="15.6" hidden="1">
      <c r="A3151" s="438">
        <v>45945</v>
      </c>
      <c r="B3151" s="243" t="s">
        <v>3833</v>
      </c>
      <c r="C3151" s="423" t="s">
        <v>2092</v>
      </c>
      <c r="D3151" s="461" t="s">
        <v>118</v>
      </c>
      <c r="E3151" s="464">
        <v>6000</v>
      </c>
      <c r="F3151" s="407">
        <f t="shared" si="43"/>
        <v>11.040817903790312</v>
      </c>
      <c r="G3151" s="408">
        <v>543.43799999999999</v>
      </c>
      <c r="H3151" s="423" t="s">
        <v>211</v>
      </c>
      <c r="I3151" s="456" t="s">
        <v>3921</v>
      </c>
      <c r="J3151" s="243" t="s">
        <v>96</v>
      </c>
      <c r="K3151" s="243" t="s">
        <v>1906</v>
      </c>
      <c r="L3151" s="243" t="s">
        <v>153</v>
      </c>
    </row>
    <row r="3152" spans="1:12" ht="15.6" hidden="1">
      <c r="A3152" s="438">
        <v>45945</v>
      </c>
      <c r="B3152" s="243" t="s">
        <v>3834</v>
      </c>
      <c r="C3152" s="423" t="s">
        <v>2092</v>
      </c>
      <c r="D3152" s="461" t="s">
        <v>118</v>
      </c>
      <c r="E3152" s="464">
        <v>6000</v>
      </c>
      <c r="F3152" s="407">
        <f t="shared" si="43"/>
        <v>11.040817903790312</v>
      </c>
      <c r="G3152" s="408">
        <v>543.43799999999999</v>
      </c>
      <c r="H3152" s="423" t="s">
        <v>211</v>
      </c>
      <c r="I3152" s="456" t="s">
        <v>3921</v>
      </c>
      <c r="J3152" s="243" t="s">
        <v>96</v>
      </c>
      <c r="K3152" s="243" t="s">
        <v>1906</v>
      </c>
      <c r="L3152" s="243" t="s">
        <v>153</v>
      </c>
    </row>
    <row r="3153" spans="1:12" ht="15.6" hidden="1">
      <c r="A3153" s="438">
        <v>45945</v>
      </c>
      <c r="B3153" s="243" t="s">
        <v>3835</v>
      </c>
      <c r="C3153" s="423" t="s">
        <v>2092</v>
      </c>
      <c r="D3153" s="461" t="s">
        <v>118</v>
      </c>
      <c r="E3153" s="464">
        <v>6000</v>
      </c>
      <c r="F3153" s="407">
        <f t="shared" si="43"/>
        <v>11.040817903790312</v>
      </c>
      <c r="G3153" s="408">
        <v>543.43799999999999</v>
      </c>
      <c r="H3153" s="423" t="s">
        <v>211</v>
      </c>
      <c r="I3153" s="456" t="s">
        <v>3921</v>
      </c>
      <c r="J3153" s="243" t="s">
        <v>96</v>
      </c>
      <c r="K3153" s="243" t="s">
        <v>1906</v>
      </c>
      <c r="L3153" s="243" t="s">
        <v>153</v>
      </c>
    </row>
    <row r="3154" spans="1:12" ht="15.6" hidden="1">
      <c r="A3154" s="438">
        <v>45945</v>
      </c>
      <c r="B3154" s="243" t="s">
        <v>3836</v>
      </c>
      <c r="C3154" s="423" t="s">
        <v>2092</v>
      </c>
      <c r="D3154" s="461" t="s">
        <v>118</v>
      </c>
      <c r="E3154" s="464">
        <v>6000</v>
      </c>
      <c r="F3154" s="407">
        <f t="shared" si="43"/>
        <v>11.040817903790312</v>
      </c>
      <c r="G3154" s="408">
        <v>543.43799999999999</v>
      </c>
      <c r="H3154" s="423" t="s">
        <v>211</v>
      </c>
      <c r="I3154" s="456" t="s">
        <v>3921</v>
      </c>
      <c r="J3154" s="243" t="s">
        <v>96</v>
      </c>
      <c r="K3154" s="243" t="s">
        <v>1906</v>
      </c>
      <c r="L3154" s="243" t="s">
        <v>153</v>
      </c>
    </row>
    <row r="3155" spans="1:12" ht="15.6" hidden="1">
      <c r="A3155" s="438">
        <v>45945</v>
      </c>
      <c r="B3155" s="243" t="s">
        <v>3837</v>
      </c>
      <c r="C3155" s="423" t="s">
        <v>2092</v>
      </c>
      <c r="D3155" s="461" t="s">
        <v>118</v>
      </c>
      <c r="E3155" s="464">
        <v>6000</v>
      </c>
      <c r="F3155" s="407">
        <f t="shared" si="43"/>
        <v>11.040817903790312</v>
      </c>
      <c r="G3155" s="408">
        <v>543.43799999999999</v>
      </c>
      <c r="H3155" s="423" t="s">
        <v>211</v>
      </c>
      <c r="I3155" s="456" t="s">
        <v>3921</v>
      </c>
      <c r="J3155" s="243" t="s">
        <v>96</v>
      </c>
      <c r="K3155" s="243" t="s">
        <v>1906</v>
      </c>
      <c r="L3155" s="243" t="s">
        <v>153</v>
      </c>
    </row>
    <row r="3156" spans="1:12" ht="15.6" hidden="1">
      <c r="A3156" s="438">
        <v>45945</v>
      </c>
      <c r="B3156" s="243" t="s">
        <v>3838</v>
      </c>
      <c r="C3156" s="423" t="s">
        <v>2092</v>
      </c>
      <c r="D3156" s="461" t="s">
        <v>118</v>
      </c>
      <c r="E3156" s="464">
        <v>6000</v>
      </c>
      <c r="F3156" s="407">
        <f t="shared" si="43"/>
        <v>11.040817903790312</v>
      </c>
      <c r="G3156" s="408">
        <v>543.43799999999999</v>
      </c>
      <c r="H3156" s="423" t="s">
        <v>211</v>
      </c>
      <c r="I3156" s="456" t="s">
        <v>3921</v>
      </c>
      <c r="J3156" s="243" t="s">
        <v>96</v>
      </c>
      <c r="K3156" s="243" t="s">
        <v>1906</v>
      </c>
      <c r="L3156" s="243" t="s">
        <v>153</v>
      </c>
    </row>
    <row r="3157" spans="1:12" ht="15.6" hidden="1">
      <c r="A3157" s="438">
        <v>45945</v>
      </c>
      <c r="B3157" s="243" t="s">
        <v>3839</v>
      </c>
      <c r="C3157" s="423" t="s">
        <v>2092</v>
      </c>
      <c r="D3157" s="461" t="s">
        <v>118</v>
      </c>
      <c r="E3157" s="464">
        <v>6000</v>
      </c>
      <c r="F3157" s="407">
        <f t="shared" si="43"/>
        <v>11.040817903790312</v>
      </c>
      <c r="G3157" s="408">
        <v>543.43799999999999</v>
      </c>
      <c r="H3157" s="423" t="s">
        <v>211</v>
      </c>
      <c r="I3157" s="456" t="s">
        <v>3921</v>
      </c>
      <c r="J3157" s="243" t="s">
        <v>96</v>
      </c>
      <c r="K3157" s="243" t="s">
        <v>1906</v>
      </c>
      <c r="L3157" s="243" t="s">
        <v>153</v>
      </c>
    </row>
    <row r="3158" spans="1:12" ht="15.6" hidden="1">
      <c r="A3158" s="438">
        <v>45945</v>
      </c>
      <c r="B3158" s="243" t="s">
        <v>3840</v>
      </c>
      <c r="C3158" s="423" t="s">
        <v>2092</v>
      </c>
      <c r="D3158" s="461" t="s">
        <v>118</v>
      </c>
      <c r="E3158" s="464">
        <v>6000</v>
      </c>
      <c r="F3158" s="407">
        <f t="shared" si="43"/>
        <v>11.040817903790312</v>
      </c>
      <c r="G3158" s="408">
        <v>543.43799999999999</v>
      </c>
      <c r="H3158" s="423" t="s">
        <v>211</v>
      </c>
      <c r="I3158" s="456" t="s">
        <v>3921</v>
      </c>
      <c r="J3158" s="243" t="s">
        <v>96</v>
      </c>
      <c r="K3158" s="243" t="s">
        <v>1906</v>
      </c>
      <c r="L3158" s="243" t="s">
        <v>153</v>
      </c>
    </row>
    <row r="3159" spans="1:12" ht="15.6" hidden="1">
      <c r="A3159" s="438">
        <v>45945</v>
      </c>
      <c r="B3159" s="243" t="s">
        <v>3841</v>
      </c>
      <c r="C3159" s="423" t="s">
        <v>2092</v>
      </c>
      <c r="D3159" s="461" t="s">
        <v>118</v>
      </c>
      <c r="E3159" s="464">
        <v>6000</v>
      </c>
      <c r="F3159" s="407">
        <f t="shared" si="43"/>
        <v>11.040817903790312</v>
      </c>
      <c r="G3159" s="408">
        <v>543.43799999999999</v>
      </c>
      <c r="H3159" s="423" t="s">
        <v>211</v>
      </c>
      <c r="I3159" s="456" t="s">
        <v>3921</v>
      </c>
      <c r="J3159" s="243" t="s">
        <v>96</v>
      </c>
      <c r="K3159" s="243" t="s">
        <v>1906</v>
      </c>
      <c r="L3159" s="243" t="s">
        <v>153</v>
      </c>
    </row>
    <row r="3160" spans="1:12" ht="15.6" hidden="1">
      <c r="A3160" s="438">
        <v>45945</v>
      </c>
      <c r="B3160" s="243" t="s">
        <v>3842</v>
      </c>
      <c r="C3160" s="423" t="s">
        <v>2092</v>
      </c>
      <c r="D3160" s="461" t="s">
        <v>118</v>
      </c>
      <c r="E3160" s="464">
        <v>6000</v>
      </c>
      <c r="F3160" s="407">
        <f t="shared" si="43"/>
        <v>11.040817903790312</v>
      </c>
      <c r="G3160" s="408">
        <v>543.43799999999999</v>
      </c>
      <c r="H3160" s="423" t="s">
        <v>211</v>
      </c>
      <c r="I3160" s="456" t="s">
        <v>3921</v>
      </c>
      <c r="J3160" s="243" t="s">
        <v>96</v>
      </c>
      <c r="K3160" s="243" t="s">
        <v>1906</v>
      </c>
      <c r="L3160" s="243" t="s">
        <v>153</v>
      </c>
    </row>
    <row r="3161" spans="1:12" ht="15.6" hidden="1">
      <c r="A3161" s="438">
        <v>45945</v>
      </c>
      <c r="B3161" s="423" t="s">
        <v>3843</v>
      </c>
      <c r="C3161" s="423" t="s">
        <v>2092</v>
      </c>
      <c r="D3161" s="461" t="s">
        <v>118</v>
      </c>
      <c r="E3161" s="464">
        <v>10000</v>
      </c>
      <c r="F3161" s="407">
        <f t="shared" si="43"/>
        <v>18.401363172983856</v>
      </c>
      <c r="G3161" s="408">
        <v>543.43799999999999</v>
      </c>
      <c r="H3161" s="423" t="s">
        <v>211</v>
      </c>
      <c r="I3161" s="456" t="s">
        <v>3922</v>
      </c>
      <c r="J3161" s="243" t="s">
        <v>96</v>
      </c>
      <c r="K3161" s="243" t="s">
        <v>1906</v>
      </c>
      <c r="L3161" s="243" t="s">
        <v>153</v>
      </c>
    </row>
    <row r="3162" spans="1:12" ht="15.6" hidden="1">
      <c r="A3162" s="438">
        <v>45945</v>
      </c>
      <c r="B3162" s="423" t="s">
        <v>3844</v>
      </c>
      <c r="C3162" s="423" t="s">
        <v>2092</v>
      </c>
      <c r="D3162" s="461" t="s">
        <v>118</v>
      </c>
      <c r="E3162" s="464">
        <v>10000</v>
      </c>
      <c r="F3162" s="407">
        <f t="shared" si="43"/>
        <v>18.401363172983856</v>
      </c>
      <c r="G3162" s="408">
        <v>543.43799999999999</v>
      </c>
      <c r="H3162" s="423" t="s">
        <v>211</v>
      </c>
      <c r="I3162" s="456" t="s">
        <v>3922</v>
      </c>
      <c r="J3162" s="243" t="s">
        <v>96</v>
      </c>
      <c r="K3162" s="243" t="s">
        <v>1906</v>
      </c>
      <c r="L3162" s="243" t="s">
        <v>153</v>
      </c>
    </row>
    <row r="3163" spans="1:12" ht="15.6" hidden="1">
      <c r="A3163" s="438">
        <v>45945</v>
      </c>
      <c r="B3163" s="423" t="s">
        <v>3845</v>
      </c>
      <c r="C3163" s="423" t="s">
        <v>2092</v>
      </c>
      <c r="D3163" s="461" t="s">
        <v>118</v>
      </c>
      <c r="E3163" s="464">
        <v>10000</v>
      </c>
      <c r="F3163" s="407">
        <f t="shared" si="43"/>
        <v>18.401363172983856</v>
      </c>
      <c r="G3163" s="408">
        <v>543.43799999999999</v>
      </c>
      <c r="H3163" s="423" t="s">
        <v>211</v>
      </c>
      <c r="I3163" s="456" t="s">
        <v>3922</v>
      </c>
      <c r="J3163" s="243" t="s">
        <v>96</v>
      </c>
      <c r="K3163" s="243" t="s">
        <v>1906</v>
      </c>
      <c r="L3163" s="243" t="s">
        <v>153</v>
      </c>
    </row>
    <row r="3164" spans="1:12" ht="15.6" hidden="1">
      <c r="A3164" s="438">
        <v>45945</v>
      </c>
      <c r="B3164" s="423" t="s">
        <v>3846</v>
      </c>
      <c r="C3164" s="423" t="s">
        <v>2092</v>
      </c>
      <c r="D3164" s="461" t="s">
        <v>118</v>
      </c>
      <c r="E3164" s="464">
        <v>6000</v>
      </c>
      <c r="F3164" s="407">
        <f t="shared" si="43"/>
        <v>11.040817903790312</v>
      </c>
      <c r="G3164" s="408">
        <v>543.43799999999999</v>
      </c>
      <c r="H3164" s="423" t="s">
        <v>211</v>
      </c>
      <c r="I3164" s="456" t="s">
        <v>3923</v>
      </c>
      <c r="J3164" s="243" t="s">
        <v>96</v>
      </c>
      <c r="K3164" s="243" t="s">
        <v>1906</v>
      </c>
      <c r="L3164" s="243" t="s">
        <v>153</v>
      </c>
    </row>
    <row r="3165" spans="1:12" ht="15.6" hidden="1">
      <c r="A3165" s="438">
        <v>45945</v>
      </c>
      <c r="B3165" s="423" t="s">
        <v>3847</v>
      </c>
      <c r="C3165" s="423" t="s">
        <v>2092</v>
      </c>
      <c r="D3165" s="461" t="s">
        <v>118</v>
      </c>
      <c r="E3165" s="464">
        <v>6000</v>
      </c>
      <c r="F3165" s="407">
        <f t="shared" si="43"/>
        <v>11.040817903790312</v>
      </c>
      <c r="G3165" s="408">
        <v>543.43799999999999</v>
      </c>
      <c r="H3165" s="423" t="s">
        <v>211</v>
      </c>
      <c r="I3165" s="456" t="s">
        <v>3923</v>
      </c>
      <c r="J3165" s="243" t="s">
        <v>96</v>
      </c>
      <c r="K3165" s="243" t="s">
        <v>1906</v>
      </c>
      <c r="L3165" s="243" t="s">
        <v>153</v>
      </c>
    </row>
    <row r="3166" spans="1:12" ht="15.6" hidden="1">
      <c r="A3166" s="438">
        <v>45945</v>
      </c>
      <c r="B3166" s="423" t="s">
        <v>3848</v>
      </c>
      <c r="C3166" s="423" t="s">
        <v>2092</v>
      </c>
      <c r="D3166" s="461" t="s">
        <v>118</v>
      </c>
      <c r="E3166" s="464">
        <v>6000</v>
      </c>
      <c r="F3166" s="407">
        <f t="shared" si="43"/>
        <v>11.040817903790312</v>
      </c>
      <c r="G3166" s="408">
        <v>543.43799999999999</v>
      </c>
      <c r="H3166" s="423" t="s">
        <v>211</v>
      </c>
      <c r="I3166" s="456" t="s">
        <v>3923</v>
      </c>
      <c r="J3166" s="243" t="s">
        <v>96</v>
      </c>
      <c r="K3166" s="243" t="s">
        <v>1906</v>
      </c>
      <c r="L3166" s="243" t="s">
        <v>153</v>
      </c>
    </row>
    <row r="3167" spans="1:12" ht="15.6" hidden="1">
      <c r="A3167" s="438">
        <v>45945</v>
      </c>
      <c r="B3167" s="423" t="s">
        <v>3849</v>
      </c>
      <c r="C3167" s="423" t="s">
        <v>2092</v>
      </c>
      <c r="D3167" s="461" t="s">
        <v>118</v>
      </c>
      <c r="E3167" s="464">
        <v>6000</v>
      </c>
      <c r="F3167" s="407">
        <f t="shared" si="43"/>
        <v>11.040817903790312</v>
      </c>
      <c r="G3167" s="408">
        <v>543.43799999999999</v>
      </c>
      <c r="H3167" s="423" t="s">
        <v>211</v>
      </c>
      <c r="I3167" s="456" t="s">
        <v>3923</v>
      </c>
      <c r="J3167" s="243" t="s">
        <v>96</v>
      </c>
      <c r="K3167" s="243" t="s">
        <v>1906</v>
      </c>
      <c r="L3167" s="243" t="s">
        <v>153</v>
      </c>
    </row>
    <row r="3168" spans="1:12" ht="15.6" hidden="1">
      <c r="A3168" s="438">
        <v>45945</v>
      </c>
      <c r="B3168" s="423" t="s">
        <v>3957</v>
      </c>
      <c r="C3168" s="423" t="s">
        <v>172</v>
      </c>
      <c r="D3168" s="423" t="s">
        <v>115</v>
      </c>
      <c r="E3168" s="471">
        <v>300</v>
      </c>
      <c r="F3168" s="407">
        <f t="shared" si="43"/>
        <v>0.5520408951895156</v>
      </c>
      <c r="G3168" s="408">
        <v>543.43799999999999</v>
      </c>
      <c r="H3168" s="423" t="s">
        <v>185</v>
      </c>
      <c r="I3168" s="423" t="s">
        <v>4008</v>
      </c>
      <c r="J3168" s="243" t="s">
        <v>96</v>
      </c>
      <c r="K3168" s="243" t="s">
        <v>1906</v>
      </c>
      <c r="L3168" s="243" t="s">
        <v>153</v>
      </c>
    </row>
    <row r="3169" spans="1:12" ht="15.6" hidden="1">
      <c r="A3169" s="438">
        <v>45945</v>
      </c>
      <c r="B3169" s="423" t="s">
        <v>3954</v>
      </c>
      <c r="C3169" s="423" t="s">
        <v>311</v>
      </c>
      <c r="D3169" s="423" t="s">
        <v>115</v>
      </c>
      <c r="E3169" s="471">
        <v>3000</v>
      </c>
      <c r="F3169" s="407">
        <f t="shared" si="43"/>
        <v>5.5204089518951562</v>
      </c>
      <c r="G3169" s="408">
        <v>543.43799999999999</v>
      </c>
      <c r="H3169" s="423" t="s">
        <v>185</v>
      </c>
      <c r="I3169" s="423" t="s">
        <v>4017</v>
      </c>
      <c r="J3169" s="243" t="s">
        <v>96</v>
      </c>
      <c r="K3169" s="243" t="s">
        <v>1906</v>
      </c>
      <c r="L3169" s="243" t="s">
        <v>153</v>
      </c>
    </row>
    <row r="3170" spans="1:12" ht="15.6" hidden="1">
      <c r="A3170" s="438">
        <v>45945</v>
      </c>
      <c r="B3170" s="423" t="s">
        <v>3958</v>
      </c>
      <c r="C3170" s="423" t="s">
        <v>172</v>
      </c>
      <c r="D3170" s="423" t="s">
        <v>115</v>
      </c>
      <c r="E3170" s="471">
        <v>300</v>
      </c>
      <c r="F3170" s="407">
        <f t="shared" si="43"/>
        <v>0.5520408951895156</v>
      </c>
      <c r="G3170" s="408">
        <v>543.43799999999999</v>
      </c>
      <c r="H3170" s="423" t="s">
        <v>185</v>
      </c>
      <c r="I3170" s="423" t="s">
        <v>4008</v>
      </c>
      <c r="J3170" s="243" t="s">
        <v>96</v>
      </c>
      <c r="K3170" s="243" t="s">
        <v>1906</v>
      </c>
      <c r="L3170" s="243" t="s">
        <v>153</v>
      </c>
    </row>
    <row r="3171" spans="1:12" ht="15.6" hidden="1">
      <c r="A3171" s="438">
        <v>45945</v>
      </c>
      <c r="B3171" s="423" t="s">
        <v>3959</v>
      </c>
      <c r="C3171" s="423" t="s">
        <v>172</v>
      </c>
      <c r="D3171" s="423" t="s">
        <v>115</v>
      </c>
      <c r="E3171" s="471">
        <v>7000</v>
      </c>
      <c r="F3171" s="407">
        <f t="shared" si="43"/>
        <v>12.880954221088698</v>
      </c>
      <c r="G3171" s="408">
        <v>543.43799999999999</v>
      </c>
      <c r="H3171" s="423" t="s">
        <v>185</v>
      </c>
      <c r="I3171" s="423" t="s">
        <v>4019</v>
      </c>
      <c r="J3171" s="243" t="s">
        <v>96</v>
      </c>
      <c r="K3171" s="243" t="s">
        <v>1906</v>
      </c>
      <c r="L3171" s="243" t="s">
        <v>153</v>
      </c>
    </row>
    <row r="3172" spans="1:12" ht="15.6" hidden="1">
      <c r="A3172" s="438">
        <v>45945</v>
      </c>
      <c r="B3172" s="423" t="s">
        <v>3960</v>
      </c>
      <c r="C3172" s="423" t="s">
        <v>172</v>
      </c>
      <c r="D3172" s="423" t="s">
        <v>115</v>
      </c>
      <c r="E3172" s="471">
        <v>300</v>
      </c>
      <c r="F3172" s="407">
        <f t="shared" si="43"/>
        <v>0.5520408951895156</v>
      </c>
      <c r="G3172" s="408">
        <v>543.43799999999999</v>
      </c>
      <c r="H3172" s="423" t="s">
        <v>185</v>
      </c>
      <c r="I3172" s="423" t="s">
        <v>4008</v>
      </c>
      <c r="J3172" s="243" t="s">
        <v>96</v>
      </c>
      <c r="K3172" s="243" t="s">
        <v>1906</v>
      </c>
      <c r="L3172" s="243" t="s">
        <v>153</v>
      </c>
    </row>
    <row r="3173" spans="1:12" ht="15.6" hidden="1">
      <c r="A3173" s="438">
        <v>45945</v>
      </c>
      <c r="B3173" s="423" t="s">
        <v>3957</v>
      </c>
      <c r="C3173" s="423" t="s">
        <v>172</v>
      </c>
      <c r="D3173" s="423" t="s">
        <v>115</v>
      </c>
      <c r="E3173" s="471">
        <v>300</v>
      </c>
      <c r="F3173" s="407">
        <f t="shared" si="43"/>
        <v>0.5520408951895156</v>
      </c>
      <c r="G3173" s="408">
        <v>543.43799999999999</v>
      </c>
      <c r="H3173" s="423" t="s">
        <v>185</v>
      </c>
      <c r="I3173" s="423" t="s">
        <v>4008</v>
      </c>
      <c r="J3173" s="243" t="s">
        <v>96</v>
      </c>
      <c r="K3173" s="243" t="s">
        <v>1906</v>
      </c>
      <c r="L3173" s="243" t="s">
        <v>153</v>
      </c>
    </row>
    <row r="3174" spans="1:12" ht="15.6" hidden="1">
      <c r="A3174" s="438">
        <v>45945</v>
      </c>
      <c r="B3174" s="423" t="s">
        <v>3961</v>
      </c>
      <c r="C3174" s="423" t="s">
        <v>311</v>
      </c>
      <c r="D3174" s="423" t="s">
        <v>115</v>
      </c>
      <c r="E3174" s="471">
        <v>3000</v>
      </c>
      <c r="F3174" s="407">
        <f t="shared" si="43"/>
        <v>5.5204089518951562</v>
      </c>
      <c r="G3174" s="408">
        <v>543.43799999999999</v>
      </c>
      <c r="H3174" s="423" t="s">
        <v>185</v>
      </c>
      <c r="I3174" s="423" t="s">
        <v>4017</v>
      </c>
      <c r="J3174" s="243" t="s">
        <v>96</v>
      </c>
      <c r="K3174" s="243" t="s">
        <v>1906</v>
      </c>
      <c r="L3174" s="243" t="s">
        <v>153</v>
      </c>
    </row>
    <row r="3175" spans="1:12" ht="15.6" hidden="1">
      <c r="A3175" s="438">
        <v>45945</v>
      </c>
      <c r="B3175" s="423" t="s">
        <v>3962</v>
      </c>
      <c r="C3175" s="423" t="s">
        <v>172</v>
      </c>
      <c r="D3175" s="423" t="s">
        <v>115</v>
      </c>
      <c r="E3175" s="471">
        <v>300</v>
      </c>
      <c r="F3175" s="407">
        <f t="shared" si="43"/>
        <v>0.5520408951895156</v>
      </c>
      <c r="G3175" s="408">
        <v>543.43799999999999</v>
      </c>
      <c r="H3175" s="423" t="s">
        <v>185</v>
      </c>
      <c r="I3175" s="423" t="s">
        <v>4008</v>
      </c>
      <c r="J3175" s="243" t="s">
        <v>96</v>
      </c>
      <c r="K3175" s="243" t="s">
        <v>1906</v>
      </c>
      <c r="L3175" s="243" t="s">
        <v>153</v>
      </c>
    </row>
    <row r="3176" spans="1:12" ht="15.6" hidden="1">
      <c r="A3176" s="438">
        <v>45945</v>
      </c>
      <c r="B3176" s="164" t="s">
        <v>4053</v>
      </c>
      <c r="C3176" s="124" t="s">
        <v>125</v>
      </c>
      <c r="D3176" s="350" t="s">
        <v>117</v>
      </c>
      <c r="E3176" s="349">
        <v>1311000</v>
      </c>
      <c r="F3176" s="407">
        <f t="shared" si="43"/>
        <v>2412.4187119781832</v>
      </c>
      <c r="G3176" s="408">
        <v>543.43799999999999</v>
      </c>
      <c r="H3176" s="125" t="s">
        <v>146</v>
      </c>
      <c r="I3176" s="125" t="s">
        <v>4086</v>
      </c>
      <c r="J3176" s="243" t="s">
        <v>96</v>
      </c>
      <c r="K3176" s="243" t="s">
        <v>1906</v>
      </c>
      <c r="L3176" s="243" t="s">
        <v>153</v>
      </c>
    </row>
    <row r="3177" spans="1:12" ht="15.6" hidden="1">
      <c r="A3177" s="438">
        <v>45946</v>
      </c>
      <c r="B3177" s="239" t="s">
        <v>2103</v>
      </c>
      <c r="C3177" s="453" t="s">
        <v>172</v>
      </c>
      <c r="D3177" s="453" t="s">
        <v>117</v>
      </c>
      <c r="E3177" s="458">
        <v>1000</v>
      </c>
      <c r="F3177" s="407">
        <f t="shared" si="43"/>
        <v>1.8401363172983856</v>
      </c>
      <c r="G3177" s="408">
        <v>543.43799999999999</v>
      </c>
      <c r="H3177" s="454" t="s">
        <v>151</v>
      </c>
      <c r="I3177" s="239" t="s">
        <v>3264</v>
      </c>
      <c r="J3177" s="243" t="s">
        <v>96</v>
      </c>
      <c r="K3177" s="243" t="s">
        <v>1906</v>
      </c>
      <c r="L3177" s="243" t="s">
        <v>153</v>
      </c>
    </row>
    <row r="3178" spans="1:12" ht="15.6" hidden="1">
      <c r="A3178" s="438">
        <v>45946</v>
      </c>
      <c r="B3178" s="239" t="s">
        <v>2104</v>
      </c>
      <c r="C3178" s="453" t="s">
        <v>172</v>
      </c>
      <c r="D3178" s="453" t="s">
        <v>117</v>
      </c>
      <c r="E3178" s="458">
        <v>1000</v>
      </c>
      <c r="F3178" s="407">
        <f t="shared" si="43"/>
        <v>1.8401363172983856</v>
      </c>
      <c r="G3178" s="408">
        <v>543.43799999999999</v>
      </c>
      <c r="H3178" s="454" t="s">
        <v>151</v>
      </c>
      <c r="I3178" s="239" t="s">
        <v>3264</v>
      </c>
      <c r="J3178" s="243" t="s">
        <v>96</v>
      </c>
      <c r="K3178" s="243" t="s">
        <v>1906</v>
      </c>
      <c r="L3178" s="243" t="s">
        <v>153</v>
      </c>
    </row>
    <row r="3179" spans="1:12" ht="15.6" hidden="1">
      <c r="A3179" s="438">
        <v>45946</v>
      </c>
      <c r="B3179" s="243" t="s">
        <v>3392</v>
      </c>
      <c r="C3179" s="423" t="s">
        <v>172</v>
      </c>
      <c r="D3179" s="423" t="s">
        <v>116</v>
      </c>
      <c r="E3179" s="464">
        <v>1000</v>
      </c>
      <c r="F3179" s="407">
        <f t="shared" si="43"/>
        <v>1.8401363172983856</v>
      </c>
      <c r="G3179" s="408">
        <v>543.43799999999999</v>
      </c>
      <c r="H3179" s="423" t="s">
        <v>581</v>
      </c>
      <c r="I3179" s="423" t="s">
        <v>3419</v>
      </c>
      <c r="J3179" s="243" t="s">
        <v>96</v>
      </c>
      <c r="K3179" s="243" t="s">
        <v>1906</v>
      </c>
      <c r="L3179" s="243" t="s">
        <v>153</v>
      </c>
    </row>
    <row r="3180" spans="1:12" ht="15.6" hidden="1">
      <c r="A3180" s="438">
        <v>45946</v>
      </c>
      <c r="B3180" s="243" t="s">
        <v>2892</v>
      </c>
      <c r="C3180" s="423" t="s">
        <v>172</v>
      </c>
      <c r="D3180" s="423" t="s">
        <v>116</v>
      </c>
      <c r="E3180" s="464">
        <v>1000</v>
      </c>
      <c r="F3180" s="407">
        <f t="shared" si="43"/>
        <v>1.8401363172983856</v>
      </c>
      <c r="G3180" s="408">
        <v>543.43799999999999</v>
      </c>
      <c r="H3180" s="423" t="s">
        <v>581</v>
      </c>
      <c r="I3180" s="423" t="s">
        <v>3419</v>
      </c>
      <c r="J3180" s="243" t="s">
        <v>96</v>
      </c>
      <c r="K3180" s="243" t="s">
        <v>1906</v>
      </c>
      <c r="L3180" s="243" t="s">
        <v>153</v>
      </c>
    </row>
    <row r="3181" spans="1:12" ht="15.6" hidden="1">
      <c r="A3181" s="438">
        <v>45946</v>
      </c>
      <c r="B3181" s="331" t="s">
        <v>4761</v>
      </c>
      <c r="C3181" s="331" t="s">
        <v>175</v>
      </c>
      <c r="D3181" s="331" t="s">
        <v>119</v>
      </c>
      <c r="E3181" s="459">
        <v>140000</v>
      </c>
      <c r="F3181" s="407">
        <f t="shared" si="43"/>
        <v>257.61908442177395</v>
      </c>
      <c r="G3181" s="408">
        <v>543.43799999999999</v>
      </c>
      <c r="H3181" s="331" t="s">
        <v>182</v>
      </c>
      <c r="I3181" s="331" t="s">
        <v>3459</v>
      </c>
      <c r="J3181" s="243" t="s">
        <v>96</v>
      </c>
      <c r="K3181" s="243" t="s">
        <v>1906</v>
      </c>
      <c r="L3181" s="243" t="s">
        <v>153</v>
      </c>
    </row>
    <row r="3182" spans="1:12" ht="15.6" hidden="1">
      <c r="A3182" s="438">
        <v>45946</v>
      </c>
      <c r="B3182" s="331" t="s">
        <v>4912</v>
      </c>
      <c r="C3182" s="331" t="s">
        <v>172</v>
      </c>
      <c r="D3182" s="331" t="s">
        <v>119</v>
      </c>
      <c r="E3182" s="459">
        <v>1500</v>
      </c>
      <c r="F3182" s="407">
        <f t="shared" si="43"/>
        <v>2.7602044759475781</v>
      </c>
      <c r="G3182" s="408">
        <v>543.43799999999999</v>
      </c>
      <c r="H3182" s="331" t="s">
        <v>182</v>
      </c>
      <c r="I3182" s="331" t="s">
        <v>3447</v>
      </c>
      <c r="J3182" s="243" t="s">
        <v>96</v>
      </c>
      <c r="K3182" s="243" t="s">
        <v>1906</v>
      </c>
      <c r="L3182" s="243" t="s">
        <v>153</v>
      </c>
    </row>
    <row r="3183" spans="1:12" ht="15.6" hidden="1">
      <c r="A3183" s="438">
        <v>45946</v>
      </c>
      <c r="B3183" s="331" t="s">
        <v>4917</v>
      </c>
      <c r="C3183" s="331" t="s">
        <v>172</v>
      </c>
      <c r="D3183" s="331" t="s">
        <v>119</v>
      </c>
      <c r="E3183" s="459">
        <v>700</v>
      </c>
      <c r="F3183" s="407">
        <f t="shared" si="43"/>
        <v>1.2880954221088698</v>
      </c>
      <c r="G3183" s="408">
        <v>543.43799999999999</v>
      </c>
      <c r="H3183" s="331" t="s">
        <v>182</v>
      </c>
      <c r="I3183" s="331" t="s">
        <v>3447</v>
      </c>
      <c r="J3183" s="243" t="s">
        <v>96</v>
      </c>
      <c r="K3183" s="243" t="s">
        <v>1906</v>
      </c>
      <c r="L3183" s="243" t="s">
        <v>153</v>
      </c>
    </row>
    <row r="3184" spans="1:12" ht="15.6" hidden="1">
      <c r="A3184" s="438">
        <v>45946</v>
      </c>
      <c r="B3184" s="331" t="s">
        <v>4917</v>
      </c>
      <c r="C3184" s="331" t="s">
        <v>172</v>
      </c>
      <c r="D3184" s="331" t="s">
        <v>119</v>
      </c>
      <c r="E3184" s="459">
        <v>500</v>
      </c>
      <c r="F3184" s="407">
        <f t="shared" si="43"/>
        <v>0.92006815864919278</v>
      </c>
      <c r="G3184" s="408">
        <v>543.43799999999999</v>
      </c>
      <c r="H3184" s="331" t="s">
        <v>182</v>
      </c>
      <c r="I3184" s="331" t="s">
        <v>3447</v>
      </c>
      <c r="J3184" s="243" t="s">
        <v>96</v>
      </c>
      <c r="K3184" s="243" t="s">
        <v>1906</v>
      </c>
      <c r="L3184" s="243" t="s">
        <v>153</v>
      </c>
    </row>
    <row r="3185" spans="1:12" ht="15.6" hidden="1">
      <c r="A3185" s="438">
        <v>45946</v>
      </c>
      <c r="B3185" s="331" t="s">
        <v>4917</v>
      </c>
      <c r="C3185" s="331" t="s">
        <v>172</v>
      </c>
      <c r="D3185" s="331" t="s">
        <v>119</v>
      </c>
      <c r="E3185" s="459">
        <v>500</v>
      </c>
      <c r="F3185" s="407">
        <f t="shared" si="43"/>
        <v>0.92006815864919278</v>
      </c>
      <c r="G3185" s="408">
        <v>543.43799999999999</v>
      </c>
      <c r="H3185" s="331" t="s">
        <v>182</v>
      </c>
      <c r="I3185" s="331" t="s">
        <v>3447</v>
      </c>
      <c r="J3185" s="243" t="s">
        <v>96</v>
      </c>
      <c r="K3185" s="243" t="s">
        <v>1906</v>
      </c>
      <c r="L3185" s="243" t="s">
        <v>153</v>
      </c>
    </row>
    <row r="3186" spans="1:12" ht="15.6" hidden="1">
      <c r="A3186" s="438">
        <v>45946</v>
      </c>
      <c r="B3186" s="331" t="s">
        <v>4917</v>
      </c>
      <c r="C3186" s="331" t="s">
        <v>172</v>
      </c>
      <c r="D3186" s="331" t="s">
        <v>119</v>
      </c>
      <c r="E3186" s="459">
        <v>500</v>
      </c>
      <c r="F3186" s="407">
        <f t="shared" si="43"/>
        <v>0.92006815864919278</v>
      </c>
      <c r="G3186" s="408">
        <v>543.43799999999999</v>
      </c>
      <c r="H3186" s="331" t="s">
        <v>182</v>
      </c>
      <c r="I3186" s="331" t="s">
        <v>3447</v>
      </c>
      <c r="J3186" s="243" t="s">
        <v>96</v>
      </c>
      <c r="K3186" s="243" t="s">
        <v>1906</v>
      </c>
      <c r="L3186" s="243" t="s">
        <v>153</v>
      </c>
    </row>
    <row r="3187" spans="1:12" ht="15.6" hidden="1">
      <c r="A3187" s="438">
        <v>45946</v>
      </c>
      <c r="B3187" s="243" t="s">
        <v>4964</v>
      </c>
      <c r="C3187" s="423" t="s">
        <v>2394</v>
      </c>
      <c r="D3187" s="423" t="s">
        <v>119</v>
      </c>
      <c r="E3187" s="471">
        <v>100000</v>
      </c>
      <c r="F3187" s="407">
        <f t="shared" si="43"/>
        <v>184.01363172983855</v>
      </c>
      <c r="G3187" s="408">
        <v>543.43799999999999</v>
      </c>
      <c r="H3187" s="423" t="s">
        <v>173</v>
      </c>
      <c r="I3187" s="423" t="s">
        <v>3492</v>
      </c>
      <c r="J3187" s="243" t="s">
        <v>96</v>
      </c>
      <c r="K3187" s="243" t="s">
        <v>1906</v>
      </c>
      <c r="L3187" s="243" t="s">
        <v>153</v>
      </c>
    </row>
    <row r="3188" spans="1:12" ht="15.6" hidden="1">
      <c r="A3188" s="438">
        <v>45946</v>
      </c>
      <c r="B3188" s="423" t="s">
        <v>4876</v>
      </c>
      <c r="C3188" s="423" t="s">
        <v>172</v>
      </c>
      <c r="D3188" s="423" t="s">
        <v>119</v>
      </c>
      <c r="E3188" s="471">
        <v>1000</v>
      </c>
      <c r="F3188" s="407">
        <f t="shared" si="43"/>
        <v>1.8401363172983856</v>
      </c>
      <c r="G3188" s="408">
        <v>543.43799999999999</v>
      </c>
      <c r="H3188" s="423" t="s">
        <v>173</v>
      </c>
      <c r="I3188" s="423" t="s">
        <v>3484</v>
      </c>
      <c r="J3188" s="243" t="s">
        <v>96</v>
      </c>
      <c r="K3188" s="243" t="s">
        <v>1906</v>
      </c>
      <c r="L3188" s="243" t="s">
        <v>153</v>
      </c>
    </row>
    <row r="3189" spans="1:12" ht="15.6" hidden="1">
      <c r="A3189" s="438">
        <v>45946</v>
      </c>
      <c r="B3189" s="423" t="s">
        <v>4876</v>
      </c>
      <c r="C3189" s="423" t="s">
        <v>172</v>
      </c>
      <c r="D3189" s="423" t="s">
        <v>119</v>
      </c>
      <c r="E3189" s="471">
        <v>1000</v>
      </c>
      <c r="F3189" s="407">
        <f t="shared" si="43"/>
        <v>1.8401363172983856</v>
      </c>
      <c r="G3189" s="408">
        <v>543.43799999999999</v>
      </c>
      <c r="H3189" s="423" t="s">
        <v>173</v>
      </c>
      <c r="I3189" s="423" t="s">
        <v>3484</v>
      </c>
      <c r="J3189" s="243" t="s">
        <v>96</v>
      </c>
      <c r="K3189" s="243" t="s">
        <v>1906</v>
      </c>
      <c r="L3189" s="243" t="s">
        <v>153</v>
      </c>
    </row>
    <row r="3190" spans="1:12" ht="15.6" hidden="1">
      <c r="A3190" s="438">
        <v>45946</v>
      </c>
      <c r="B3190" s="243" t="s">
        <v>4748</v>
      </c>
      <c r="C3190" s="243" t="s">
        <v>175</v>
      </c>
      <c r="D3190" s="243" t="s">
        <v>119</v>
      </c>
      <c r="E3190" s="460">
        <v>140000</v>
      </c>
      <c r="F3190" s="407">
        <f t="shared" si="43"/>
        <v>257.61908442177395</v>
      </c>
      <c r="G3190" s="408">
        <v>543.43799999999999</v>
      </c>
      <c r="H3190" s="243" t="s">
        <v>315</v>
      </c>
      <c r="I3190" s="243" t="s">
        <v>3513</v>
      </c>
      <c r="J3190" s="243" t="s">
        <v>96</v>
      </c>
      <c r="K3190" s="243" t="s">
        <v>1906</v>
      </c>
      <c r="L3190" s="243" t="s">
        <v>153</v>
      </c>
    </row>
    <row r="3191" spans="1:12" ht="15.6" hidden="1">
      <c r="A3191" s="438">
        <v>45946</v>
      </c>
      <c r="B3191" s="243" t="s">
        <v>4917</v>
      </c>
      <c r="C3191" s="243" t="s">
        <v>172</v>
      </c>
      <c r="D3191" s="243" t="s">
        <v>119</v>
      </c>
      <c r="E3191" s="460">
        <v>2000</v>
      </c>
      <c r="F3191" s="407">
        <f t="shared" si="43"/>
        <v>3.6802726345967711</v>
      </c>
      <c r="G3191" s="408">
        <v>543.43799999999999</v>
      </c>
      <c r="H3191" s="243" t="s">
        <v>315</v>
      </c>
      <c r="I3191" s="243" t="s">
        <v>3510</v>
      </c>
      <c r="J3191" s="243" t="s">
        <v>96</v>
      </c>
      <c r="K3191" s="243" t="s">
        <v>1906</v>
      </c>
      <c r="L3191" s="243" t="s">
        <v>153</v>
      </c>
    </row>
    <row r="3192" spans="1:12" ht="15.6" hidden="1">
      <c r="A3192" s="438">
        <v>45946</v>
      </c>
      <c r="B3192" s="243" t="s">
        <v>4938</v>
      </c>
      <c r="C3192" s="243" t="s">
        <v>172</v>
      </c>
      <c r="D3192" s="243" t="s">
        <v>119</v>
      </c>
      <c r="E3192" s="460">
        <v>700</v>
      </c>
      <c r="F3192" s="407">
        <f t="shared" si="43"/>
        <v>1.2880954221088698</v>
      </c>
      <c r="G3192" s="408">
        <v>543.43799999999999</v>
      </c>
      <c r="H3192" s="243" t="s">
        <v>315</v>
      </c>
      <c r="I3192" s="243" t="s">
        <v>3510</v>
      </c>
      <c r="J3192" s="243" t="s">
        <v>96</v>
      </c>
      <c r="K3192" s="243" t="s">
        <v>1906</v>
      </c>
      <c r="L3192" s="243" t="s">
        <v>153</v>
      </c>
    </row>
    <row r="3193" spans="1:12" ht="15.6" hidden="1">
      <c r="A3193" s="438">
        <v>45946</v>
      </c>
      <c r="B3193" s="243" t="s">
        <v>4965</v>
      </c>
      <c r="C3193" s="243" t="s">
        <v>2394</v>
      </c>
      <c r="D3193" s="243" t="s">
        <v>119</v>
      </c>
      <c r="E3193" s="457">
        <v>70000</v>
      </c>
      <c r="F3193" s="407">
        <f t="shared" si="43"/>
        <v>128.80954221088697</v>
      </c>
      <c r="G3193" s="408">
        <v>543.43799999999999</v>
      </c>
      <c r="H3193" s="243" t="s">
        <v>321</v>
      </c>
      <c r="I3193" s="243" t="s">
        <v>3535</v>
      </c>
      <c r="J3193" s="243" t="s">
        <v>96</v>
      </c>
      <c r="K3193" s="243" t="s">
        <v>1906</v>
      </c>
      <c r="L3193" s="243" t="s">
        <v>153</v>
      </c>
    </row>
    <row r="3194" spans="1:12" ht="15.6" hidden="1">
      <c r="A3194" s="438">
        <v>45946</v>
      </c>
      <c r="B3194" s="243" t="s">
        <v>4907</v>
      </c>
      <c r="C3194" s="243" t="s">
        <v>172</v>
      </c>
      <c r="D3194" s="243" t="s">
        <v>119</v>
      </c>
      <c r="E3194" s="457">
        <v>1000</v>
      </c>
      <c r="F3194" s="407">
        <f t="shared" si="43"/>
        <v>1.8401363172983856</v>
      </c>
      <c r="G3194" s="408">
        <v>543.43799999999999</v>
      </c>
      <c r="H3194" s="243" t="s">
        <v>321</v>
      </c>
      <c r="I3194" s="243" t="s">
        <v>3533</v>
      </c>
      <c r="J3194" s="243" t="s">
        <v>96</v>
      </c>
      <c r="K3194" s="243" t="s">
        <v>1906</v>
      </c>
      <c r="L3194" s="243" t="s">
        <v>153</v>
      </c>
    </row>
    <row r="3195" spans="1:12" ht="15.6" hidden="1">
      <c r="A3195" s="438">
        <v>45946</v>
      </c>
      <c r="B3195" s="243" t="s">
        <v>4907</v>
      </c>
      <c r="C3195" s="243" t="s">
        <v>172</v>
      </c>
      <c r="D3195" s="243" t="s">
        <v>119</v>
      </c>
      <c r="E3195" s="457">
        <v>500</v>
      </c>
      <c r="F3195" s="407">
        <f t="shared" si="43"/>
        <v>0.92006815864919278</v>
      </c>
      <c r="G3195" s="408">
        <v>543.43799999999999</v>
      </c>
      <c r="H3195" s="243" t="s">
        <v>321</v>
      </c>
      <c r="I3195" s="243" t="s">
        <v>3533</v>
      </c>
      <c r="J3195" s="243" t="s">
        <v>96</v>
      </c>
      <c r="K3195" s="243" t="s">
        <v>1906</v>
      </c>
      <c r="L3195" s="243" t="s">
        <v>153</v>
      </c>
    </row>
    <row r="3196" spans="1:12" ht="15.6" hidden="1">
      <c r="A3196" s="438">
        <v>45946</v>
      </c>
      <c r="B3196" s="243" t="s">
        <v>3734</v>
      </c>
      <c r="C3196" s="239" t="s">
        <v>194</v>
      </c>
      <c r="D3196" s="239" t="s">
        <v>115</v>
      </c>
      <c r="E3196" s="457">
        <v>1000</v>
      </c>
      <c r="F3196" s="407">
        <f t="shared" si="43"/>
        <v>1.8401363172983856</v>
      </c>
      <c r="G3196" s="408">
        <v>543.43799999999999</v>
      </c>
      <c r="H3196" s="239" t="s">
        <v>195</v>
      </c>
      <c r="I3196" s="243" t="s">
        <v>3747</v>
      </c>
      <c r="J3196" s="243" t="s">
        <v>96</v>
      </c>
      <c r="K3196" s="243" t="s">
        <v>1906</v>
      </c>
      <c r="L3196" s="243" t="s">
        <v>153</v>
      </c>
    </row>
    <row r="3197" spans="1:12" ht="15.6" hidden="1">
      <c r="A3197" s="438">
        <v>45946</v>
      </c>
      <c r="B3197" s="243" t="s">
        <v>3735</v>
      </c>
      <c r="C3197" s="239" t="s">
        <v>194</v>
      </c>
      <c r="D3197" s="239" t="s">
        <v>115</v>
      </c>
      <c r="E3197" s="457">
        <v>1000</v>
      </c>
      <c r="F3197" s="407">
        <f t="shared" si="43"/>
        <v>1.8401363172983856</v>
      </c>
      <c r="G3197" s="408">
        <v>543.43799999999999</v>
      </c>
      <c r="H3197" s="239" t="s">
        <v>195</v>
      </c>
      <c r="I3197" s="243" t="s">
        <v>3747</v>
      </c>
      <c r="J3197" s="243" t="s">
        <v>96</v>
      </c>
      <c r="K3197" s="243" t="s">
        <v>1906</v>
      </c>
      <c r="L3197" s="243" t="s">
        <v>153</v>
      </c>
    </row>
    <row r="3198" spans="1:12" ht="15.6" hidden="1">
      <c r="A3198" s="438">
        <v>45946</v>
      </c>
      <c r="B3198" s="243" t="s">
        <v>1803</v>
      </c>
      <c r="C3198" s="239" t="s">
        <v>194</v>
      </c>
      <c r="D3198" s="239" t="s">
        <v>115</v>
      </c>
      <c r="E3198" s="457">
        <v>9000</v>
      </c>
      <c r="F3198" s="407">
        <f t="shared" si="43"/>
        <v>16.561226855685469</v>
      </c>
      <c r="G3198" s="408">
        <v>543.43799999999999</v>
      </c>
      <c r="H3198" s="239" t="s">
        <v>195</v>
      </c>
      <c r="I3198" s="243" t="s">
        <v>3756</v>
      </c>
      <c r="J3198" s="243" t="s">
        <v>96</v>
      </c>
      <c r="K3198" s="243" t="s">
        <v>1906</v>
      </c>
      <c r="L3198" s="243" t="s">
        <v>153</v>
      </c>
    </row>
    <row r="3199" spans="1:12" ht="15.6" hidden="1">
      <c r="A3199" s="438">
        <v>45946</v>
      </c>
      <c r="B3199" s="423" t="s">
        <v>3963</v>
      </c>
      <c r="C3199" s="423" t="s">
        <v>175</v>
      </c>
      <c r="D3199" s="423" t="s">
        <v>115</v>
      </c>
      <c r="E3199" s="471">
        <v>30000</v>
      </c>
      <c r="F3199" s="407">
        <f t="shared" si="43"/>
        <v>55.204089518951562</v>
      </c>
      <c r="G3199" s="408">
        <v>543.43799999999999</v>
      </c>
      <c r="H3199" s="423" t="s">
        <v>185</v>
      </c>
      <c r="I3199" s="423" t="s">
        <v>4020</v>
      </c>
      <c r="J3199" s="243" t="s">
        <v>96</v>
      </c>
      <c r="K3199" s="243" t="s">
        <v>1906</v>
      </c>
      <c r="L3199" s="243" t="s">
        <v>153</v>
      </c>
    </row>
    <row r="3200" spans="1:12" ht="15.6" hidden="1">
      <c r="A3200" s="438">
        <v>45946</v>
      </c>
      <c r="B3200" s="423" t="s">
        <v>3964</v>
      </c>
      <c r="C3200" s="423" t="s">
        <v>172</v>
      </c>
      <c r="D3200" s="423" t="s">
        <v>115</v>
      </c>
      <c r="E3200" s="471">
        <v>300</v>
      </c>
      <c r="F3200" s="407">
        <f t="shared" si="43"/>
        <v>0.5520408951895156</v>
      </c>
      <c r="G3200" s="408">
        <v>543.43799999999999</v>
      </c>
      <c r="H3200" s="423" t="s">
        <v>185</v>
      </c>
      <c r="I3200" s="423" t="s">
        <v>4008</v>
      </c>
      <c r="J3200" s="243" t="s">
        <v>96</v>
      </c>
      <c r="K3200" s="243" t="s">
        <v>1906</v>
      </c>
      <c r="L3200" s="243" t="s">
        <v>153</v>
      </c>
    </row>
    <row r="3201" spans="1:12" ht="15.6" hidden="1">
      <c r="A3201" s="438">
        <v>45946</v>
      </c>
      <c r="B3201" s="423" t="s">
        <v>3965</v>
      </c>
      <c r="C3201" s="423" t="s">
        <v>172</v>
      </c>
      <c r="D3201" s="423" t="s">
        <v>115</v>
      </c>
      <c r="E3201" s="471">
        <v>3500</v>
      </c>
      <c r="F3201" s="407">
        <f t="shared" si="43"/>
        <v>6.4404771105443492</v>
      </c>
      <c r="G3201" s="408">
        <v>543.43799999999999</v>
      </c>
      <c r="H3201" s="423" t="s">
        <v>185</v>
      </c>
      <c r="I3201" s="423" t="s">
        <v>4008</v>
      </c>
      <c r="J3201" s="243" t="s">
        <v>96</v>
      </c>
      <c r="K3201" s="243" t="s">
        <v>1906</v>
      </c>
      <c r="L3201" s="243" t="s">
        <v>153</v>
      </c>
    </row>
    <row r="3202" spans="1:12" ht="15.6" hidden="1">
      <c r="A3202" s="438">
        <v>45947</v>
      </c>
      <c r="B3202" s="239" t="s">
        <v>2103</v>
      </c>
      <c r="C3202" s="453" t="s">
        <v>172</v>
      </c>
      <c r="D3202" s="453" t="s">
        <v>117</v>
      </c>
      <c r="E3202" s="458">
        <v>1000</v>
      </c>
      <c r="F3202" s="407">
        <f t="shared" si="43"/>
        <v>1.8401363172983856</v>
      </c>
      <c r="G3202" s="408">
        <v>543.43799999999999</v>
      </c>
      <c r="H3202" s="454" t="s">
        <v>151</v>
      </c>
      <c r="I3202" s="239" t="s">
        <v>3264</v>
      </c>
      <c r="J3202" s="243" t="s">
        <v>96</v>
      </c>
      <c r="K3202" s="243" t="s">
        <v>1906</v>
      </c>
      <c r="L3202" s="243" t="s">
        <v>153</v>
      </c>
    </row>
    <row r="3203" spans="1:12" ht="15.6" hidden="1">
      <c r="A3203" s="438">
        <v>45947</v>
      </c>
      <c r="B3203" s="239" t="s">
        <v>2116</v>
      </c>
      <c r="C3203" s="453" t="s">
        <v>172</v>
      </c>
      <c r="D3203" s="453" t="s">
        <v>117</v>
      </c>
      <c r="E3203" s="458">
        <v>1000</v>
      </c>
      <c r="F3203" s="407">
        <f t="shared" ref="F3203:F3266" si="44">E3203/G3203</f>
        <v>1.8401363172983856</v>
      </c>
      <c r="G3203" s="408">
        <v>543.43799999999999</v>
      </c>
      <c r="H3203" s="454" t="s">
        <v>151</v>
      </c>
      <c r="I3203" s="239" t="s">
        <v>3264</v>
      </c>
      <c r="J3203" s="243" t="s">
        <v>96</v>
      </c>
      <c r="K3203" s="243" t="s">
        <v>1906</v>
      </c>
      <c r="L3203" s="243" t="s">
        <v>153</v>
      </c>
    </row>
    <row r="3204" spans="1:12" ht="15.6" hidden="1">
      <c r="A3204" s="438">
        <v>45947</v>
      </c>
      <c r="B3204" s="331" t="s">
        <v>2932</v>
      </c>
      <c r="C3204" s="331" t="s">
        <v>366</v>
      </c>
      <c r="D3204" s="331" t="s">
        <v>119</v>
      </c>
      <c r="E3204" s="459">
        <v>2000</v>
      </c>
      <c r="F3204" s="407">
        <f t="shared" si="44"/>
        <v>3.6802726345967711</v>
      </c>
      <c r="G3204" s="408">
        <v>543.43799999999999</v>
      </c>
      <c r="H3204" s="331" t="s">
        <v>182</v>
      </c>
      <c r="I3204" s="331" t="s">
        <v>3456</v>
      </c>
      <c r="J3204" s="243" t="s">
        <v>96</v>
      </c>
      <c r="K3204" s="243" t="s">
        <v>1906</v>
      </c>
      <c r="L3204" s="243" t="s">
        <v>153</v>
      </c>
    </row>
    <row r="3205" spans="1:12" ht="15.6" hidden="1">
      <c r="A3205" s="438">
        <v>45947</v>
      </c>
      <c r="B3205" s="331" t="s">
        <v>4917</v>
      </c>
      <c r="C3205" s="331" t="s">
        <v>172</v>
      </c>
      <c r="D3205" s="331" t="s">
        <v>119</v>
      </c>
      <c r="E3205" s="459">
        <v>500</v>
      </c>
      <c r="F3205" s="407">
        <f t="shared" si="44"/>
        <v>0.92006815864919278</v>
      </c>
      <c r="G3205" s="408">
        <v>543.43799999999999</v>
      </c>
      <c r="H3205" s="331" t="s">
        <v>182</v>
      </c>
      <c r="I3205" s="331" t="s">
        <v>3447</v>
      </c>
      <c r="J3205" s="243" t="s">
        <v>96</v>
      </c>
      <c r="K3205" s="243" t="s">
        <v>1906</v>
      </c>
      <c r="L3205" s="243" t="s">
        <v>153</v>
      </c>
    </row>
    <row r="3206" spans="1:12" ht="15.6" hidden="1">
      <c r="A3206" s="438">
        <v>45947</v>
      </c>
      <c r="B3206" s="331" t="s">
        <v>4917</v>
      </c>
      <c r="C3206" s="331" t="s">
        <v>172</v>
      </c>
      <c r="D3206" s="331" t="s">
        <v>119</v>
      </c>
      <c r="E3206" s="459">
        <v>500</v>
      </c>
      <c r="F3206" s="407">
        <f t="shared" si="44"/>
        <v>0.92006815864919278</v>
      </c>
      <c r="G3206" s="408">
        <v>543.43799999999999</v>
      </c>
      <c r="H3206" s="331" t="s">
        <v>182</v>
      </c>
      <c r="I3206" s="331" t="s">
        <v>3447</v>
      </c>
      <c r="J3206" s="243" t="s">
        <v>96</v>
      </c>
      <c r="K3206" s="243" t="s">
        <v>1906</v>
      </c>
      <c r="L3206" s="243" t="s">
        <v>153</v>
      </c>
    </row>
    <row r="3207" spans="1:12" ht="15.6" hidden="1">
      <c r="A3207" s="438">
        <v>45947</v>
      </c>
      <c r="B3207" s="331" t="s">
        <v>4938</v>
      </c>
      <c r="C3207" s="331" t="s">
        <v>172</v>
      </c>
      <c r="D3207" s="331" t="s">
        <v>119</v>
      </c>
      <c r="E3207" s="459">
        <v>700</v>
      </c>
      <c r="F3207" s="407">
        <f t="shared" si="44"/>
        <v>1.2880954221088698</v>
      </c>
      <c r="G3207" s="408">
        <v>543.43799999999999</v>
      </c>
      <c r="H3207" s="331" t="s">
        <v>182</v>
      </c>
      <c r="I3207" s="331" t="s">
        <v>3447</v>
      </c>
      <c r="J3207" s="243" t="s">
        <v>96</v>
      </c>
      <c r="K3207" s="243" t="s">
        <v>1906</v>
      </c>
      <c r="L3207" s="243" t="s">
        <v>153</v>
      </c>
    </row>
    <row r="3208" spans="1:12" ht="15.6" hidden="1">
      <c r="A3208" s="438">
        <v>45947</v>
      </c>
      <c r="B3208" s="331" t="s">
        <v>4945</v>
      </c>
      <c r="C3208" s="331" t="s">
        <v>172</v>
      </c>
      <c r="D3208" s="331" t="s">
        <v>119</v>
      </c>
      <c r="E3208" s="459">
        <v>500</v>
      </c>
      <c r="F3208" s="407">
        <f t="shared" si="44"/>
        <v>0.92006815864919278</v>
      </c>
      <c r="G3208" s="408">
        <v>543.43799999999999</v>
      </c>
      <c r="H3208" s="331" t="s">
        <v>182</v>
      </c>
      <c r="I3208" s="331" t="s">
        <v>3447</v>
      </c>
      <c r="J3208" s="243" t="s">
        <v>96</v>
      </c>
      <c r="K3208" s="243" t="s">
        <v>1906</v>
      </c>
      <c r="L3208" s="243" t="s">
        <v>153</v>
      </c>
    </row>
    <row r="3209" spans="1:12" ht="15.6" hidden="1">
      <c r="A3209" s="438">
        <v>45947</v>
      </c>
      <c r="B3209" s="423" t="s">
        <v>4876</v>
      </c>
      <c r="C3209" s="423" t="s">
        <v>172</v>
      </c>
      <c r="D3209" s="423" t="s">
        <v>119</v>
      </c>
      <c r="E3209" s="471">
        <v>1000</v>
      </c>
      <c r="F3209" s="407">
        <f t="shared" si="44"/>
        <v>1.8401363172983856</v>
      </c>
      <c r="G3209" s="408">
        <v>543.43799999999999</v>
      </c>
      <c r="H3209" s="423" t="s">
        <v>173</v>
      </c>
      <c r="I3209" s="423" t="s">
        <v>3484</v>
      </c>
      <c r="J3209" s="243" t="s">
        <v>96</v>
      </c>
      <c r="K3209" s="243" t="s">
        <v>1906</v>
      </c>
      <c r="L3209" s="243" t="s">
        <v>153</v>
      </c>
    </row>
    <row r="3210" spans="1:12" ht="15.6" hidden="1">
      <c r="A3210" s="438">
        <v>45947</v>
      </c>
      <c r="B3210" s="423" t="s">
        <v>4917</v>
      </c>
      <c r="C3210" s="423" t="s">
        <v>172</v>
      </c>
      <c r="D3210" s="423" t="s">
        <v>119</v>
      </c>
      <c r="E3210" s="471">
        <v>1500</v>
      </c>
      <c r="F3210" s="407">
        <f t="shared" si="44"/>
        <v>2.7602044759475781</v>
      </c>
      <c r="G3210" s="408">
        <v>543.43799999999999</v>
      </c>
      <c r="H3210" s="423" t="s">
        <v>173</v>
      </c>
      <c r="I3210" s="423" t="s">
        <v>3484</v>
      </c>
      <c r="J3210" s="243" t="s">
        <v>96</v>
      </c>
      <c r="K3210" s="243" t="s">
        <v>1906</v>
      </c>
      <c r="L3210" s="243" t="s">
        <v>153</v>
      </c>
    </row>
    <row r="3211" spans="1:12" ht="15.6" hidden="1">
      <c r="A3211" s="438">
        <v>45947</v>
      </c>
      <c r="B3211" s="423" t="s">
        <v>4876</v>
      </c>
      <c r="C3211" s="423" t="s">
        <v>172</v>
      </c>
      <c r="D3211" s="423" t="s">
        <v>119</v>
      </c>
      <c r="E3211" s="471">
        <v>1500</v>
      </c>
      <c r="F3211" s="407">
        <f t="shared" si="44"/>
        <v>2.7602044759475781</v>
      </c>
      <c r="G3211" s="408">
        <v>543.43799999999999</v>
      </c>
      <c r="H3211" s="423" t="s">
        <v>173</v>
      </c>
      <c r="I3211" s="423" t="s">
        <v>3484</v>
      </c>
      <c r="J3211" s="243" t="s">
        <v>96</v>
      </c>
      <c r="K3211" s="243" t="s">
        <v>1906</v>
      </c>
      <c r="L3211" s="243" t="s">
        <v>153</v>
      </c>
    </row>
    <row r="3212" spans="1:12" ht="15.6" hidden="1">
      <c r="A3212" s="438">
        <v>45947</v>
      </c>
      <c r="B3212" s="423" t="s">
        <v>4876</v>
      </c>
      <c r="C3212" s="423" t="s">
        <v>172</v>
      </c>
      <c r="D3212" s="423" t="s">
        <v>119</v>
      </c>
      <c r="E3212" s="471">
        <v>1000</v>
      </c>
      <c r="F3212" s="407">
        <f t="shared" si="44"/>
        <v>1.8401363172983856</v>
      </c>
      <c r="G3212" s="408">
        <v>543.43799999999999</v>
      </c>
      <c r="H3212" s="423" t="s">
        <v>173</v>
      </c>
      <c r="I3212" s="423" t="s">
        <v>3484</v>
      </c>
      <c r="J3212" s="243" t="s">
        <v>96</v>
      </c>
      <c r="K3212" s="243" t="s">
        <v>1906</v>
      </c>
      <c r="L3212" s="243" t="s">
        <v>153</v>
      </c>
    </row>
    <row r="3213" spans="1:12" ht="15.6" hidden="1">
      <c r="A3213" s="438">
        <v>45947</v>
      </c>
      <c r="B3213" s="423" t="s">
        <v>4876</v>
      </c>
      <c r="C3213" s="423" t="s">
        <v>172</v>
      </c>
      <c r="D3213" s="423" t="s">
        <v>119</v>
      </c>
      <c r="E3213" s="471">
        <v>1000</v>
      </c>
      <c r="F3213" s="407">
        <f t="shared" si="44"/>
        <v>1.8401363172983856</v>
      </c>
      <c r="G3213" s="408">
        <v>543.43799999999999</v>
      </c>
      <c r="H3213" s="423" t="s">
        <v>173</v>
      </c>
      <c r="I3213" s="423" t="s">
        <v>3484</v>
      </c>
      <c r="J3213" s="243" t="s">
        <v>96</v>
      </c>
      <c r="K3213" s="243" t="s">
        <v>1906</v>
      </c>
      <c r="L3213" s="243" t="s">
        <v>153</v>
      </c>
    </row>
    <row r="3214" spans="1:12" ht="15.6" hidden="1">
      <c r="A3214" s="438">
        <v>45947</v>
      </c>
      <c r="B3214" s="423" t="s">
        <v>4966</v>
      </c>
      <c r="C3214" s="423" t="s">
        <v>366</v>
      </c>
      <c r="D3214" s="423" t="s">
        <v>119</v>
      </c>
      <c r="E3214" s="471">
        <v>1500</v>
      </c>
      <c r="F3214" s="407">
        <f t="shared" si="44"/>
        <v>2.7602044759475781</v>
      </c>
      <c r="G3214" s="408">
        <v>543.43799999999999</v>
      </c>
      <c r="H3214" s="423" t="s">
        <v>173</v>
      </c>
      <c r="I3214" s="423" t="s">
        <v>3485</v>
      </c>
      <c r="J3214" s="243" t="s">
        <v>96</v>
      </c>
      <c r="K3214" s="243" t="s">
        <v>1906</v>
      </c>
      <c r="L3214" s="243" t="s">
        <v>153</v>
      </c>
    </row>
    <row r="3215" spans="1:12" ht="15.6" hidden="1">
      <c r="A3215" s="438">
        <v>45947</v>
      </c>
      <c r="B3215" s="243" t="s">
        <v>4940</v>
      </c>
      <c r="C3215" s="243" t="s">
        <v>172</v>
      </c>
      <c r="D3215" s="243" t="s">
        <v>119</v>
      </c>
      <c r="E3215" s="460">
        <v>700</v>
      </c>
      <c r="F3215" s="407">
        <f t="shared" si="44"/>
        <v>1.2880954221088698</v>
      </c>
      <c r="G3215" s="408">
        <v>543.43799999999999</v>
      </c>
      <c r="H3215" s="243" t="s">
        <v>315</v>
      </c>
      <c r="I3215" s="243" t="s">
        <v>3510</v>
      </c>
      <c r="J3215" s="243" t="s">
        <v>96</v>
      </c>
      <c r="K3215" s="243" t="s">
        <v>1906</v>
      </c>
      <c r="L3215" s="243" t="s">
        <v>153</v>
      </c>
    </row>
    <row r="3216" spans="1:12" ht="15.6" hidden="1">
      <c r="A3216" s="438">
        <v>45947</v>
      </c>
      <c r="B3216" s="243" t="s">
        <v>4867</v>
      </c>
      <c r="C3216" s="243" t="s">
        <v>363</v>
      </c>
      <c r="D3216" s="243" t="s">
        <v>119</v>
      </c>
      <c r="E3216" s="460">
        <v>2000</v>
      </c>
      <c r="F3216" s="407">
        <f t="shared" si="44"/>
        <v>3.6802726345967711</v>
      </c>
      <c r="G3216" s="408">
        <v>543.43799999999999</v>
      </c>
      <c r="H3216" s="243" t="s">
        <v>315</v>
      </c>
      <c r="I3216" s="243" t="s">
        <v>3514</v>
      </c>
      <c r="J3216" s="243" t="s">
        <v>96</v>
      </c>
      <c r="K3216" s="243" t="s">
        <v>1906</v>
      </c>
      <c r="L3216" s="243" t="s">
        <v>153</v>
      </c>
    </row>
    <row r="3217" spans="1:12" ht="15.6" hidden="1">
      <c r="A3217" s="438">
        <v>45947</v>
      </c>
      <c r="B3217" s="243" t="s">
        <v>4938</v>
      </c>
      <c r="C3217" s="243" t="s">
        <v>172</v>
      </c>
      <c r="D3217" s="243" t="s">
        <v>119</v>
      </c>
      <c r="E3217" s="460">
        <v>700</v>
      </c>
      <c r="F3217" s="407">
        <f t="shared" si="44"/>
        <v>1.2880954221088698</v>
      </c>
      <c r="G3217" s="408">
        <v>543.43799999999999</v>
      </c>
      <c r="H3217" s="243" t="s">
        <v>315</v>
      </c>
      <c r="I3217" s="243" t="s">
        <v>3510</v>
      </c>
      <c r="J3217" s="243" t="s">
        <v>96</v>
      </c>
      <c r="K3217" s="243" t="s">
        <v>1906</v>
      </c>
      <c r="L3217" s="243" t="s">
        <v>153</v>
      </c>
    </row>
    <row r="3218" spans="1:12" ht="15.6" hidden="1">
      <c r="A3218" s="438">
        <v>45947</v>
      </c>
      <c r="B3218" s="243" t="s">
        <v>4940</v>
      </c>
      <c r="C3218" s="243" t="s">
        <v>172</v>
      </c>
      <c r="D3218" s="243" t="s">
        <v>119</v>
      </c>
      <c r="E3218" s="460">
        <v>700</v>
      </c>
      <c r="F3218" s="407">
        <f t="shared" si="44"/>
        <v>1.2880954221088698</v>
      </c>
      <c r="G3218" s="408">
        <v>543.43799999999999</v>
      </c>
      <c r="H3218" s="243" t="s">
        <v>315</v>
      </c>
      <c r="I3218" s="243" t="s">
        <v>3510</v>
      </c>
      <c r="J3218" s="243" t="s">
        <v>96</v>
      </c>
      <c r="K3218" s="243" t="s">
        <v>1906</v>
      </c>
      <c r="L3218" s="243" t="s">
        <v>153</v>
      </c>
    </row>
    <row r="3219" spans="1:12" ht="15.6" hidden="1">
      <c r="A3219" s="438">
        <v>45947</v>
      </c>
      <c r="B3219" s="243" t="s">
        <v>4940</v>
      </c>
      <c r="C3219" s="243" t="s">
        <v>172</v>
      </c>
      <c r="D3219" s="243" t="s">
        <v>119</v>
      </c>
      <c r="E3219" s="460">
        <v>700</v>
      </c>
      <c r="F3219" s="407">
        <f t="shared" si="44"/>
        <v>1.2880954221088698</v>
      </c>
      <c r="G3219" s="408">
        <v>543.43799999999999</v>
      </c>
      <c r="H3219" s="243" t="s">
        <v>315</v>
      </c>
      <c r="I3219" s="243" t="s">
        <v>3510</v>
      </c>
      <c r="J3219" s="243" t="s">
        <v>96</v>
      </c>
      <c r="K3219" s="243" t="s">
        <v>1906</v>
      </c>
      <c r="L3219" s="243" t="s">
        <v>153</v>
      </c>
    </row>
    <row r="3220" spans="1:12" ht="15.6" hidden="1">
      <c r="A3220" s="438">
        <v>45947</v>
      </c>
      <c r="B3220" s="243" t="s">
        <v>4954</v>
      </c>
      <c r="C3220" s="243" t="s">
        <v>172</v>
      </c>
      <c r="D3220" s="243" t="s">
        <v>119</v>
      </c>
      <c r="E3220" s="457">
        <v>500</v>
      </c>
      <c r="F3220" s="407">
        <f t="shared" si="44"/>
        <v>0.92006815864919278</v>
      </c>
      <c r="G3220" s="408">
        <v>543.43799999999999</v>
      </c>
      <c r="H3220" s="243" t="s">
        <v>321</v>
      </c>
      <c r="I3220" s="243" t="s">
        <v>3533</v>
      </c>
      <c r="J3220" s="243" t="s">
        <v>96</v>
      </c>
      <c r="K3220" s="243" t="s">
        <v>1906</v>
      </c>
      <c r="L3220" s="243" t="s">
        <v>153</v>
      </c>
    </row>
    <row r="3221" spans="1:12" ht="15.6" hidden="1">
      <c r="A3221" s="438">
        <v>45947</v>
      </c>
      <c r="B3221" s="243" t="s">
        <v>4907</v>
      </c>
      <c r="C3221" s="243" t="s">
        <v>172</v>
      </c>
      <c r="D3221" s="243" t="s">
        <v>119</v>
      </c>
      <c r="E3221" s="457">
        <v>500</v>
      </c>
      <c r="F3221" s="407">
        <f t="shared" si="44"/>
        <v>0.92006815864919278</v>
      </c>
      <c r="G3221" s="408">
        <v>543.43799999999999</v>
      </c>
      <c r="H3221" s="243" t="s">
        <v>321</v>
      </c>
      <c r="I3221" s="243" t="s">
        <v>3533</v>
      </c>
      <c r="J3221" s="243" t="s">
        <v>96</v>
      </c>
      <c r="K3221" s="243" t="s">
        <v>1906</v>
      </c>
      <c r="L3221" s="243" t="s">
        <v>153</v>
      </c>
    </row>
    <row r="3222" spans="1:12" ht="15.6" hidden="1">
      <c r="A3222" s="438">
        <v>45947</v>
      </c>
      <c r="B3222" s="243" t="s">
        <v>4907</v>
      </c>
      <c r="C3222" s="243" t="s">
        <v>172</v>
      </c>
      <c r="D3222" s="243" t="s">
        <v>119</v>
      </c>
      <c r="E3222" s="457">
        <v>500</v>
      </c>
      <c r="F3222" s="407">
        <f t="shared" si="44"/>
        <v>0.92006815864919278</v>
      </c>
      <c r="G3222" s="408">
        <v>543.43799999999999</v>
      </c>
      <c r="H3222" s="243" t="s">
        <v>321</v>
      </c>
      <c r="I3222" s="243" t="s">
        <v>3533</v>
      </c>
      <c r="J3222" s="243" t="s">
        <v>96</v>
      </c>
      <c r="K3222" s="243" t="s">
        <v>1906</v>
      </c>
      <c r="L3222" s="243" t="s">
        <v>153</v>
      </c>
    </row>
    <row r="3223" spans="1:12" ht="15.6" hidden="1">
      <c r="A3223" s="438">
        <v>45947</v>
      </c>
      <c r="B3223" s="243" t="s">
        <v>2932</v>
      </c>
      <c r="C3223" s="243" t="s">
        <v>366</v>
      </c>
      <c r="D3223" s="243" t="s">
        <v>119</v>
      </c>
      <c r="E3223" s="457">
        <v>2000</v>
      </c>
      <c r="F3223" s="407">
        <f t="shared" si="44"/>
        <v>3.6802726345967711</v>
      </c>
      <c r="G3223" s="408">
        <v>543.43799999999999</v>
      </c>
      <c r="H3223" s="243" t="s">
        <v>321</v>
      </c>
      <c r="I3223" s="243" t="s">
        <v>3536</v>
      </c>
      <c r="J3223" s="243" t="s">
        <v>96</v>
      </c>
      <c r="K3223" s="243" t="s">
        <v>1906</v>
      </c>
      <c r="L3223" s="243" t="s">
        <v>153</v>
      </c>
    </row>
    <row r="3224" spans="1:12" ht="15.6" hidden="1">
      <c r="A3224" s="438">
        <v>45947</v>
      </c>
      <c r="B3224" s="243" t="s">
        <v>4876</v>
      </c>
      <c r="C3224" s="243" t="s">
        <v>172</v>
      </c>
      <c r="D3224" s="243" t="s">
        <v>119</v>
      </c>
      <c r="E3224" s="457">
        <v>500</v>
      </c>
      <c r="F3224" s="407">
        <f t="shared" si="44"/>
        <v>0.92006815864919278</v>
      </c>
      <c r="G3224" s="408">
        <v>543.43799999999999</v>
      </c>
      <c r="H3224" s="243" t="s">
        <v>321</v>
      </c>
      <c r="I3224" s="243" t="s">
        <v>3533</v>
      </c>
      <c r="J3224" s="243" t="s">
        <v>96</v>
      </c>
      <c r="K3224" s="243" t="s">
        <v>1906</v>
      </c>
      <c r="L3224" s="243" t="s">
        <v>153</v>
      </c>
    </row>
    <row r="3225" spans="1:12" ht="15.6" hidden="1">
      <c r="A3225" s="438">
        <v>45947</v>
      </c>
      <c r="B3225" s="243" t="s">
        <v>3624</v>
      </c>
      <c r="C3225" s="243" t="s">
        <v>172</v>
      </c>
      <c r="D3225" s="243" t="s">
        <v>115</v>
      </c>
      <c r="E3225" s="463">
        <v>1500</v>
      </c>
      <c r="F3225" s="407">
        <f t="shared" si="44"/>
        <v>2.7602044759475781</v>
      </c>
      <c r="G3225" s="408">
        <v>543.43799999999999</v>
      </c>
      <c r="H3225" s="243" t="s">
        <v>191</v>
      </c>
      <c r="I3225" s="243" t="s">
        <v>3665</v>
      </c>
      <c r="J3225" s="243" t="s">
        <v>96</v>
      </c>
      <c r="K3225" s="243" t="s">
        <v>1906</v>
      </c>
      <c r="L3225" s="243" t="s">
        <v>153</v>
      </c>
    </row>
    <row r="3226" spans="1:12" ht="15.6" hidden="1">
      <c r="A3226" s="438">
        <v>45947</v>
      </c>
      <c r="B3226" s="243" t="s">
        <v>3625</v>
      </c>
      <c r="C3226" s="243" t="s">
        <v>172</v>
      </c>
      <c r="D3226" s="243" t="s">
        <v>115</v>
      </c>
      <c r="E3226" s="463">
        <v>1500</v>
      </c>
      <c r="F3226" s="407">
        <f t="shared" si="44"/>
        <v>2.7602044759475781</v>
      </c>
      <c r="G3226" s="408">
        <v>543.43799999999999</v>
      </c>
      <c r="H3226" s="243" t="s">
        <v>191</v>
      </c>
      <c r="I3226" s="243" t="s">
        <v>3665</v>
      </c>
      <c r="J3226" s="243" t="s">
        <v>96</v>
      </c>
      <c r="K3226" s="243" t="s">
        <v>1906</v>
      </c>
      <c r="L3226" s="243" t="s">
        <v>153</v>
      </c>
    </row>
    <row r="3227" spans="1:12" ht="15.6" hidden="1">
      <c r="A3227" s="438">
        <v>45947</v>
      </c>
      <c r="B3227" s="243" t="s">
        <v>3736</v>
      </c>
      <c r="C3227" s="239" t="s">
        <v>194</v>
      </c>
      <c r="D3227" s="239" t="s">
        <v>115</v>
      </c>
      <c r="E3227" s="457">
        <v>1000</v>
      </c>
      <c r="F3227" s="407">
        <f t="shared" si="44"/>
        <v>1.8401363172983856</v>
      </c>
      <c r="G3227" s="408">
        <v>543.43799999999999</v>
      </c>
      <c r="H3227" s="239" t="s">
        <v>195</v>
      </c>
      <c r="I3227" s="243" t="s">
        <v>3747</v>
      </c>
      <c r="J3227" s="243" t="s">
        <v>96</v>
      </c>
      <c r="K3227" s="243" t="s">
        <v>1906</v>
      </c>
      <c r="L3227" s="243" t="s">
        <v>153</v>
      </c>
    </row>
    <row r="3228" spans="1:12" ht="15.6" hidden="1">
      <c r="A3228" s="438">
        <v>45947</v>
      </c>
      <c r="B3228" s="243" t="s">
        <v>3733</v>
      </c>
      <c r="C3228" s="239" t="s">
        <v>194</v>
      </c>
      <c r="D3228" s="239" t="s">
        <v>115</v>
      </c>
      <c r="E3228" s="457">
        <v>1000</v>
      </c>
      <c r="F3228" s="407">
        <f t="shared" si="44"/>
        <v>1.8401363172983856</v>
      </c>
      <c r="G3228" s="408">
        <v>543.43799999999999</v>
      </c>
      <c r="H3228" s="239" t="s">
        <v>195</v>
      </c>
      <c r="I3228" s="243" t="s">
        <v>3747</v>
      </c>
      <c r="J3228" s="243" t="s">
        <v>96</v>
      </c>
      <c r="K3228" s="243" t="s">
        <v>1906</v>
      </c>
      <c r="L3228" s="243" t="s">
        <v>153</v>
      </c>
    </row>
    <row r="3229" spans="1:12" ht="15.6" hidden="1">
      <c r="A3229" s="438">
        <v>45948</v>
      </c>
      <c r="B3229" s="329" t="s">
        <v>3290</v>
      </c>
      <c r="C3229" s="329" t="s">
        <v>172</v>
      </c>
      <c r="D3229" s="329" t="s">
        <v>115</v>
      </c>
      <c r="E3229" s="451">
        <v>9000</v>
      </c>
      <c r="F3229" s="407">
        <f t="shared" si="44"/>
        <v>16.561226855685469</v>
      </c>
      <c r="G3229" s="408">
        <v>543.43799999999999</v>
      </c>
      <c r="H3229" s="329" t="s">
        <v>198</v>
      </c>
      <c r="I3229" s="329" t="s">
        <v>3359</v>
      </c>
      <c r="J3229" s="243" t="s">
        <v>96</v>
      </c>
      <c r="K3229" s="243" t="s">
        <v>1906</v>
      </c>
      <c r="L3229" s="243" t="s">
        <v>153</v>
      </c>
    </row>
    <row r="3230" spans="1:12" ht="15.6" hidden="1">
      <c r="A3230" s="438">
        <v>45948</v>
      </c>
      <c r="B3230" s="329" t="s">
        <v>3291</v>
      </c>
      <c r="C3230" s="329" t="s">
        <v>2394</v>
      </c>
      <c r="D3230" s="329" t="s">
        <v>115</v>
      </c>
      <c r="E3230" s="451">
        <v>210000</v>
      </c>
      <c r="F3230" s="407">
        <f t="shared" si="44"/>
        <v>386.42862663266095</v>
      </c>
      <c r="G3230" s="408">
        <v>543.43799999999999</v>
      </c>
      <c r="H3230" s="329" t="s">
        <v>198</v>
      </c>
      <c r="I3230" s="329" t="s">
        <v>3360</v>
      </c>
      <c r="J3230" s="243" t="s">
        <v>96</v>
      </c>
      <c r="K3230" s="243" t="s">
        <v>1906</v>
      </c>
      <c r="L3230" s="243" t="s">
        <v>153</v>
      </c>
    </row>
    <row r="3231" spans="1:12" ht="15.6" hidden="1">
      <c r="A3231" s="438">
        <v>45948</v>
      </c>
      <c r="B3231" s="329" t="s">
        <v>3331</v>
      </c>
      <c r="C3231" s="329" t="s">
        <v>172</v>
      </c>
      <c r="D3231" s="329" t="s">
        <v>115</v>
      </c>
      <c r="E3231" s="451">
        <v>1000</v>
      </c>
      <c r="F3231" s="407">
        <f t="shared" si="44"/>
        <v>1.8401363172983856</v>
      </c>
      <c r="G3231" s="408">
        <v>543.43799999999999</v>
      </c>
      <c r="H3231" s="329" t="s">
        <v>198</v>
      </c>
      <c r="I3231" s="329" t="s">
        <v>3349</v>
      </c>
      <c r="J3231" s="243" t="s">
        <v>96</v>
      </c>
      <c r="K3231" s="243" t="s">
        <v>1906</v>
      </c>
      <c r="L3231" s="243" t="s">
        <v>153</v>
      </c>
    </row>
    <row r="3232" spans="1:12" ht="15.6" hidden="1">
      <c r="A3232" s="438">
        <v>45948</v>
      </c>
      <c r="B3232" s="329" t="s">
        <v>3332</v>
      </c>
      <c r="C3232" s="329" t="s">
        <v>172</v>
      </c>
      <c r="D3232" s="329" t="s">
        <v>115</v>
      </c>
      <c r="E3232" s="451">
        <v>2000</v>
      </c>
      <c r="F3232" s="407">
        <f t="shared" si="44"/>
        <v>3.6802726345967711</v>
      </c>
      <c r="G3232" s="408">
        <v>543.43799999999999</v>
      </c>
      <c r="H3232" s="329" t="s">
        <v>198</v>
      </c>
      <c r="I3232" s="329" t="s">
        <v>3349</v>
      </c>
      <c r="J3232" s="243" t="s">
        <v>96</v>
      </c>
      <c r="K3232" s="243" t="s">
        <v>1906</v>
      </c>
      <c r="L3232" s="243" t="s">
        <v>153</v>
      </c>
    </row>
    <row r="3233" spans="1:12" ht="15.6" hidden="1">
      <c r="A3233" s="438">
        <v>45948</v>
      </c>
      <c r="B3233" s="331" t="s">
        <v>2932</v>
      </c>
      <c r="C3233" s="331" t="s">
        <v>366</v>
      </c>
      <c r="D3233" s="331" t="s">
        <v>119</v>
      </c>
      <c r="E3233" s="459">
        <v>2000</v>
      </c>
      <c r="F3233" s="407">
        <f t="shared" si="44"/>
        <v>3.6802726345967711</v>
      </c>
      <c r="G3233" s="408">
        <v>543.43799999999999</v>
      </c>
      <c r="H3233" s="331" t="s">
        <v>182</v>
      </c>
      <c r="I3233" s="331" t="s">
        <v>3456</v>
      </c>
      <c r="J3233" s="243" t="s">
        <v>96</v>
      </c>
      <c r="K3233" s="243" t="s">
        <v>1906</v>
      </c>
      <c r="L3233" s="243" t="s">
        <v>153</v>
      </c>
    </row>
    <row r="3234" spans="1:12" ht="15.6" hidden="1">
      <c r="A3234" s="438">
        <v>45948</v>
      </c>
      <c r="B3234" s="331" t="s">
        <v>4773</v>
      </c>
      <c r="C3234" s="331" t="s">
        <v>172</v>
      </c>
      <c r="D3234" s="331" t="s">
        <v>119</v>
      </c>
      <c r="E3234" s="459">
        <v>5000</v>
      </c>
      <c r="F3234" s="407">
        <f t="shared" si="44"/>
        <v>9.2006815864919282</v>
      </c>
      <c r="G3234" s="408">
        <v>543.43799999999999</v>
      </c>
      <c r="H3234" s="331" t="s">
        <v>182</v>
      </c>
      <c r="I3234" s="331" t="s">
        <v>3460</v>
      </c>
      <c r="J3234" s="243" t="s">
        <v>96</v>
      </c>
      <c r="K3234" s="243" t="s">
        <v>1906</v>
      </c>
      <c r="L3234" s="243" t="s">
        <v>153</v>
      </c>
    </row>
    <row r="3235" spans="1:12" ht="15.6" hidden="1">
      <c r="A3235" s="438">
        <v>45948</v>
      </c>
      <c r="B3235" s="331" t="s">
        <v>4894</v>
      </c>
      <c r="C3235" s="331" t="s">
        <v>172</v>
      </c>
      <c r="D3235" s="331" t="s">
        <v>119</v>
      </c>
      <c r="E3235" s="459">
        <v>700</v>
      </c>
      <c r="F3235" s="407">
        <f t="shared" si="44"/>
        <v>1.2880954221088698</v>
      </c>
      <c r="G3235" s="408">
        <v>543.43799999999999</v>
      </c>
      <c r="H3235" s="331" t="s">
        <v>182</v>
      </c>
      <c r="I3235" s="331" t="s">
        <v>3447</v>
      </c>
      <c r="J3235" s="243" t="s">
        <v>96</v>
      </c>
      <c r="K3235" s="243" t="s">
        <v>1906</v>
      </c>
      <c r="L3235" s="243" t="s">
        <v>153</v>
      </c>
    </row>
    <row r="3236" spans="1:12" ht="15.6" hidden="1">
      <c r="A3236" s="438">
        <v>45948</v>
      </c>
      <c r="B3236" s="331" t="s">
        <v>4894</v>
      </c>
      <c r="C3236" s="331" t="s">
        <v>172</v>
      </c>
      <c r="D3236" s="331" t="s">
        <v>119</v>
      </c>
      <c r="E3236" s="459">
        <v>700</v>
      </c>
      <c r="F3236" s="407">
        <f t="shared" si="44"/>
        <v>1.2880954221088698</v>
      </c>
      <c r="G3236" s="408">
        <v>543.43799999999999</v>
      </c>
      <c r="H3236" s="331" t="s">
        <v>182</v>
      </c>
      <c r="I3236" s="331" t="s">
        <v>3447</v>
      </c>
      <c r="J3236" s="243" t="s">
        <v>96</v>
      </c>
      <c r="K3236" s="243" t="s">
        <v>1906</v>
      </c>
      <c r="L3236" s="243" t="s">
        <v>153</v>
      </c>
    </row>
    <row r="3237" spans="1:12" ht="15.6" hidden="1">
      <c r="A3237" s="438">
        <v>45948</v>
      </c>
      <c r="B3237" s="331" t="s">
        <v>4759</v>
      </c>
      <c r="C3237" s="331" t="s">
        <v>175</v>
      </c>
      <c r="D3237" s="331" t="s">
        <v>119</v>
      </c>
      <c r="E3237" s="459">
        <v>30000</v>
      </c>
      <c r="F3237" s="407">
        <f t="shared" si="44"/>
        <v>55.204089518951562</v>
      </c>
      <c r="G3237" s="408">
        <v>543.43799999999999</v>
      </c>
      <c r="H3237" s="331" t="s">
        <v>182</v>
      </c>
      <c r="I3237" s="331" t="s">
        <v>3461</v>
      </c>
      <c r="J3237" s="243" t="s">
        <v>96</v>
      </c>
      <c r="K3237" s="243" t="s">
        <v>1906</v>
      </c>
      <c r="L3237" s="243" t="s">
        <v>153</v>
      </c>
    </row>
    <row r="3238" spans="1:12" ht="15.6" hidden="1">
      <c r="A3238" s="438">
        <v>45948</v>
      </c>
      <c r="B3238" s="423" t="s">
        <v>4917</v>
      </c>
      <c r="C3238" s="423" t="s">
        <v>172</v>
      </c>
      <c r="D3238" s="423" t="s">
        <v>119</v>
      </c>
      <c r="E3238" s="471">
        <v>1000</v>
      </c>
      <c r="F3238" s="407">
        <f t="shared" si="44"/>
        <v>1.8401363172983856</v>
      </c>
      <c r="G3238" s="408">
        <v>543.43799999999999</v>
      </c>
      <c r="H3238" s="423" t="s">
        <v>173</v>
      </c>
      <c r="I3238" s="423" t="s">
        <v>3484</v>
      </c>
      <c r="J3238" s="243" t="s">
        <v>96</v>
      </c>
      <c r="K3238" s="243" t="s">
        <v>1906</v>
      </c>
      <c r="L3238" s="243" t="s">
        <v>153</v>
      </c>
    </row>
    <row r="3239" spans="1:12" ht="15.6" hidden="1">
      <c r="A3239" s="438">
        <v>45948</v>
      </c>
      <c r="B3239" s="423" t="s">
        <v>4876</v>
      </c>
      <c r="C3239" s="423" t="s">
        <v>172</v>
      </c>
      <c r="D3239" s="423" t="s">
        <v>119</v>
      </c>
      <c r="E3239" s="471">
        <v>1000</v>
      </c>
      <c r="F3239" s="407">
        <f t="shared" si="44"/>
        <v>1.8401363172983856</v>
      </c>
      <c r="G3239" s="408">
        <v>543.43799999999999</v>
      </c>
      <c r="H3239" s="423" t="s">
        <v>173</v>
      </c>
      <c r="I3239" s="423" t="s">
        <v>3484</v>
      </c>
      <c r="J3239" s="243" t="s">
        <v>96</v>
      </c>
      <c r="K3239" s="243" t="s">
        <v>1906</v>
      </c>
      <c r="L3239" s="243" t="s">
        <v>153</v>
      </c>
    </row>
    <row r="3240" spans="1:12" ht="15.6" hidden="1">
      <c r="A3240" s="438">
        <v>45948</v>
      </c>
      <c r="B3240" s="423" t="s">
        <v>4876</v>
      </c>
      <c r="C3240" s="423" t="s">
        <v>172</v>
      </c>
      <c r="D3240" s="423" t="s">
        <v>119</v>
      </c>
      <c r="E3240" s="471">
        <v>1000</v>
      </c>
      <c r="F3240" s="407">
        <f t="shared" si="44"/>
        <v>1.8401363172983856</v>
      </c>
      <c r="G3240" s="408">
        <v>543.43799999999999</v>
      </c>
      <c r="H3240" s="423" t="s">
        <v>173</v>
      </c>
      <c r="I3240" s="423" t="s">
        <v>3484</v>
      </c>
      <c r="J3240" s="243" t="s">
        <v>96</v>
      </c>
      <c r="K3240" s="243" t="s">
        <v>1906</v>
      </c>
      <c r="L3240" s="243" t="s">
        <v>153</v>
      </c>
    </row>
    <row r="3241" spans="1:12" ht="15.6" hidden="1">
      <c r="A3241" s="438">
        <v>45948</v>
      </c>
      <c r="B3241" s="423" t="s">
        <v>4876</v>
      </c>
      <c r="C3241" s="423" t="s">
        <v>172</v>
      </c>
      <c r="D3241" s="423" t="s">
        <v>119</v>
      </c>
      <c r="E3241" s="471">
        <v>1000</v>
      </c>
      <c r="F3241" s="407">
        <f t="shared" si="44"/>
        <v>1.8401363172983856</v>
      </c>
      <c r="G3241" s="408">
        <v>543.43799999999999</v>
      </c>
      <c r="H3241" s="423" t="s">
        <v>173</v>
      </c>
      <c r="I3241" s="423" t="s">
        <v>3484</v>
      </c>
      <c r="J3241" s="243" t="s">
        <v>96</v>
      </c>
      <c r="K3241" s="243" t="s">
        <v>1906</v>
      </c>
      <c r="L3241" s="243" t="s">
        <v>153</v>
      </c>
    </row>
    <row r="3242" spans="1:12" ht="15.6" hidden="1">
      <c r="A3242" s="438">
        <v>45948</v>
      </c>
      <c r="B3242" s="423" t="s">
        <v>4765</v>
      </c>
      <c r="C3242" s="423" t="s">
        <v>366</v>
      </c>
      <c r="D3242" s="423" t="s">
        <v>119</v>
      </c>
      <c r="E3242" s="471">
        <v>2000</v>
      </c>
      <c r="F3242" s="407">
        <f t="shared" si="44"/>
        <v>3.6802726345967711</v>
      </c>
      <c r="G3242" s="408">
        <v>543.43799999999999</v>
      </c>
      <c r="H3242" s="423" t="s">
        <v>173</v>
      </c>
      <c r="I3242" s="423" t="s">
        <v>3485</v>
      </c>
      <c r="J3242" s="243" t="s">
        <v>96</v>
      </c>
      <c r="K3242" s="243" t="s">
        <v>1906</v>
      </c>
      <c r="L3242" s="243" t="s">
        <v>153</v>
      </c>
    </row>
    <row r="3243" spans="1:12" ht="15.6" hidden="1">
      <c r="A3243" s="438">
        <v>45948</v>
      </c>
      <c r="B3243" s="243" t="s">
        <v>4754</v>
      </c>
      <c r="C3243" s="423" t="s">
        <v>2394</v>
      </c>
      <c r="D3243" s="423" t="s">
        <v>119</v>
      </c>
      <c r="E3243" s="471">
        <v>30000</v>
      </c>
      <c r="F3243" s="407">
        <f t="shared" si="44"/>
        <v>55.204089518951562</v>
      </c>
      <c r="G3243" s="408">
        <v>543.43799999999999</v>
      </c>
      <c r="H3243" s="423" t="s">
        <v>173</v>
      </c>
      <c r="I3243" s="423" t="s">
        <v>3493</v>
      </c>
      <c r="J3243" s="243" t="s">
        <v>96</v>
      </c>
      <c r="K3243" s="243" t="s">
        <v>1906</v>
      </c>
      <c r="L3243" s="243" t="s">
        <v>153</v>
      </c>
    </row>
    <row r="3244" spans="1:12" ht="15.6" hidden="1">
      <c r="A3244" s="438">
        <v>45948</v>
      </c>
      <c r="B3244" s="243" t="s">
        <v>4762</v>
      </c>
      <c r="C3244" s="243" t="s">
        <v>175</v>
      </c>
      <c r="D3244" s="243" t="s">
        <v>119</v>
      </c>
      <c r="E3244" s="462">
        <v>30000</v>
      </c>
      <c r="F3244" s="407">
        <f t="shared" si="44"/>
        <v>55.204089518951562</v>
      </c>
      <c r="G3244" s="408">
        <v>543.43799999999999</v>
      </c>
      <c r="H3244" s="243" t="s">
        <v>315</v>
      </c>
      <c r="I3244" s="243" t="s">
        <v>3515</v>
      </c>
      <c r="J3244" s="243" t="s">
        <v>96</v>
      </c>
      <c r="K3244" s="243" t="s">
        <v>1906</v>
      </c>
      <c r="L3244" s="243" t="s">
        <v>153</v>
      </c>
    </row>
    <row r="3245" spans="1:12" ht="15.6" hidden="1">
      <c r="A3245" s="438">
        <v>45948</v>
      </c>
      <c r="B3245" s="243" t="s">
        <v>4940</v>
      </c>
      <c r="C3245" s="243" t="s">
        <v>172</v>
      </c>
      <c r="D3245" s="243" t="s">
        <v>119</v>
      </c>
      <c r="E3245" s="460">
        <v>700</v>
      </c>
      <c r="F3245" s="407">
        <f t="shared" si="44"/>
        <v>1.2880954221088698</v>
      </c>
      <c r="G3245" s="408">
        <v>543.43799999999999</v>
      </c>
      <c r="H3245" s="243" t="s">
        <v>315</v>
      </c>
      <c r="I3245" s="243" t="s">
        <v>3510</v>
      </c>
      <c r="J3245" s="243" t="s">
        <v>96</v>
      </c>
      <c r="K3245" s="243" t="s">
        <v>1906</v>
      </c>
      <c r="L3245" s="243" t="s">
        <v>153</v>
      </c>
    </row>
    <row r="3246" spans="1:12" ht="15.6" hidden="1">
      <c r="A3246" s="438">
        <v>45948</v>
      </c>
      <c r="B3246" s="243" t="s">
        <v>4749</v>
      </c>
      <c r="C3246" s="243" t="s">
        <v>172</v>
      </c>
      <c r="D3246" s="243" t="s">
        <v>119</v>
      </c>
      <c r="E3246" s="462">
        <v>5000</v>
      </c>
      <c r="F3246" s="407">
        <f t="shared" si="44"/>
        <v>9.2006815864919282</v>
      </c>
      <c r="G3246" s="408">
        <v>543.43799999999999</v>
      </c>
      <c r="H3246" s="243" t="s">
        <v>315</v>
      </c>
      <c r="I3246" s="243" t="s">
        <v>3516</v>
      </c>
      <c r="J3246" s="243" t="s">
        <v>96</v>
      </c>
      <c r="K3246" s="243" t="s">
        <v>1906</v>
      </c>
      <c r="L3246" s="243" t="s">
        <v>153</v>
      </c>
    </row>
    <row r="3247" spans="1:12" ht="15.6" hidden="1">
      <c r="A3247" s="438">
        <v>45948</v>
      </c>
      <c r="B3247" s="243" t="s">
        <v>4940</v>
      </c>
      <c r="C3247" s="243" t="s">
        <v>172</v>
      </c>
      <c r="D3247" s="243" t="s">
        <v>119</v>
      </c>
      <c r="E3247" s="460">
        <v>700</v>
      </c>
      <c r="F3247" s="407">
        <f t="shared" si="44"/>
        <v>1.2880954221088698</v>
      </c>
      <c r="G3247" s="408">
        <v>543.43799999999999</v>
      </c>
      <c r="H3247" s="243" t="s">
        <v>315</v>
      </c>
      <c r="I3247" s="243" t="s">
        <v>3510</v>
      </c>
      <c r="J3247" s="243" t="s">
        <v>96</v>
      </c>
      <c r="K3247" s="243" t="s">
        <v>1906</v>
      </c>
      <c r="L3247" s="243" t="s">
        <v>153</v>
      </c>
    </row>
    <row r="3248" spans="1:12" ht="15.6" hidden="1">
      <c r="A3248" s="438">
        <v>45948</v>
      </c>
      <c r="B3248" s="243" t="s">
        <v>4938</v>
      </c>
      <c r="C3248" s="243" t="s">
        <v>172</v>
      </c>
      <c r="D3248" s="243" t="s">
        <v>119</v>
      </c>
      <c r="E3248" s="460">
        <v>700</v>
      </c>
      <c r="F3248" s="407">
        <f t="shared" si="44"/>
        <v>1.2880954221088698</v>
      </c>
      <c r="G3248" s="408">
        <v>543.43799999999999</v>
      </c>
      <c r="H3248" s="243" t="s">
        <v>315</v>
      </c>
      <c r="I3248" s="243" t="s">
        <v>3510</v>
      </c>
      <c r="J3248" s="243" t="s">
        <v>96</v>
      </c>
      <c r="K3248" s="243" t="s">
        <v>1906</v>
      </c>
      <c r="L3248" s="243" t="s">
        <v>153</v>
      </c>
    </row>
    <row r="3249" spans="1:12" ht="15.6" hidden="1">
      <c r="A3249" s="438">
        <v>45948</v>
      </c>
      <c r="B3249" s="243" t="s">
        <v>4867</v>
      </c>
      <c r="C3249" s="243" t="s">
        <v>363</v>
      </c>
      <c r="D3249" s="243" t="s">
        <v>119</v>
      </c>
      <c r="E3249" s="460">
        <v>1500</v>
      </c>
      <c r="F3249" s="407">
        <f t="shared" si="44"/>
        <v>2.7602044759475781</v>
      </c>
      <c r="G3249" s="408">
        <v>543.43799999999999</v>
      </c>
      <c r="H3249" s="243" t="s">
        <v>315</v>
      </c>
      <c r="I3249" s="243" t="s">
        <v>3514</v>
      </c>
      <c r="J3249" s="243" t="s">
        <v>96</v>
      </c>
      <c r="K3249" s="243" t="s">
        <v>1906</v>
      </c>
      <c r="L3249" s="243" t="s">
        <v>153</v>
      </c>
    </row>
    <row r="3250" spans="1:12" ht="15.6" hidden="1">
      <c r="A3250" s="438">
        <v>45948</v>
      </c>
      <c r="B3250" s="243" t="s">
        <v>4940</v>
      </c>
      <c r="C3250" s="243" t="s">
        <v>172</v>
      </c>
      <c r="D3250" s="243" t="s">
        <v>119</v>
      </c>
      <c r="E3250" s="460">
        <v>700</v>
      </c>
      <c r="F3250" s="407">
        <f t="shared" si="44"/>
        <v>1.2880954221088698</v>
      </c>
      <c r="G3250" s="408">
        <v>543.43799999999999</v>
      </c>
      <c r="H3250" s="243" t="s">
        <v>315</v>
      </c>
      <c r="I3250" s="243" t="s">
        <v>3510</v>
      </c>
      <c r="J3250" s="243" t="s">
        <v>96</v>
      </c>
      <c r="K3250" s="243" t="s">
        <v>1906</v>
      </c>
      <c r="L3250" s="243" t="s">
        <v>153</v>
      </c>
    </row>
    <row r="3251" spans="1:12" ht="15.6" hidden="1">
      <c r="A3251" s="438">
        <v>45948</v>
      </c>
      <c r="B3251" s="243" t="s">
        <v>4801</v>
      </c>
      <c r="C3251" s="243" t="s">
        <v>2394</v>
      </c>
      <c r="D3251" s="243" t="s">
        <v>119</v>
      </c>
      <c r="E3251" s="457">
        <v>30000</v>
      </c>
      <c r="F3251" s="407">
        <f t="shared" si="44"/>
        <v>55.204089518951562</v>
      </c>
      <c r="G3251" s="408">
        <v>543.43799999999999</v>
      </c>
      <c r="H3251" s="243" t="s">
        <v>321</v>
      </c>
      <c r="I3251" s="243" t="s">
        <v>3537</v>
      </c>
      <c r="J3251" s="243" t="s">
        <v>96</v>
      </c>
      <c r="K3251" s="243" t="s">
        <v>1906</v>
      </c>
      <c r="L3251" s="243" t="s">
        <v>153</v>
      </c>
    </row>
    <row r="3252" spans="1:12" ht="15.6" hidden="1">
      <c r="A3252" s="438">
        <v>45948</v>
      </c>
      <c r="B3252" s="243" t="s">
        <v>4876</v>
      </c>
      <c r="C3252" s="243" t="s">
        <v>172</v>
      </c>
      <c r="D3252" s="243" t="s">
        <v>119</v>
      </c>
      <c r="E3252" s="457">
        <v>500</v>
      </c>
      <c r="F3252" s="407">
        <f t="shared" si="44"/>
        <v>0.92006815864919278</v>
      </c>
      <c r="G3252" s="408">
        <v>543.43799999999999</v>
      </c>
      <c r="H3252" s="243" t="s">
        <v>321</v>
      </c>
      <c r="I3252" s="243" t="s">
        <v>3533</v>
      </c>
      <c r="J3252" s="243" t="s">
        <v>96</v>
      </c>
      <c r="K3252" s="243" t="s">
        <v>1906</v>
      </c>
      <c r="L3252" s="243" t="s">
        <v>153</v>
      </c>
    </row>
    <row r="3253" spans="1:12" ht="15.6" hidden="1">
      <c r="A3253" s="438">
        <v>45948</v>
      </c>
      <c r="B3253" s="243" t="s">
        <v>4796</v>
      </c>
      <c r="C3253" s="243" t="s">
        <v>172</v>
      </c>
      <c r="D3253" s="243" t="s">
        <v>119</v>
      </c>
      <c r="E3253" s="457">
        <v>5000</v>
      </c>
      <c r="F3253" s="407">
        <f t="shared" si="44"/>
        <v>9.2006815864919282</v>
      </c>
      <c r="G3253" s="408">
        <v>543.43799999999999</v>
      </c>
      <c r="H3253" s="243" t="s">
        <v>321</v>
      </c>
      <c r="I3253" s="243" t="s">
        <v>3538</v>
      </c>
      <c r="J3253" s="243" t="s">
        <v>96</v>
      </c>
      <c r="K3253" s="243" t="s">
        <v>1906</v>
      </c>
      <c r="L3253" s="243" t="s">
        <v>153</v>
      </c>
    </row>
    <row r="3254" spans="1:12" ht="15.6" hidden="1">
      <c r="A3254" s="438">
        <v>45948</v>
      </c>
      <c r="B3254" s="243" t="s">
        <v>4792</v>
      </c>
      <c r="C3254" s="243" t="s">
        <v>172</v>
      </c>
      <c r="D3254" s="243" t="s">
        <v>119</v>
      </c>
      <c r="E3254" s="457">
        <v>10000</v>
      </c>
      <c r="F3254" s="407">
        <f t="shared" si="44"/>
        <v>18.401363172983856</v>
      </c>
      <c r="G3254" s="408">
        <v>543.43799999999999</v>
      </c>
      <c r="H3254" s="243" t="s">
        <v>321</v>
      </c>
      <c r="I3254" s="243" t="s">
        <v>3539</v>
      </c>
      <c r="J3254" s="243" t="s">
        <v>96</v>
      </c>
      <c r="K3254" s="243" t="s">
        <v>1906</v>
      </c>
      <c r="L3254" s="243" t="s">
        <v>153</v>
      </c>
    </row>
    <row r="3255" spans="1:12" ht="15.6" hidden="1">
      <c r="A3255" s="438">
        <v>45948</v>
      </c>
      <c r="B3255" s="243" t="s">
        <v>4945</v>
      </c>
      <c r="C3255" s="243" t="s">
        <v>172</v>
      </c>
      <c r="D3255" s="243" t="s">
        <v>119</v>
      </c>
      <c r="E3255" s="457">
        <v>500</v>
      </c>
      <c r="F3255" s="407">
        <f t="shared" si="44"/>
        <v>0.92006815864919278</v>
      </c>
      <c r="G3255" s="408">
        <v>543.43799999999999</v>
      </c>
      <c r="H3255" s="243" t="s">
        <v>321</v>
      </c>
      <c r="I3255" s="243" t="s">
        <v>3533</v>
      </c>
      <c r="J3255" s="243" t="s">
        <v>96</v>
      </c>
      <c r="K3255" s="243" t="s">
        <v>1906</v>
      </c>
      <c r="L3255" s="243" t="s">
        <v>153</v>
      </c>
    </row>
    <row r="3256" spans="1:12" ht="15.6" hidden="1">
      <c r="A3256" s="438">
        <v>45948</v>
      </c>
      <c r="B3256" s="243" t="s">
        <v>3737</v>
      </c>
      <c r="C3256" s="243" t="s">
        <v>175</v>
      </c>
      <c r="D3256" s="243" t="s">
        <v>115</v>
      </c>
      <c r="E3256" s="457">
        <v>60000</v>
      </c>
      <c r="F3256" s="407">
        <f t="shared" si="44"/>
        <v>110.40817903790312</v>
      </c>
      <c r="G3256" s="408">
        <v>543.43799999999999</v>
      </c>
      <c r="H3256" s="239" t="s">
        <v>195</v>
      </c>
      <c r="I3256" s="243" t="s">
        <v>3757</v>
      </c>
      <c r="J3256" s="243" t="s">
        <v>96</v>
      </c>
      <c r="K3256" s="243" t="s">
        <v>1906</v>
      </c>
      <c r="L3256" s="243" t="s">
        <v>153</v>
      </c>
    </row>
    <row r="3257" spans="1:12" ht="15.6" hidden="1">
      <c r="A3257" s="438">
        <v>45948</v>
      </c>
      <c r="B3257" s="243" t="s">
        <v>3738</v>
      </c>
      <c r="C3257" s="239" t="s">
        <v>194</v>
      </c>
      <c r="D3257" s="239" t="s">
        <v>115</v>
      </c>
      <c r="E3257" s="457">
        <v>1000</v>
      </c>
      <c r="F3257" s="407">
        <f t="shared" si="44"/>
        <v>1.8401363172983856</v>
      </c>
      <c r="G3257" s="408">
        <v>543.43799999999999</v>
      </c>
      <c r="H3257" s="239" t="s">
        <v>195</v>
      </c>
      <c r="I3257" s="243" t="s">
        <v>3747</v>
      </c>
      <c r="J3257" s="243" t="s">
        <v>96</v>
      </c>
      <c r="K3257" s="243" t="s">
        <v>1906</v>
      </c>
      <c r="L3257" s="243" t="s">
        <v>153</v>
      </c>
    </row>
    <row r="3258" spans="1:12" ht="15.6" hidden="1">
      <c r="A3258" s="438">
        <v>45948</v>
      </c>
      <c r="B3258" s="243" t="s">
        <v>3739</v>
      </c>
      <c r="C3258" s="239" t="s">
        <v>194</v>
      </c>
      <c r="D3258" s="239" t="s">
        <v>115</v>
      </c>
      <c r="E3258" s="457">
        <v>1000</v>
      </c>
      <c r="F3258" s="407">
        <f t="shared" si="44"/>
        <v>1.8401363172983856</v>
      </c>
      <c r="G3258" s="408">
        <v>543.43799999999999</v>
      </c>
      <c r="H3258" s="239" t="s">
        <v>195</v>
      </c>
      <c r="I3258" s="243" t="s">
        <v>3747</v>
      </c>
      <c r="J3258" s="243" t="s">
        <v>96</v>
      </c>
      <c r="K3258" s="243" t="s">
        <v>1906</v>
      </c>
      <c r="L3258" s="243" t="s">
        <v>153</v>
      </c>
    </row>
    <row r="3259" spans="1:12" ht="15.6" hidden="1">
      <c r="A3259" s="438">
        <v>45949</v>
      </c>
      <c r="B3259" s="423" t="s">
        <v>4876</v>
      </c>
      <c r="C3259" s="423" t="s">
        <v>172</v>
      </c>
      <c r="D3259" s="423" t="s">
        <v>119</v>
      </c>
      <c r="E3259" s="471">
        <v>1500</v>
      </c>
      <c r="F3259" s="407">
        <f t="shared" si="44"/>
        <v>2.7602044759475781</v>
      </c>
      <c r="G3259" s="408">
        <v>543.43799999999999</v>
      </c>
      <c r="H3259" s="423" t="s">
        <v>173</v>
      </c>
      <c r="I3259" s="423" t="s">
        <v>3484</v>
      </c>
      <c r="J3259" s="243" t="s">
        <v>96</v>
      </c>
      <c r="K3259" s="243" t="s">
        <v>1906</v>
      </c>
      <c r="L3259" s="243" t="s">
        <v>153</v>
      </c>
    </row>
    <row r="3260" spans="1:12" ht="15.6" hidden="1">
      <c r="A3260" s="438">
        <v>45949</v>
      </c>
      <c r="B3260" s="423" t="s">
        <v>4833</v>
      </c>
      <c r="C3260" s="423" t="s">
        <v>172</v>
      </c>
      <c r="D3260" s="423" t="s">
        <v>119</v>
      </c>
      <c r="E3260" s="471">
        <v>5000</v>
      </c>
      <c r="F3260" s="407">
        <f t="shared" si="44"/>
        <v>9.2006815864919282</v>
      </c>
      <c r="G3260" s="408">
        <v>543.43799999999999</v>
      </c>
      <c r="H3260" s="423" t="s">
        <v>173</v>
      </c>
      <c r="I3260" s="423" t="s">
        <v>3494</v>
      </c>
      <c r="J3260" s="243" t="s">
        <v>96</v>
      </c>
      <c r="K3260" s="243" t="s">
        <v>1906</v>
      </c>
      <c r="L3260" s="243" t="s">
        <v>153</v>
      </c>
    </row>
    <row r="3261" spans="1:12" ht="15.6" hidden="1">
      <c r="A3261" s="438">
        <v>45949</v>
      </c>
      <c r="B3261" s="423" t="s">
        <v>4888</v>
      </c>
      <c r="C3261" s="423" t="s">
        <v>172</v>
      </c>
      <c r="D3261" s="423" t="s">
        <v>119</v>
      </c>
      <c r="E3261" s="471">
        <v>500</v>
      </c>
      <c r="F3261" s="407">
        <f t="shared" si="44"/>
        <v>0.92006815864919278</v>
      </c>
      <c r="G3261" s="408">
        <v>543.43799999999999</v>
      </c>
      <c r="H3261" s="423" t="s">
        <v>173</v>
      </c>
      <c r="I3261" s="423" t="s">
        <v>3484</v>
      </c>
      <c r="J3261" s="243" t="s">
        <v>96</v>
      </c>
      <c r="K3261" s="243" t="s">
        <v>1906</v>
      </c>
      <c r="L3261" s="243" t="s">
        <v>153</v>
      </c>
    </row>
    <row r="3262" spans="1:12" ht="15.6" hidden="1">
      <c r="A3262" s="438">
        <v>45949</v>
      </c>
      <c r="B3262" s="423" t="s">
        <v>4888</v>
      </c>
      <c r="C3262" s="423" t="s">
        <v>172</v>
      </c>
      <c r="D3262" s="423" t="s">
        <v>119</v>
      </c>
      <c r="E3262" s="471">
        <v>500</v>
      </c>
      <c r="F3262" s="407">
        <f t="shared" si="44"/>
        <v>0.92006815864919278</v>
      </c>
      <c r="G3262" s="408">
        <v>543.43799999999999</v>
      </c>
      <c r="H3262" s="423" t="s">
        <v>173</v>
      </c>
      <c r="I3262" s="423" t="s">
        <v>3484</v>
      </c>
      <c r="J3262" s="243" t="s">
        <v>96</v>
      </c>
      <c r="K3262" s="243" t="s">
        <v>1906</v>
      </c>
      <c r="L3262" s="243" t="s">
        <v>153</v>
      </c>
    </row>
    <row r="3263" spans="1:12" ht="15.6" hidden="1">
      <c r="A3263" s="438">
        <v>45949</v>
      </c>
      <c r="B3263" s="423" t="s">
        <v>4896</v>
      </c>
      <c r="C3263" s="423" t="s">
        <v>172</v>
      </c>
      <c r="D3263" s="423" t="s">
        <v>119</v>
      </c>
      <c r="E3263" s="471">
        <v>500</v>
      </c>
      <c r="F3263" s="407">
        <f t="shared" si="44"/>
        <v>0.92006815864919278</v>
      </c>
      <c r="G3263" s="408">
        <v>543.43799999999999</v>
      </c>
      <c r="H3263" s="423" t="s">
        <v>173</v>
      </c>
      <c r="I3263" s="423" t="s">
        <v>3484</v>
      </c>
      <c r="J3263" s="243" t="s">
        <v>96</v>
      </c>
      <c r="K3263" s="243" t="s">
        <v>1906</v>
      </c>
      <c r="L3263" s="243" t="s">
        <v>153</v>
      </c>
    </row>
    <row r="3264" spans="1:12" ht="15.6" hidden="1">
      <c r="A3264" s="438">
        <v>45949</v>
      </c>
      <c r="B3264" s="423" t="s">
        <v>4888</v>
      </c>
      <c r="C3264" s="423" t="s">
        <v>172</v>
      </c>
      <c r="D3264" s="423" t="s">
        <v>119</v>
      </c>
      <c r="E3264" s="471">
        <v>500</v>
      </c>
      <c r="F3264" s="407">
        <f t="shared" si="44"/>
        <v>0.92006815864919278</v>
      </c>
      <c r="G3264" s="408">
        <v>543.43799999999999</v>
      </c>
      <c r="H3264" s="423" t="s">
        <v>173</v>
      </c>
      <c r="I3264" s="423" t="s">
        <v>3484</v>
      </c>
      <c r="J3264" s="243" t="s">
        <v>96</v>
      </c>
      <c r="K3264" s="243" t="s">
        <v>1906</v>
      </c>
      <c r="L3264" s="243" t="s">
        <v>153</v>
      </c>
    </row>
    <row r="3265" spans="1:12" ht="15.6" hidden="1">
      <c r="A3265" s="438">
        <v>45949</v>
      </c>
      <c r="B3265" s="423" t="s">
        <v>4896</v>
      </c>
      <c r="C3265" s="423" t="s">
        <v>172</v>
      </c>
      <c r="D3265" s="423" t="s">
        <v>119</v>
      </c>
      <c r="E3265" s="471">
        <v>500</v>
      </c>
      <c r="F3265" s="407">
        <f t="shared" si="44"/>
        <v>0.92006815864919278</v>
      </c>
      <c r="G3265" s="408">
        <v>543.43799999999999</v>
      </c>
      <c r="H3265" s="423" t="s">
        <v>173</v>
      </c>
      <c r="I3265" s="423" t="s">
        <v>3484</v>
      </c>
      <c r="J3265" s="243" t="s">
        <v>96</v>
      </c>
      <c r="K3265" s="243" t="s">
        <v>1906</v>
      </c>
      <c r="L3265" s="243" t="s">
        <v>153</v>
      </c>
    </row>
    <row r="3266" spans="1:12" ht="15.6" hidden="1">
      <c r="A3266" s="438">
        <v>45949</v>
      </c>
      <c r="B3266" s="423" t="s">
        <v>4966</v>
      </c>
      <c r="C3266" s="423" t="s">
        <v>366</v>
      </c>
      <c r="D3266" s="423" t="s">
        <v>119</v>
      </c>
      <c r="E3266" s="471">
        <v>2000</v>
      </c>
      <c r="F3266" s="407">
        <f t="shared" si="44"/>
        <v>3.6802726345967711</v>
      </c>
      <c r="G3266" s="408">
        <v>543.43799999999999</v>
      </c>
      <c r="H3266" s="423" t="s">
        <v>173</v>
      </c>
      <c r="I3266" s="423" t="s">
        <v>3485</v>
      </c>
      <c r="J3266" s="243" t="s">
        <v>96</v>
      </c>
      <c r="K3266" s="243" t="s">
        <v>1906</v>
      </c>
      <c r="L3266" s="243" t="s">
        <v>153</v>
      </c>
    </row>
    <row r="3267" spans="1:12" ht="15.6" hidden="1">
      <c r="A3267" s="438">
        <v>45949</v>
      </c>
      <c r="B3267" s="243" t="s">
        <v>4940</v>
      </c>
      <c r="C3267" s="243" t="s">
        <v>172</v>
      </c>
      <c r="D3267" s="243" t="s">
        <v>119</v>
      </c>
      <c r="E3267" s="460">
        <v>700</v>
      </c>
      <c r="F3267" s="407">
        <f t="shared" ref="F3267:F3330" si="45">E3267/G3267</f>
        <v>1.2880954221088698</v>
      </c>
      <c r="G3267" s="408">
        <v>543.43799999999999</v>
      </c>
      <c r="H3267" s="243" t="s">
        <v>315</v>
      </c>
      <c r="I3267" s="243" t="s">
        <v>3510</v>
      </c>
      <c r="J3267" s="243" t="s">
        <v>96</v>
      </c>
      <c r="K3267" s="243" t="s">
        <v>1906</v>
      </c>
      <c r="L3267" s="243" t="s">
        <v>153</v>
      </c>
    </row>
    <row r="3268" spans="1:12" ht="15.6" hidden="1">
      <c r="A3268" s="438">
        <v>45949</v>
      </c>
      <c r="B3268" s="243" t="s">
        <v>4938</v>
      </c>
      <c r="C3268" s="243" t="s">
        <v>172</v>
      </c>
      <c r="D3268" s="243" t="s">
        <v>119</v>
      </c>
      <c r="E3268" s="460">
        <v>700</v>
      </c>
      <c r="F3268" s="407">
        <f t="shared" si="45"/>
        <v>1.2880954221088698</v>
      </c>
      <c r="G3268" s="408">
        <v>543.43799999999999</v>
      </c>
      <c r="H3268" s="243" t="s">
        <v>315</v>
      </c>
      <c r="I3268" s="243" t="s">
        <v>3510</v>
      </c>
      <c r="J3268" s="243" t="s">
        <v>96</v>
      </c>
      <c r="K3268" s="243" t="s">
        <v>1906</v>
      </c>
      <c r="L3268" s="243" t="s">
        <v>153</v>
      </c>
    </row>
    <row r="3269" spans="1:12" ht="15.6" hidden="1">
      <c r="A3269" s="438">
        <v>45949</v>
      </c>
      <c r="B3269" s="243" t="s">
        <v>4938</v>
      </c>
      <c r="C3269" s="243" t="s">
        <v>172</v>
      </c>
      <c r="D3269" s="243" t="s">
        <v>119</v>
      </c>
      <c r="E3269" s="460">
        <v>700</v>
      </c>
      <c r="F3269" s="407">
        <f t="shared" si="45"/>
        <v>1.2880954221088698</v>
      </c>
      <c r="G3269" s="408">
        <v>543.43799999999999</v>
      </c>
      <c r="H3269" s="243" t="s">
        <v>315</v>
      </c>
      <c r="I3269" s="243" t="s">
        <v>3510</v>
      </c>
      <c r="J3269" s="243" t="s">
        <v>96</v>
      </c>
      <c r="K3269" s="243" t="s">
        <v>1906</v>
      </c>
      <c r="L3269" s="243" t="s">
        <v>153</v>
      </c>
    </row>
    <row r="3270" spans="1:12" ht="15.6" hidden="1">
      <c r="A3270" s="438">
        <v>45949</v>
      </c>
      <c r="B3270" s="243" t="s">
        <v>4940</v>
      </c>
      <c r="C3270" s="243" t="s">
        <v>172</v>
      </c>
      <c r="D3270" s="243" t="s">
        <v>119</v>
      </c>
      <c r="E3270" s="460">
        <v>700</v>
      </c>
      <c r="F3270" s="407">
        <f t="shared" si="45"/>
        <v>1.2880954221088698</v>
      </c>
      <c r="G3270" s="408">
        <v>543.43799999999999</v>
      </c>
      <c r="H3270" s="243" t="s">
        <v>315</v>
      </c>
      <c r="I3270" s="243" t="s">
        <v>3510</v>
      </c>
      <c r="J3270" s="243" t="s">
        <v>96</v>
      </c>
      <c r="K3270" s="243" t="s">
        <v>1906</v>
      </c>
      <c r="L3270" s="243" t="s">
        <v>153</v>
      </c>
    </row>
    <row r="3271" spans="1:12" ht="15.6" hidden="1">
      <c r="A3271" s="438">
        <v>45949</v>
      </c>
      <c r="B3271" s="243" t="s">
        <v>4888</v>
      </c>
      <c r="C3271" s="243" t="s">
        <v>172</v>
      </c>
      <c r="D3271" s="243" t="s">
        <v>119</v>
      </c>
      <c r="E3271" s="473">
        <v>500</v>
      </c>
      <c r="F3271" s="407">
        <f t="shared" si="45"/>
        <v>0.92006815864919278</v>
      </c>
      <c r="G3271" s="408">
        <v>543.43799999999999</v>
      </c>
      <c r="H3271" s="243" t="s">
        <v>321</v>
      </c>
      <c r="I3271" s="243" t="s">
        <v>3533</v>
      </c>
      <c r="J3271" s="243" t="s">
        <v>96</v>
      </c>
      <c r="K3271" s="243" t="s">
        <v>1906</v>
      </c>
      <c r="L3271" s="243" t="s">
        <v>153</v>
      </c>
    </row>
    <row r="3272" spans="1:12" ht="15.6" hidden="1">
      <c r="A3272" s="438">
        <v>45949</v>
      </c>
      <c r="B3272" s="243" t="s">
        <v>4967</v>
      </c>
      <c r="C3272" s="243" t="s">
        <v>172</v>
      </c>
      <c r="D3272" s="243" t="s">
        <v>119</v>
      </c>
      <c r="E3272" s="473">
        <v>500</v>
      </c>
      <c r="F3272" s="407">
        <f t="shared" si="45"/>
        <v>0.92006815864919278</v>
      </c>
      <c r="G3272" s="408">
        <v>543.43799999999999</v>
      </c>
      <c r="H3272" s="243" t="s">
        <v>321</v>
      </c>
      <c r="I3272" s="243" t="s">
        <v>3533</v>
      </c>
      <c r="J3272" s="243" t="s">
        <v>96</v>
      </c>
      <c r="K3272" s="243" t="s">
        <v>1906</v>
      </c>
      <c r="L3272" s="243" t="s">
        <v>153</v>
      </c>
    </row>
    <row r="3273" spans="1:12" ht="15.6" hidden="1">
      <c r="A3273" s="438">
        <v>45949</v>
      </c>
      <c r="B3273" s="243" t="s">
        <v>4968</v>
      </c>
      <c r="C3273" s="243" t="s">
        <v>172</v>
      </c>
      <c r="D3273" s="243" t="s">
        <v>119</v>
      </c>
      <c r="E3273" s="473">
        <v>500</v>
      </c>
      <c r="F3273" s="407">
        <f t="shared" si="45"/>
        <v>0.92006815864919278</v>
      </c>
      <c r="G3273" s="408">
        <v>543.43799999999999</v>
      </c>
      <c r="H3273" s="243" t="s">
        <v>321</v>
      </c>
      <c r="I3273" s="243" t="s">
        <v>3533</v>
      </c>
      <c r="J3273" s="243" t="s">
        <v>96</v>
      </c>
      <c r="K3273" s="243" t="s">
        <v>1906</v>
      </c>
      <c r="L3273" s="243" t="s">
        <v>153</v>
      </c>
    </row>
    <row r="3274" spans="1:12" ht="15.6" hidden="1">
      <c r="A3274" s="438">
        <v>45949</v>
      </c>
      <c r="B3274" s="243" t="s">
        <v>4867</v>
      </c>
      <c r="C3274" s="243" t="s">
        <v>366</v>
      </c>
      <c r="D3274" s="243" t="s">
        <v>119</v>
      </c>
      <c r="E3274" s="473">
        <v>1500</v>
      </c>
      <c r="F3274" s="407">
        <f t="shared" si="45"/>
        <v>2.7602044759475781</v>
      </c>
      <c r="G3274" s="408">
        <v>543.43799999999999</v>
      </c>
      <c r="H3274" s="243" t="s">
        <v>321</v>
      </c>
      <c r="I3274" s="243" t="s">
        <v>3536</v>
      </c>
      <c r="J3274" s="243" t="s">
        <v>96</v>
      </c>
      <c r="K3274" s="243" t="s">
        <v>1906</v>
      </c>
      <c r="L3274" s="243" t="s">
        <v>153</v>
      </c>
    </row>
    <row r="3275" spans="1:12" ht="15.6" hidden="1">
      <c r="A3275" s="438">
        <v>45949</v>
      </c>
      <c r="B3275" s="243" t="s">
        <v>4967</v>
      </c>
      <c r="C3275" s="243" t="s">
        <v>172</v>
      </c>
      <c r="D3275" s="243" t="s">
        <v>119</v>
      </c>
      <c r="E3275" s="473">
        <v>500</v>
      </c>
      <c r="F3275" s="407">
        <f t="shared" si="45"/>
        <v>0.92006815864919278</v>
      </c>
      <c r="G3275" s="408">
        <v>543.43799999999999</v>
      </c>
      <c r="H3275" s="243" t="s">
        <v>321</v>
      </c>
      <c r="I3275" s="243" t="s">
        <v>3533</v>
      </c>
      <c r="J3275" s="243" t="s">
        <v>96</v>
      </c>
      <c r="K3275" s="243" t="s">
        <v>1906</v>
      </c>
      <c r="L3275" s="243" t="s">
        <v>153</v>
      </c>
    </row>
    <row r="3276" spans="1:12" ht="15.6" hidden="1">
      <c r="A3276" s="438">
        <v>45950</v>
      </c>
      <c r="B3276" s="239" t="s">
        <v>2103</v>
      </c>
      <c r="C3276" s="453" t="s">
        <v>172</v>
      </c>
      <c r="D3276" s="453" t="s">
        <v>117</v>
      </c>
      <c r="E3276" s="458">
        <v>1000</v>
      </c>
      <c r="F3276" s="407">
        <f t="shared" si="45"/>
        <v>1.8401363172983856</v>
      </c>
      <c r="G3276" s="408">
        <v>543.43799999999999</v>
      </c>
      <c r="H3276" s="454" t="s">
        <v>151</v>
      </c>
      <c r="I3276" s="239" t="s">
        <v>3264</v>
      </c>
      <c r="J3276" s="243" t="s">
        <v>96</v>
      </c>
      <c r="K3276" s="243" t="s">
        <v>1906</v>
      </c>
      <c r="L3276" s="243" t="s">
        <v>153</v>
      </c>
    </row>
    <row r="3277" spans="1:12" ht="15.6" hidden="1">
      <c r="A3277" s="438">
        <v>45950</v>
      </c>
      <c r="B3277" s="239" t="s">
        <v>3240</v>
      </c>
      <c r="C3277" s="453" t="s">
        <v>150</v>
      </c>
      <c r="D3277" s="453" t="s">
        <v>117</v>
      </c>
      <c r="E3277" s="458">
        <v>12500</v>
      </c>
      <c r="F3277" s="407">
        <f t="shared" si="45"/>
        <v>23.001703966229819</v>
      </c>
      <c r="G3277" s="408">
        <v>543.43799999999999</v>
      </c>
      <c r="H3277" s="454" t="s">
        <v>151</v>
      </c>
      <c r="I3277" s="239" t="s">
        <v>3271</v>
      </c>
      <c r="J3277" s="243" t="s">
        <v>96</v>
      </c>
      <c r="K3277" s="243" t="s">
        <v>1906</v>
      </c>
      <c r="L3277" s="243" t="s">
        <v>153</v>
      </c>
    </row>
    <row r="3278" spans="1:12" ht="15.6" hidden="1">
      <c r="A3278" s="438">
        <v>45950</v>
      </c>
      <c r="B3278" s="239" t="s">
        <v>2819</v>
      </c>
      <c r="C3278" s="453" t="s">
        <v>172</v>
      </c>
      <c r="D3278" s="453" t="s">
        <v>117</v>
      </c>
      <c r="E3278" s="458">
        <v>1000</v>
      </c>
      <c r="F3278" s="407">
        <f t="shared" si="45"/>
        <v>1.8401363172983856</v>
      </c>
      <c r="G3278" s="408">
        <v>543.43799999999999</v>
      </c>
      <c r="H3278" s="454" t="s">
        <v>151</v>
      </c>
      <c r="I3278" s="239" t="s">
        <v>3264</v>
      </c>
      <c r="J3278" s="243" t="s">
        <v>96</v>
      </c>
      <c r="K3278" s="243" t="s">
        <v>1906</v>
      </c>
      <c r="L3278" s="243" t="s">
        <v>153</v>
      </c>
    </row>
    <row r="3279" spans="1:12" ht="15.6" hidden="1">
      <c r="A3279" s="438">
        <v>45950</v>
      </c>
      <c r="B3279" s="439" t="s">
        <v>3292</v>
      </c>
      <c r="C3279" s="439" t="s">
        <v>150</v>
      </c>
      <c r="D3279" s="439" t="s">
        <v>115</v>
      </c>
      <c r="E3279" s="451">
        <v>10000</v>
      </c>
      <c r="F3279" s="407">
        <f t="shared" si="45"/>
        <v>18.401363172983856</v>
      </c>
      <c r="G3279" s="408">
        <v>543.43799999999999</v>
      </c>
      <c r="H3279" s="329" t="s">
        <v>198</v>
      </c>
      <c r="I3279" s="329" t="s">
        <v>3361</v>
      </c>
      <c r="J3279" s="243" t="s">
        <v>96</v>
      </c>
      <c r="K3279" s="243" t="s">
        <v>1906</v>
      </c>
      <c r="L3279" s="243" t="s">
        <v>153</v>
      </c>
    </row>
    <row r="3280" spans="1:12" ht="15.6" hidden="1">
      <c r="A3280" s="438">
        <v>45950</v>
      </c>
      <c r="B3280" s="423" t="s">
        <v>3293</v>
      </c>
      <c r="C3280" s="423" t="s">
        <v>263</v>
      </c>
      <c r="D3280" s="439" t="s">
        <v>2417</v>
      </c>
      <c r="E3280" s="451">
        <v>30000</v>
      </c>
      <c r="F3280" s="407">
        <f t="shared" si="45"/>
        <v>55.204089518951562</v>
      </c>
      <c r="G3280" s="408">
        <v>543.43799999999999</v>
      </c>
      <c r="H3280" s="329" t="s">
        <v>198</v>
      </c>
      <c r="I3280" s="456" t="s">
        <v>3362</v>
      </c>
      <c r="J3280" s="243" t="s">
        <v>96</v>
      </c>
      <c r="K3280" s="243" t="s">
        <v>1906</v>
      </c>
      <c r="L3280" s="243" t="s">
        <v>153</v>
      </c>
    </row>
    <row r="3281" spans="1:12" ht="15.6" hidden="1">
      <c r="A3281" s="438">
        <v>45950</v>
      </c>
      <c r="B3281" s="243" t="s">
        <v>3385</v>
      </c>
      <c r="C3281" s="423" t="s">
        <v>172</v>
      </c>
      <c r="D3281" s="423" t="s">
        <v>116</v>
      </c>
      <c r="E3281" s="464">
        <v>1000</v>
      </c>
      <c r="F3281" s="407">
        <f t="shared" si="45"/>
        <v>1.8401363172983856</v>
      </c>
      <c r="G3281" s="408">
        <v>543.43799999999999</v>
      </c>
      <c r="H3281" s="423" t="s">
        <v>581</v>
      </c>
      <c r="I3281" s="423" t="s">
        <v>3419</v>
      </c>
      <c r="J3281" s="243" t="s">
        <v>96</v>
      </c>
      <c r="K3281" s="243" t="s">
        <v>1906</v>
      </c>
      <c r="L3281" s="243" t="s">
        <v>153</v>
      </c>
    </row>
    <row r="3282" spans="1:12" ht="15.6" hidden="1">
      <c r="A3282" s="438">
        <v>45950</v>
      </c>
      <c r="B3282" s="243" t="s">
        <v>3393</v>
      </c>
      <c r="C3282" s="423" t="s">
        <v>172</v>
      </c>
      <c r="D3282" s="423" t="s">
        <v>116</v>
      </c>
      <c r="E3282" s="464">
        <v>1000</v>
      </c>
      <c r="F3282" s="407">
        <f t="shared" si="45"/>
        <v>1.8401363172983856</v>
      </c>
      <c r="G3282" s="408">
        <v>543.43799999999999</v>
      </c>
      <c r="H3282" s="423" t="s">
        <v>581</v>
      </c>
      <c r="I3282" s="423" t="s">
        <v>3419</v>
      </c>
      <c r="J3282" s="243" t="s">
        <v>96</v>
      </c>
      <c r="K3282" s="243" t="s">
        <v>1906</v>
      </c>
      <c r="L3282" s="243" t="s">
        <v>153</v>
      </c>
    </row>
    <row r="3283" spans="1:12" ht="15.6" hidden="1">
      <c r="A3283" s="438">
        <v>45950</v>
      </c>
      <c r="B3283" s="243" t="s">
        <v>3394</v>
      </c>
      <c r="C3283" s="423" t="s">
        <v>172</v>
      </c>
      <c r="D3283" s="423" t="s">
        <v>116</v>
      </c>
      <c r="E3283" s="464">
        <v>1000</v>
      </c>
      <c r="F3283" s="407">
        <f t="shared" si="45"/>
        <v>1.8401363172983856</v>
      </c>
      <c r="G3283" s="408">
        <v>543.43799999999999</v>
      </c>
      <c r="H3283" s="423" t="s">
        <v>581</v>
      </c>
      <c r="I3283" s="423" t="s">
        <v>3419</v>
      </c>
      <c r="J3283" s="243" t="s">
        <v>96</v>
      </c>
      <c r="K3283" s="243" t="s">
        <v>1906</v>
      </c>
      <c r="L3283" s="243" t="s">
        <v>153</v>
      </c>
    </row>
    <row r="3284" spans="1:12" ht="15.6" hidden="1">
      <c r="A3284" s="438">
        <v>45950</v>
      </c>
      <c r="B3284" s="243" t="s">
        <v>2875</v>
      </c>
      <c r="C3284" s="423" t="s">
        <v>172</v>
      </c>
      <c r="D3284" s="423" t="s">
        <v>116</v>
      </c>
      <c r="E3284" s="464">
        <v>1000</v>
      </c>
      <c r="F3284" s="407">
        <f t="shared" si="45"/>
        <v>1.8401363172983856</v>
      </c>
      <c r="G3284" s="408">
        <v>543.43799999999999</v>
      </c>
      <c r="H3284" s="423" t="s">
        <v>581</v>
      </c>
      <c r="I3284" s="423" t="s">
        <v>3419</v>
      </c>
      <c r="J3284" s="243" t="s">
        <v>96</v>
      </c>
      <c r="K3284" s="243" t="s">
        <v>1906</v>
      </c>
      <c r="L3284" s="243" t="s">
        <v>153</v>
      </c>
    </row>
    <row r="3285" spans="1:12" ht="15.6" hidden="1">
      <c r="A3285" s="438">
        <v>45950</v>
      </c>
      <c r="B3285" s="243" t="s">
        <v>3395</v>
      </c>
      <c r="C3285" s="422" t="s">
        <v>150</v>
      </c>
      <c r="D3285" s="243" t="s">
        <v>117</v>
      </c>
      <c r="E3285" s="464">
        <v>7500</v>
      </c>
      <c r="F3285" s="407">
        <f t="shared" si="45"/>
        <v>13.801022379737891</v>
      </c>
      <c r="G3285" s="408">
        <v>543.43799999999999</v>
      </c>
      <c r="H3285" s="423" t="s">
        <v>581</v>
      </c>
      <c r="I3285" s="423" t="s">
        <v>3425</v>
      </c>
      <c r="J3285" s="243" t="s">
        <v>96</v>
      </c>
      <c r="K3285" s="243" t="s">
        <v>1906</v>
      </c>
      <c r="L3285" s="243" t="s">
        <v>153</v>
      </c>
    </row>
    <row r="3286" spans="1:12" ht="15.6" hidden="1">
      <c r="A3286" s="438">
        <v>45950</v>
      </c>
      <c r="B3286" s="423" t="s">
        <v>3396</v>
      </c>
      <c r="C3286" s="423" t="s">
        <v>180</v>
      </c>
      <c r="D3286" s="423" t="s">
        <v>116</v>
      </c>
      <c r="E3286" s="464">
        <v>9975</v>
      </c>
      <c r="F3286" s="407">
        <f t="shared" si="45"/>
        <v>18.355359765051396</v>
      </c>
      <c r="G3286" s="408">
        <v>543.43799999999999</v>
      </c>
      <c r="H3286" s="423" t="s">
        <v>581</v>
      </c>
      <c r="I3286" s="456" t="s">
        <v>3426</v>
      </c>
      <c r="J3286" s="243" t="s">
        <v>96</v>
      </c>
      <c r="K3286" s="243" t="s">
        <v>1906</v>
      </c>
      <c r="L3286" s="243" t="s">
        <v>153</v>
      </c>
    </row>
    <row r="3287" spans="1:12" ht="15.6" hidden="1">
      <c r="A3287" s="438">
        <v>45950</v>
      </c>
      <c r="B3287" s="423" t="s">
        <v>1553</v>
      </c>
      <c r="C3287" s="423" t="s">
        <v>170</v>
      </c>
      <c r="D3287" s="423" t="s">
        <v>116</v>
      </c>
      <c r="E3287" s="464">
        <v>300000</v>
      </c>
      <c r="F3287" s="407">
        <f t="shared" si="45"/>
        <v>552.0408951895156</v>
      </c>
      <c r="G3287" s="408">
        <v>543.43799999999999</v>
      </c>
      <c r="H3287" s="423" t="s">
        <v>581</v>
      </c>
      <c r="I3287" s="456" t="s">
        <v>3427</v>
      </c>
      <c r="J3287" s="243" t="s">
        <v>96</v>
      </c>
      <c r="K3287" s="243" t="s">
        <v>1906</v>
      </c>
      <c r="L3287" s="243" t="s">
        <v>153</v>
      </c>
    </row>
    <row r="3288" spans="1:12" ht="15.6" hidden="1">
      <c r="A3288" s="438">
        <v>45950</v>
      </c>
      <c r="B3288" s="331" t="s">
        <v>3441</v>
      </c>
      <c r="C3288" s="331" t="s">
        <v>150</v>
      </c>
      <c r="D3288" s="331" t="s">
        <v>2472</v>
      </c>
      <c r="E3288" s="459">
        <v>10000</v>
      </c>
      <c r="F3288" s="407">
        <f t="shared" si="45"/>
        <v>18.401363172983856</v>
      </c>
      <c r="G3288" s="408">
        <v>543.43799999999999</v>
      </c>
      <c r="H3288" s="331" t="s">
        <v>182</v>
      </c>
      <c r="I3288" s="331" t="s">
        <v>3462</v>
      </c>
      <c r="J3288" s="243" t="s">
        <v>96</v>
      </c>
      <c r="K3288" s="243" t="s">
        <v>1906</v>
      </c>
      <c r="L3288" s="243" t="s">
        <v>153</v>
      </c>
    </row>
    <row r="3289" spans="1:12" ht="15.6" hidden="1">
      <c r="A3289" s="438">
        <v>45950</v>
      </c>
      <c r="B3289" s="423" t="s">
        <v>4888</v>
      </c>
      <c r="C3289" s="423" t="s">
        <v>172</v>
      </c>
      <c r="D3289" s="423" t="s">
        <v>119</v>
      </c>
      <c r="E3289" s="471">
        <v>500</v>
      </c>
      <c r="F3289" s="407">
        <f t="shared" si="45"/>
        <v>0.92006815864919278</v>
      </c>
      <c r="G3289" s="408">
        <v>543.43799999999999</v>
      </c>
      <c r="H3289" s="423" t="s">
        <v>173</v>
      </c>
      <c r="I3289" s="423" t="s">
        <v>3484</v>
      </c>
      <c r="J3289" s="243" t="s">
        <v>96</v>
      </c>
      <c r="K3289" s="243" t="s">
        <v>1906</v>
      </c>
      <c r="L3289" s="243" t="s">
        <v>153</v>
      </c>
    </row>
    <row r="3290" spans="1:12" ht="15.6" hidden="1">
      <c r="A3290" s="438">
        <v>45950</v>
      </c>
      <c r="B3290" s="423" t="s">
        <v>4888</v>
      </c>
      <c r="C3290" s="423" t="s">
        <v>172</v>
      </c>
      <c r="D3290" s="423" t="s">
        <v>119</v>
      </c>
      <c r="E3290" s="471">
        <v>500</v>
      </c>
      <c r="F3290" s="407">
        <f t="shared" si="45"/>
        <v>0.92006815864919278</v>
      </c>
      <c r="G3290" s="408">
        <v>543.43799999999999</v>
      </c>
      <c r="H3290" s="423" t="s">
        <v>173</v>
      </c>
      <c r="I3290" s="423" t="s">
        <v>3484</v>
      </c>
      <c r="J3290" s="243" t="s">
        <v>96</v>
      </c>
      <c r="K3290" s="243" t="s">
        <v>1906</v>
      </c>
      <c r="L3290" s="243" t="s">
        <v>153</v>
      </c>
    </row>
    <row r="3291" spans="1:12" ht="15.6" hidden="1">
      <c r="A3291" s="438">
        <v>45950</v>
      </c>
      <c r="B3291" s="423" t="s">
        <v>4896</v>
      </c>
      <c r="C3291" s="423" t="s">
        <v>172</v>
      </c>
      <c r="D3291" s="423" t="s">
        <v>119</v>
      </c>
      <c r="E3291" s="471">
        <v>500</v>
      </c>
      <c r="F3291" s="407">
        <f t="shared" si="45"/>
        <v>0.92006815864919278</v>
      </c>
      <c r="G3291" s="408">
        <v>543.43799999999999</v>
      </c>
      <c r="H3291" s="423" t="s">
        <v>173</v>
      </c>
      <c r="I3291" s="423" t="s">
        <v>3484</v>
      </c>
      <c r="J3291" s="243" t="s">
        <v>96</v>
      </c>
      <c r="K3291" s="243" t="s">
        <v>1906</v>
      </c>
      <c r="L3291" s="243" t="s">
        <v>153</v>
      </c>
    </row>
    <row r="3292" spans="1:12" ht="15.6" hidden="1">
      <c r="A3292" s="438">
        <v>45950</v>
      </c>
      <c r="B3292" s="423" t="s">
        <v>4833</v>
      </c>
      <c r="C3292" s="423" t="s">
        <v>172</v>
      </c>
      <c r="D3292" s="423" t="s">
        <v>119</v>
      </c>
      <c r="E3292" s="471">
        <v>12000</v>
      </c>
      <c r="F3292" s="407">
        <f t="shared" si="45"/>
        <v>22.081635807580625</v>
      </c>
      <c r="G3292" s="408">
        <v>543.43799999999999</v>
      </c>
      <c r="H3292" s="423" t="s">
        <v>173</v>
      </c>
      <c r="I3292" s="423" t="s">
        <v>3495</v>
      </c>
      <c r="J3292" s="243" t="s">
        <v>96</v>
      </c>
      <c r="K3292" s="243" t="s">
        <v>1906</v>
      </c>
      <c r="L3292" s="243" t="s">
        <v>153</v>
      </c>
    </row>
    <row r="3293" spans="1:12" ht="15.6" hidden="1">
      <c r="A3293" s="438">
        <v>45950</v>
      </c>
      <c r="B3293" s="423" t="s">
        <v>4888</v>
      </c>
      <c r="C3293" s="423" t="s">
        <v>172</v>
      </c>
      <c r="D3293" s="423" t="s">
        <v>119</v>
      </c>
      <c r="E3293" s="471">
        <v>500</v>
      </c>
      <c r="F3293" s="407">
        <f t="shared" si="45"/>
        <v>0.92006815864919278</v>
      </c>
      <c r="G3293" s="408">
        <v>543.43799999999999</v>
      </c>
      <c r="H3293" s="423" t="s">
        <v>173</v>
      </c>
      <c r="I3293" s="423" t="s">
        <v>3484</v>
      </c>
      <c r="J3293" s="243" t="s">
        <v>96</v>
      </c>
      <c r="K3293" s="243" t="s">
        <v>1906</v>
      </c>
      <c r="L3293" s="243" t="s">
        <v>153</v>
      </c>
    </row>
    <row r="3294" spans="1:12" ht="15.6" hidden="1">
      <c r="A3294" s="438">
        <v>45950</v>
      </c>
      <c r="B3294" s="243" t="s">
        <v>4753</v>
      </c>
      <c r="C3294" s="423" t="s">
        <v>2394</v>
      </c>
      <c r="D3294" s="423" t="s">
        <v>119</v>
      </c>
      <c r="E3294" s="471">
        <v>30000</v>
      </c>
      <c r="F3294" s="407">
        <f t="shared" si="45"/>
        <v>55.204089518951562</v>
      </c>
      <c r="G3294" s="408">
        <v>543.43799999999999</v>
      </c>
      <c r="H3294" s="423" t="s">
        <v>173</v>
      </c>
      <c r="I3294" s="423" t="s">
        <v>3496</v>
      </c>
      <c r="J3294" s="243" t="s">
        <v>96</v>
      </c>
      <c r="K3294" s="243" t="s">
        <v>1906</v>
      </c>
      <c r="L3294" s="243" t="s">
        <v>153</v>
      </c>
    </row>
    <row r="3295" spans="1:12" ht="15.6" hidden="1">
      <c r="A3295" s="438">
        <v>45950</v>
      </c>
      <c r="B3295" s="331" t="s">
        <v>3475</v>
      </c>
      <c r="C3295" s="331" t="s">
        <v>150</v>
      </c>
      <c r="D3295" s="243" t="s">
        <v>119</v>
      </c>
      <c r="E3295" s="471">
        <v>10000</v>
      </c>
      <c r="F3295" s="407">
        <f t="shared" si="45"/>
        <v>18.401363172983856</v>
      </c>
      <c r="G3295" s="408">
        <v>543.43799999999999</v>
      </c>
      <c r="H3295" s="423" t="s">
        <v>173</v>
      </c>
      <c r="I3295" s="423" t="s">
        <v>3497</v>
      </c>
      <c r="J3295" s="243" t="s">
        <v>96</v>
      </c>
      <c r="K3295" s="243" t="s">
        <v>1906</v>
      </c>
      <c r="L3295" s="243" t="s">
        <v>153</v>
      </c>
    </row>
    <row r="3296" spans="1:12" ht="15.6" hidden="1">
      <c r="A3296" s="438">
        <v>45950</v>
      </c>
      <c r="B3296" s="243" t="s">
        <v>4938</v>
      </c>
      <c r="C3296" s="243" t="s">
        <v>172</v>
      </c>
      <c r="D3296" s="243" t="s">
        <v>119</v>
      </c>
      <c r="E3296" s="460">
        <v>700</v>
      </c>
      <c r="F3296" s="407">
        <f t="shared" si="45"/>
        <v>1.2880954221088698</v>
      </c>
      <c r="G3296" s="408">
        <v>543.43799999999999</v>
      </c>
      <c r="H3296" s="243" t="s">
        <v>315</v>
      </c>
      <c r="I3296" s="243" t="s">
        <v>3510</v>
      </c>
      <c r="J3296" s="243" t="s">
        <v>96</v>
      </c>
      <c r="K3296" s="243" t="s">
        <v>1906</v>
      </c>
      <c r="L3296" s="243" t="s">
        <v>153</v>
      </c>
    </row>
    <row r="3297" spans="1:12" ht="15.6" hidden="1">
      <c r="A3297" s="438">
        <v>45950</v>
      </c>
      <c r="B3297" s="243" t="s">
        <v>4969</v>
      </c>
      <c r="C3297" s="243" t="s">
        <v>363</v>
      </c>
      <c r="D3297" s="243" t="s">
        <v>119</v>
      </c>
      <c r="E3297" s="462">
        <v>7000</v>
      </c>
      <c r="F3297" s="407">
        <f t="shared" si="45"/>
        <v>12.880954221088698</v>
      </c>
      <c r="G3297" s="408">
        <v>543.43799999999999</v>
      </c>
      <c r="H3297" s="243" t="s">
        <v>315</v>
      </c>
      <c r="I3297" s="243" t="s">
        <v>3514</v>
      </c>
      <c r="J3297" s="243" t="s">
        <v>96</v>
      </c>
      <c r="K3297" s="243" t="s">
        <v>1906</v>
      </c>
      <c r="L3297" s="243" t="s">
        <v>153</v>
      </c>
    </row>
    <row r="3298" spans="1:12" ht="15.6" hidden="1">
      <c r="A3298" s="438">
        <v>45950</v>
      </c>
      <c r="B3298" s="243" t="s">
        <v>4940</v>
      </c>
      <c r="C3298" s="243" t="s">
        <v>172</v>
      </c>
      <c r="D3298" s="243" t="s">
        <v>119</v>
      </c>
      <c r="E3298" s="460">
        <v>700</v>
      </c>
      <c r="F3298" s="407">
        <f t="shared" si="45"/>
        <v>1.2880954221088698</v>
      </c>
      <c r="G3298" s="408">
        <v>543.43799999999999</v>
      </c>
      <c r="H3298" s="243" t="s">
        <v>315</v>
      </c>
      <c r="I3298" s="243" t="s">
        <v>3510</v>
      </c>
      <c r="J3298" s="243" t="s">
        <v>96</v>
      </c>
      <c r="K3298" s="243" t="s">
        <v>1906</v>
      </c>
      <c r="L3298" s="243" t="s">
        <v>153</v>
      </c>
    </row>
    <row r="3299" spans="1:12" ht="15.6" hidden="1">
      <c r="A3299" s="438">
        <v>45950</v>
      </c>
      <c r="B3299" s="243" t="s">
        <v>4940</v>
      </c>
      <c r="C3299" s="243" t="s">
        <v>172</v>
      </c>
      <c r="D3299" s="243" t="s">
        <v>119</v>
      </c>
      <c r="E3299" s="460">
        <v>700</v>
      </c>
      <c r="F3299" s="407">
        <f t="shared" si="45"/>
        <v>1.2880954221088698</v>
      </c>
      <c r="G3299" s="408">
        <v>543.43799999999999</v>
      </c>
      <c r="H3299" s="243" t="s">
        <v>315</v>
      </c>
      <c r="I3299" s="243" t="s">
        <v>3510</v>
      </c>
      <c r="J3299" s="243" t="s">
        <v>96</v>
      </c>
      <c r="K3299" s="243" t="s">
        <v>1906</v>
      </c>
      <c r="L3299" s="243" t="s">
        <v>153</v>
      </c>
    </row>
    <row r="3300" spans="1:12" ht="15.6" hidden="1">
      <c r="A3300" s="438">
        <v>45950</v>
      </c>
      <c r="B3300" s="243" t="s">
        <v>4938</v>
      </c>
      <c r="C3300" s="243" t="s">
        <v>172</v>
      </c>
      <c r="D3300" s="243" t="s">
        <v>119</v>
      </c>
      <c r="E3300" s="460">
        <v>700</v>
      </c>
      <c r="F3300" s="407">
        <f t="shared" si="45"/>
        <v>1.2880954221088698</v>
      </c>
      <c r="G3300" s="408">
        <v>543.43799999999999</v>
      </c>
      <c r="H3300" s="243" t="s">
        <v>315</v>
      </c>
      <c r="I3300" s="243" t="s">
        <v>3510</v>
      </c>
      <c r="J3300" s="243" t="s">
        <v>96</v>
      </c>
      <c r="K3300" s="243" t="s">
        <v>1906</v>
      </c>
      <c r="L3300" s="243" t="s">
        <v>153</v>
      </c>
    </row>
    <row r="3301" spans="1:12" ht="15.6" hidden="1">
      <c r="A3301" s="438">
        <v>45950</v>
      </c>
      <c r="B3301" s="243" t="s">
        <v>4940</v>
      </c>
      <c r="C3301" s="243" t="s">
        <v>172</v>
      </c>
      <c r="D3301" s="243" t="s">
        <v>119</v>
      </c>
      <c r="E3301" s="460">
        <v>700</v>
      </c>
      <c r="F3301" s="407">
        <f t="shared" si="45"/>
        <v>1.2880954221088698</v>
      </c>
      <c r="G3301" s="408">
        <v>543.43799999999999</v>
      </c>
      <c r="H3301" s="243" t="s">
        <v>315</v>
      </c>
      <c r="I3301" s="243" t="s">
        <v>3510</v>
      </c>
      <c r="J3301" s="243" t="s">
        <v>96</v>
      </c>
      <c r="K3301" s="243" t="s">
        <v>1906</v>
      </c>
      <c r="L3301" s="243" t="s">
        <v>153</v>
      </c>
    </row>
    <row r="3302" spans="1:12" ht="15.6" hidden="1">
      <c r="A3302" s="438">
        <v>45950</v>
      </c>
      <c r="B3302" s="243" t="s">
        <v>3506</v>
      </c>
      <c r="C3302" s="243" t="s">
        <v>150</v>
      </c>
      <c r="D3302" s="243" t="s">
        <v>119</v>
      </c>
      <c r="E3302" s="460">
        <v>10000</v>
      </c>
      <c r="F3302" s="407">
        <f t="shared" si="45"/>
        <v>18.401363172983856</v>
      </c>
      <c r="G3302" s="408">
        <v>543.43799999999999</v>
      </c>
      <c r="H3302" s="243" t="s">
        <v>315</v>
      </c>
      <c r="I3302" s="243" t="s">
        <v>3517</v>
      </c>
      <c r="J3302" s="243" t="s">
        <v>96</v>
      </c>
      <c r="K3302" s="243" t="s">
        <v>1906</v>
      </c>
      <c r="L3302" s="243" t="s">
        <v>153</v>
      </c>
    </row>
    <row r="3303" spans="1:12" ht="15.6" hidden="1">
      <c r="A3303" s="438">
        <v>45950</v>
      </c>
      <c r="B3303" s="243" t="s">
        <v>4940</v>
      </c>
      <c r="C3303" s="243" t="s">
        <v>172</v>
      </c>
      <c r="D3303" s="243" t="s">
        <v>119</v>
      </c>
      <c r="E3303" s="460">
        <v>700</v>
      </c>
      <c r="F3303" s="407">
        <f t="shared" si="45"/>
        <v>1.2880954221088698</v>
      </c>
      <c r="G3303" s="408">
        <v>543.43799999999999</v>
      </c>
      <c r="H3303" s="243" t="s">
        <v>315</v>
      </c>
      <c r="I3303" s="243" t="s">
        <v>3510</v>
      </c>
      <c r="J3303" s="243" t="s">
        <v>96</v>
      </c>
      <c r="K3303" s="243" t="s">
        <v>1906</v>
      </c>
      <c r="L3303" s="243" t="s">
        <v>153</v>
      </c>
    </row>
    <row r="3304" spans="1:12" ht="15.6" hidden="1">
      <c r="A3304" s="438">
        <v>45950</v>
      </c>
      <c r="B3304" s="243" t="s">
        <v>4888</v>
      </c>
      <c r="C3304" s="243" t="s">
        <v>172</v>
      </c>
      <c r="D3304" s="243" t="s">
        <v>119</v>
      </c>
      <c r="E3304" s="457">
        <v>500</v>
      </c>
      <c r="F3304" s="407">
        <f t="shared" si="45"/>
        <v>0.92006815864919278</v>
      </c>
      <c r="G3304" s="408">
        <v>543.43799999999999</v>
      </c>
      <c r="H3304" s="243" t="s">
        <v>321</v>
      </c>
      <c r="I3304" s="243" t="s">
        <v>3533</v>
      </c>
      <c r="J3304" s="243" t="s">
        <v>96</v>
      </c>
      <c r="K3304" s="243" t="s">
        <v>1906</v>
      </c>
      <c r="L3304" s="243" t="s">
        <v>153</v>
      </c>
    </row>
    <row r="3305" spans="1:12" ht="15.6" hidden="1">
      <c r="A3305" s="438">
        <v>45950</v>
      </c>
      <c r="B3305" s="243" t="s">
        <v>4967</v>
      </c>
      <c r="C3305" s="243" t="s">
        <v>172</v>
      </c>
      <c r="D3305" s="243" t="s">
        <v>119</v>
      </c>
      <c r="E3305" s="457">
        <v>500</v>
      </c>
      <c r="F3305" s="407">
        <f t="shared" si="45"/>
        <v>0.92006815864919278</v>
      </c>
      <c r="G3305" s="408">
        <v>543.43799999999999</v>
      </c>
      <c r="H3305" s="243" t="s">
        <v>321</v>
      </c>
      <c r="I3305" s="243" t="s">
        <v>3533</v>
      </c>
      <c r="J3305" s="243" t="s">
        <v>96</v>
      </c>
      <c r="K3305" s="243" t="s">
        <v>1906</v>
      </c>
      <c r="L3305" s="243" t="s">
        <v>153</v>
      </c>
    </row>
    <row r="3306" spans="1:12" ht="15.6" hidden="1">
      <c r="A3306" s="438">
        <v>45950</v>
      </c>
      <c r="B3306" s="243" t="s">
        <v>4867</v>
      </c>
      <c r="C3306" s="243" t="s">
        <v>366</v>
      </c>
      <c r="D3306" s="243" t="s">
        <v>119</v>
      </c>
      <c r="E3306" s="457">
        <v>1500</v>
      </c>
      <c r="F3306" s="407">
        <f t="shared" si="45"/>
        <v>2.7602044759475781</v>
      </c>
      <c r="G3306" s="408">
        <v>543.43799999999999</v>
      </c>
      <c r="H3306" s="243" t="s">
        <v>321</v>
      </c>
      <c r="I3306" s="243" t="s">
        <v>3536</v>
      </c>
      <c r="J3306" s="243" t="s">
        <v>96</v>
      </c>
      <c r="K3306" s="243" t="s">
        <v>1906</v>
      </c>
      <c r="L3306" s="243" t="s">
        <v>153</v>
      </c>
    </row>
    <row r="3307" spans="1:12" ht="15.6" hidden="1">
      <c r="A3307" s="438">
        <v>45950</v>
      </c>
      <c r="B3307" s="243" t="s">
        <v>4967</v>
      </c>
      <c r="C3307" s="243" t="s">
        <v>172</v>
      </c>
      <c r="D3307" s="243" t="s">
        <v>119</v>
      </c>
      <c r="E3307" s="457">
        <v>500</v>
      </c>
      <c r="F3307" s="407">
        <f t="shared" si="45"/>
        <v>0.92006815864919278</v>
      </c>
      <c r="G3307" s="408">
        <v>543.43799999999999</v>
      </c>
      <c r="H3307" s="243" t="s">
        <v>321</v>
      </c>
      <c r="I3307" s="243" t="s">
        <v>3533</v>
      </c>
      <c r="J3307" s="243" t="s">
        <v>96</v>
      </c>
      <c r="K3307" s="243" t="s">
        <v>1906</v>
      </c>
      <c r="L3307" s="243" t="s">
        <v>153</v>
      </c>
    </row>
    <row r="3308" spans="1:12" ht="15.6" hidden="1">
      <c r="A3308" s="438">
        <v>45950</v>
      </c>
      <c r="B3308" s="243" t="s">
        <v>4888</v>
      </c>
      <c r="C3308" s="243" t="s">
        <v>172</v>
      </c>
      <c r="D3308" s="243" t="s">
        <v>119</v>
      </c>
      <c r="E3308" s="457">
        <v>500</v>
      </c>
      <c r="F3308" s="407">
        <f t="shared" si="45"/>
        <v>0.92006815864919278</v>
      </c>
      <c r="G3308" s="408">
        <v>543.43799999999999</v>
      </c>
      <c r="H3308" s="243" t="s">
        <v>321</v>
      </c>
      <c r="I3308" s="243" t="s">
        <v>3533</v>
      </c>
      <c r="J3308" s="243" t="s">
        <v>96</v>
      </c>
      <c r="K3308" s="243" t="s">
        <v>1906</v>
      </c>
      <c r="L3308" s="243" t="s">
        <v>153</v>
      </c>
    </row>
    <row r="3309" spans="1:12" ht="15.6" hidden="1">
      <c r="A3309" s="438">
        <v>45950</v>
      </c>
      <c r="B3309" s="243" t="s">
        <v>3529</v>
      </c>
      <c r="C3309" s="243" t="s">
        <v>150</v>
      </c>
      <c r="D3309" s="243" t="s">
        <v>119</v>
      </c>
      <c r="E3309" s="457">
        <v>10000</v>
      </c>
      <c r="F3309" s="407">
        <f t="shared" si="45"/>
        <v>18.401363172983856</v>
      </c>
      <c r="G3309" s="408">
        <v>543.43799999999999</v>
      </c>
      <c r="H3309" s="243" t="s">
        <v>321</v>
      </c>
      <c r="I3309" s="243" t="s">
        <v>3540</v>
      </c>
      <c r="J3309" s="243" t="s">
        <v>96</v>
      </c>
      <c r="K3309" s="243" t="s">
        <v>1906</v>
      </c>
      <c r="L3309" s="243" t="s">
        <v>153</v>
      </c>
    </row>
    <row r="3310" spans="1:12" ht="15.6" hidden="1">
      <c r="A3310" s="438">
        <v>45950</v>
      </c>
      <c r="B3310" s="243" t="s">
        <v>3553</v>
      </c>
      <c r="C3310" s="243" t="s">
        <v>150</v>
      </c>
      <c r="D3310" s="243" t="s">
        <v>115</v>
      </c>
      <c r="E3310" s="463">
        <v>7500</v>
      </c>
      <c r="F3310" s="407">
        <f t="shared" si="45"/>
        <v>13.801022379737891</v>
      </c>
      <c r="G3310" s="408">
        <v>543.43799999999999</v>
      </c>
      <c r="H3310" s="243" t="s">
        <v>188</v>
      </c>
      <c r="I3310" s="243" t="s">
        <v>3599</v>
      </c>
      <c r="J3310" s="243" t="s">
        <v>96</v>
      </c>
      <c r="K3310" s="243" t="s">
        <v>1906</v>
      </c>
      <c r="L3310" s="243" t="s">
        <v>153</v>
      </c>
    </row>
    <row r="3311" spans="1:12" ht="15.6" hidden="1">
      <c r="A3311" s="438">
        <v>45950</v>
      </c>
      <c r="B3311" s="243" t="s">
        <v>2368</v>
      </c>
      <c r="C3311" s="243" t="s">
        <v>170</v>
      </c>
      <c r="D3311" s="243" t="s">
        <v>116</v>
      </c>
      <c r="E3311" s="463">
        <v>25000</v>
      </c>
      <c r="F3311" s="407">
        <f t="shared" si="45"/>
        <v>46.003407932459638</v>
      </c>
      <c r="G3311" s="408">
        <v>543.43799999999999</v>
      </c>
      <c r="H3311" s="243" t="s">
        <v>188</v>
      </c>
      <c r="I3311" s="455" t="s">
        <v>3600</v>
      </c>
      <c r="J3311" s="243" t="s">
        <v>96</v>
      </c>
      <c r="K3311" s="243" t="s">
        <v>1906</v>
      </c>
      <c r="L3311" s="243" t="s">
        <v>153</v>
      </c>
    </row>
    <row r="3312" spans="1:12" ht="15.6" hidden="1">
      <c r="A3312" s="438">
        <v>45950</v>
      </c>
      <c r="B3312" s="243" t="s">
        <v>3616</v>
      </c>
      <c r="C3312" s="243" t="s">
        <v>172</v>
      </c>
      <c r="D3312" s="243" t="s">
        <v>115</v>
      </c>
      <c r="E3312" s="463">
        <v>500</v>
      </c>
      <c r="F3312" s="407">
        <f t="shared" si="45"/>
        <v>0.92006815864919278</v>
      </c>
      <c r="G3312" s="408">
        <v>543.43799999999999</v>
      </c>
      <c r="H3312" s="243" t="s">
        <v>191</v>
      </c>
      <c r="I3312" s="243" t="s">
        <v>3665</v>
      </c>
      <c r="J3312" s="243" t="s">
        <v>96</v>
      </c>
      <c r="K3312" s="243" t="s">
        <v>1906</v>
      </c>
      <c r="L3312" s="243" t="s">
        <v>153</v>
      </c>
    </row>
    <row r="3313" spans="1:12" ht="15.6" hidden="1">
      <c r="A3313" s="438">
        <v>45950</v>
      </c>
      <c r="B3313" s="243" t="s">
        <v>3617</v>
      </c>
      <c r="C3313" s="243" t="s">
        <v>172</v>
      </c>
      <c r="D3313" s="243" t="s">
        <v>115</v>
      </c>
      <c r="E3313" s="463">
        <v>500</v>
      </c>
      <c r="F3313" s="407">
        <f t="shared" si="45"/>
        <v>0.92006815864919278</v>
      </c>
      <c r="G3313" s="408">
        <v>543.43799999999999</v>
      </c>
      <c r="H3313" s="243" t="s">
        <v>191</v>
      </c>
      <c r="I3313" s="243" t="s">
        <v>3665</v>
      </c>
      <c r="J3313" s="243" t="s">
        <v>96</v>
      </c>
      <c r="K3313" s="243" t="s">
        <v>1906</v>
      </c>
      <c r="L3313" s="243" t="s">
        <v>153</v>
      </c>
    </row>
    <row r="3314" spans="1:12" ht="15.6" hidden="1">
      <c r="A3314" s="438">
        <v>45950</v>
      </c>
      <c r="B3314" s="243" t="s">
        <v>3626</v>
      </c>
      <c r="C3314" s="243" t="s">
        <v>150</v>
      </c>
      <c r="D3314" s="243" t="s">
        <v>115</v>
      </c>
      <c r="E3314" s="463">
        <v>7500</v>
      </c>
      <c r="F3314" s="407">
        <f t="shared" si="45"/>
        <v>13.801022379737891</v>
      </c>
      <c r="G3314" s="408">
        <v>543.43799999999999</v>
      </c>
      <c r="H3314" s="243" t="s">
        <v>191</v>
      </c>
      <c r="I3314" s="243" t="s">
        <v>3673</v>
      </c>
      <c r="J3314" s="243" t="s">
        <v>96</v>
      </c>
      <c r="K3314" s="243" t="s">
        <v>1906</v>
      </c>
      <c r="L3314" s="243" t="s">
        <v>153</v>
      </c>
    </row>
    <row r="3315" spans="1:12" ht="15.6" hidden="1">
      <c r="A3315" s="438">
        <v>45950</v>
      </c>
      <c r="B3315" s="243" t="s">
        <v>3627</v>
      </c>
      <c r="C3315" s="243" t="s">
        <v>180</v>
      </c>
      <c r="D3315" s="243" t="s">
        <v>116</v>
      </c>
      <c r="E3315" s="463">
        <v>1560</v>
      </c>
      <c r="F3315" s="407">
        <f t="shared" si="45"/>
        <v>2.8706126549854813</v>
      </c>
      <c r="G3315" s="408">
        <v>543.43799999999999</v>
      </c>
      <c r="H3315" s="243" t="s">
        <v>191</v>
      </c>
      <c r="I3315" s="455" t="s">
        <v>3674</v>
      </c>
      <c r="J3315" s="243" t="s">
        <v>96</v>
      </c>
      <c r="K3315" s="243" t="s">
        <v>1906</v>
      </c>
      <c r="L3315" s="243" t="s">
        <v>153</v>
      </c>
    </row>
    <row r="3316" spans="1:12" ht="15.6" hidden="1">
      <c r="A3316" s="438">
        <v>45950</v>
      </c>
      <c r="B3316" s="243" t="s">
        <v>3740</v>
      </c>
      <c r="C3316" s="239" t="s">
        <v>150</v>
      </c>
      <c r="D3316" s="239" t="s">
        <v>115</v>
      </c>
      <c r="E3316" s="457">
        <v>10000</v>
      </c>
      <c r="F3316" s="407">
        <f t="shared" si="45"/>
        <v>18.401363172983856</v>
      </c>
      <c r="G3316" s="408">
        <v>543.43799999999999</v>
      </c>
      <c r="H3316" s="239" t="s">
        <v>195</v>
      </c>
      <c r="I3316" s="243" t="s">
        <v>3758</v>
      </c>
      <c r="J3316" s="243" t="s">
        <v>96</v>
      </c>
      <c r="K3316" s="243" t="s">
        <v>1906</v>
      </c>
      <c r="L3316" s="243" t="s">
        <v>153</v>
      </c>
    </row>
    <row r="3317" spans="1:12" ht="15.6" hidden="1">
      <c r="A3317" s="438">
        <v>45950</v>
      </c>
      <c r="B3317" s="243" t="s">
        <v>3741</v>
      </c>
      <c r="C3317" s="243" t="s">
        <v>263</v>
      </c>
      <c r="D3317" s="243" t="s">
        <v>2417</v>
      </c>
      <c r="E3317" s="457">
        <v>30000</v>
      </c>
      <c r="F3317" s="407">
        <f t="shared" si="45"/>
        <v>55.204089518951562</v>
      </c>
      <c r="G3317" s="408">
        <v>543.43799999999999</v>
      </c>
      <c r="H3317" s="239" t="s">
        <v>195</v>
      </c>
      <c r="I3317" s="455" t="s">
        <v>3759</v>
      </c>
      <c r="J3317" s="243" t="s">
        <v>96</v>
      </c>
      <c r="K3317" s="243" t="s">
        <v>1906</v>
      </c>
      <c r="L3317" s="243" t="s">
        <v>153</v>
      </c>
    </row>
    <row r="3318" spans="1:12" ht="15.6" hidden="1">
      <c r="A3318" s="438">
        <v>45950</v>
      </c>
      <c r="B3318" s="439" t="s">
        <v>3850</v>
      </c>
      <c r="C3318" s="439" t="s">
        <v>150</v>
      </c>
      <c r="D3318" s="439" t="s">
        <v>118</v>
      </c>
      <c r="E3318" s="464">
        <v>10000</v>
      </c>
      <c r="F3318" s="407">
        <f t="shared" si="45"/>
        <v>18.401363172983856</v>
      </c>
      <c r="G3318" s="408">
        <v>543.43799999999999</v>
      </c>
      <c r="H3318" s="461" t="s">
        <v>211</v>
      </c>
      <c r="I3318" s="461" t="s">
        <v>3924</v>
      </c>
      <c r="J3318" s="243" t="s">
        <v>96</v>
      </c>
      <c r="K3318" s="243" t="s">
        <v>1906</v>
      </c>
      <c r="L3318" s="243" t="s">
        <v>153</v>
      </c>
    </row>
    <row r="3319" spans="1:12" ht="15.6" hidden="1">
      <c r="A3319" s="438">
        <v>45950</v>
      </c>
      <c r="B3319" s="423" t="s">
        <v>3851</v>
      </c>
      <c r="C3319" s="423" t="s">
        <v>263</v>
      </c>
      <c r="D3319" s="423" t="s">
        <v>2417</v>
      </c>
      <c r="E3319" s="464">
        <v>30000</v>
      </c>
      <c r="F3319" s="407">
        <f t="shared" si="45"/>
        <v>55.204089518951562</v>
      </c>
      <c r="G3319" s="408">
        <v>543.43799999999999</v>
      </c>
      <c r="H3319" s="423" t="s">
        <v>211</v>
      </c>
      <c r="I3319" s="456" t="s">
        <v>3925</v>
      </c>
      <c r="J3319" s="243" t="s">
        <v>96</v>
      </c>
      <c r="K3319" s="243" t="s">
        <v>1906</v>
      </c>
      <c r="L3319" s="243" t="s">
        <v>153</v>
      </c>
    </row>
    <row r="3320" spans="1:12" ht="15.6" hidden="1">
      <c r="A3320" s="438">
        <v>45950</v>
      </c>
      <c r="B3320" s="423" t="s">
        <v>3966</v>
      </c>
      <c r="C3320" s="423" t="s">
        <v>150</v>
      </c>
      <c r="D3320" s="423" t="s">
        <v>115</v>
      </c>
      <c r="E3320" s="471">
        <v>7500</v>
      </c>
      <c r="F3320" s="407">
        <f t="shared" si="45"/>
        <v>13.801022379737891</v>
      </c>
      <c r="G3320" s="408">
        <v>543.43799999999999</v>
      </c>
      <c r="H3320" s="423" t="s">
        <v>185</v>
      </c>
      <c r="I3320" s="423" t="s">
        <v>4021</v>
      </c>
      <c r="J3320" s="243" t="s">
        <v>96</v>
      </c>
      <c r="K3320" s="243" t="s">
        <v>1906</v>
      </c>
      <c r="L3320" s="243" t="s">
        <v>153</v>
      </c>
    </row>
    <row r="3321" spans="1:12" ht="15.6" hidden="1">
      <c r="A3321" s="438">
        <v>45950</v>
      </c>
      <c r="B3321" s="164" t="s">
        <v>4054</v>
      </c>
      <c r="C3321" s="124" t="s">
        <v>121</v>
      </c>
      <c r="D3321" s="350" t="s">
        <v>115</v>
      </c>
      <c r="E3321" s="349">
        <v>150000</v>
      </c>
      <c r="F3321" s="407">
        <f t="shared" si="45"/>
        <v>276.0204475947578</v>
      </c>
      <c r="G3321" s="408">
        <v>543.43799999999999</v>
      </c>
      <c r="H3321" s="125" t="s">
        <v>146</v>
      </c>
      <c r="I3321" s="125" t="s">
        <v>4087</v>
      </c>
      <c r="J3321" s="243" t="s">
        <v>96</v>
      </c>
      <c r="K3321" s="243" t="s">
        <v>1906</v>
      </c>
      <c r="L3321" s="243" t="s">
        <v>153</v>
      </c>
    </row>
    <row r="3322" spans="1:12" ht="15.6" hidden="1">
      <c r="A3322" s="438">
        <v>45950</v>
      </c>
      <c r="B3322" s="164" t="s">
        <v>4055</v>
      </c>
      <c r="C3322" s="442" t="s">
        <v>125</v>
      </c>
      <c r="D3322" s="442" t="s">
        <v>116</v>
      </c>
      <c r="E3322" s="349">
        <v>258800</v>
      </c>
      <c r="F3322" s="407">
        <f t="shared" si="45"/>
        <v>476.22727891682217</v>
      </c>
      <c r="G3322" s="408">
        <v>543.43799999999999</v>
      </c>
      <c r="H3322" s="125" t="s">
        <v>146</v>
      </c>
      <c r="I3322" s="125" t="s">
        <v>4088</v>
      </c>
      <c r="J3322" s="243" t="s">
        <v>96</v>
      </c>
      <c r="K3322" s="243" t="s">
        <v>1906</v>
      </c>
      <c r="L3322" s="243" t="s">
        <v>153</v>
      </c>
    </row>
    <row r="3323" spans="1:12" ht="15.6" hidden="1">
      <c r="A3323" s="438">
        <v>45951</v>
      </c>
      <c r="B3323" s="239" t="s">
        <v>2103</v>
      </c>
      <c r="C3323" s="453" t="s">
        <v>172</v>
      </c>
      <c r="D3323" s="453" t="s">
        <v>117</v>
      </c>
      <c r="E3323" s="458">
        <v>1000</v>
      </c>
      <c r="F3323" s="407">
        <f t="shared" si="45"/>
        <v>1.8401363172983856</v>
      </c>
      <c r="G3323" s="408">
        <v>543.43799999999999</v>
      </c>
      <c r="H3323" s="454" t="s">
        <v>151</v>
      </c>
      <c r="I3323" s="239" t="s">
        <v>3264</v>
      </c>
      <c r="J3323" s="243" t="s">
        <v>96</v>
      </c>
      <c r="K3323" s="243" t="s">
        <v>1906</v>
      </c>
      <c r="L3323" s="243" t="s">
        <v>153</v>
      </c>
    </row>
    <row r="3324" spans="1:12" ht="15.6" hidden="1">
      <c r="A3324" s="438">
        <v>45951</v>
      </c>
      <c r="B3324" s="239" t="s">
        <v>2104</v>
      </c>
      <c r="C3324" s="453" t="s">
        <v>172</v>
      </c>
      <c r="D3324" s="453" t="s">
        <v>117</v>
      </c>
      <c r="E3324" s="458">
        <v>1000</v>
      </c>
      <c r="F3324" s="407">
        <f t="shared" si="45"/>
        <v>1.8401363172983856</v>
      </c>
      <c r="G3324" s="408">
        <v>543.43799999999999</v>
      </c>
      <c r="H3324" s="454" t="s">
        <v>151</v>
      </c>
      <c r="I3324" s="239" t="s">
        <v>3264</v>
      </c>
      <c r="J3324" s="243" t="s">
        <v>96</v>
      </c>
      <c r="K3324" s="243" t="s">
        <v>1906</v>
      </c>
      <c r="L3324" s="243" t="s">
        <v>153</v>
      </c>
    </row>
    <row r="3325" spans="1:12" ht="15.6" hidden="1">
      <c r="A3325" s="438">
        <v>45951</v>
      </c>
      <c r="B3325" s="329" t="s">
        <v>3333</v>
      </c>
      <c r="C3325" s="329" t="s">
        <v>172</v>
      </c>
      <c r="D3325" s="329" t="s">
        <v>115</v>
      </c>
      <c r="E3325" s="451">
        <v>1500</v>
      </c>
      <c r="F3325" s="407">
        <f t="shared" si="45"/>
        <v>2.7602044759475781</v>
      </c>
      <c r="G3325" s="408">
        <v>543.43799999999999</v>
      </c>
      <c r="H3325" s="329" t="s">
        <v>198</v>
      </c>
      <c r="I3325" s="329" t="s">
        <v>3349</v>
      </c>
      <c r="J3325" s="243" t="s">
        <v>96</v>
      </c>
      <c r="K3325" s="243" t="s">
        <v>1906</v>
      </c>
      <c r="L3325" s="243" t="s">
        <v>153</v>
      </c>
    </row>
    <row r="3326" spans="1:12" ht="15.6" hidden="1">
      <c r="A3326" s="438">
        <v>45951</v>
      </c>
      <c r="B3326" s="329" t="s">
        <v>3334</v>
      </c>
      <c r="C3326" s="329" t="s">
        <v>172</v>
      </c>
      <c r="D3326" s="329" t="s">
        <v>115</v>
      </c>
      <c r="E3326" s="451">
        <v>1000</v>
      </c>
      <c r="F3326" s="407">
        <f t="shared" si="45"/>
        <v>1.8401363172983856</v>
      </c>
      <c r="G3326" s="408">
        <v>543.43799999999999</v>
      </c>
      <c r="H3326" s="329" t="s">
        <v>198</v>
      </c>
      <c r="I3326" s="329" t="s">
        <v>3349</v>
      </c>
      <c r="J3326" s="243" t="s">
        <v>96</v>
      </c>
      <c r="K3326" s="243" t="s">
        <v>1906</v>
      </c>
      <c r="L3326" s="243" t="s">
        <v>153</v>
      </c>
    </row>
    <row r="3327" spans="1:12" ht="15.6" hidden="1">
      <c r="A3327" s="438">
        <v>45951</v>
      </c>
      <c r="B3327" s="329" t="s">
        <v>3335</v>
      </c>
      <c r="C3327" s="329" t="s">
        <v>172</v>
      </c>
      <c r="D3327" s="329" t="s">
        <v>115</v>
      </c>
      <c r="E3327" s="451">
        <v>1000</v>
      </c>
      <c r="F3327" s="407">
        <f t="shared" si="45"/>
        <v>1.8401363172983856</v>
      </c>
      <c r="G3327" s="408">
        <v>543.43799999999999</v>
      </c>
      <c r="H3327" s="329" t="s">
        <v>198</v>
      </c>
      <c r="I3327" s="329" t="s">
        <v>3349</v>
      </c>
      <c r="J3327" s="243" t="s">
        <v>96</v>
      </c>
      <c r="K3327" s="243" t="s">
        <v>1906</v>
      </c>
      <c r="L3327" s="243" t="s">
        <v>153</v>
      </c>
    </row>
    <row r="3328" spans="1:12" ht="15.6" hidden="1">
      <c r="A3328" s="438">
        <v>45951</v>
      </c>
      <c r="B3328" s="329" t="s">
        <v>3336</v>
      </c>
      <c r="C3328" s="329" t="s">
        <v>172</v>
      </c>
      <c r="D3328" s="329" t="s">
        <v>115</v>
      </c>
      <c r="E3328" s="451">
        <v>1500</v>
      </c>
      <c r="F3328" s="407">
        <f t="shared" si="45"/>
        <v>2.7602044759475781</v>
      </c>
      <c r="G3328" s="408">
        <v>543.43799999999999</v>
      </c>
      <c r="H3328" s="329" t="s">
        <v>198</v>
      </c>
      <c r="I3328" s="329" t="s">
        <v>3349</v>
      </c>
      <c r="J3328" s="243" t="s">
        <v>96</v>
      </c>
      <c r="K3328" s="243" t="s">
        <v>1906</v>
      </c>
      <c r="L3328" s="243" t="s">
        <v>153</v>
      </c>
    </row>
    <row r="3329" spans="1:12" ht="15.6" hidden="1">
      <c r="A3329" s="438">
        <v>45951</v>
      </c>
      <c r="B3329" s="331" t="s">
        <v>4759</v>
      </c>
      <c r="C3329" s="331" t="s">
        <v>175</v>
      </c>
      <c r="D3329" s="331" t="s">
        <v>119</v>
      </c>
      <c r="E3329" s="459">
        <v>45000</v>
      </c>
      <c r="F3329" s="407">
        <f t="shared" si="45"/>
        <v>82.806134278427351</v>
      </c>
      <c r="G3329" s="408">
        <v>543.43799999999999</v>
      </c>
      <c r="H3329" s="331" t="s">
        <v>182</v>
      </c>
      <c r="I3329" s="331" t="s">
        <v>3463</v>
      </c>
      <c r="J3329" s="243" t="s">
        <v>96</v>
      </c>
      <c r="K3329" s="243" t="s">
        <v>1906</v>
      </c>
      <c r="L3329" s="243" t="s">
        <v>153</v>
      </c>
    </row>
    <row r="3330" spans="1:12" ht="15.6" hidden="1">
      <c r="A3330" s="438">
        <v>45951</v>
      </c>
      <c r="B3330" s="331" t="s">
        <v>4773</v>
      </c>
      <c r="C3330" s="331" t="s">
        <v>172</v>
      </c>
      <c r="D3330" s="331" t="s">
        <v>119</v>
      </c>
      <c r="E3330" s="459">
        <v>12000</v>
      </c>
      <c r="F3330" s="407">
        <f t="shared" si="45"/>
        <v>22.081635807580625</v>
      </c>
      <c r="G3330" s="408">
        <v>543.43799999999999</v>
      </c>
      <c r="H3330" s="331" t="s">
        <v>182</v>
      </c>
      <c r="I3330" s="331" t="s">
        <v>3464</v>
      </c>
      <c r="J3330" s="243" t="s">
        <v>96</v>
      </c>
      <c r="K3330" s="243" t="s">
        <v>1906</v>
      </c>
      <c r="L3330" s="243" t="s">
        <v>153</v>
      </c>
    </row>
    <row r="3331" spans="1:12" ht="15.6" hidden="1">
      <c r="A3331" s="438">
        <v>45951</v>
      </c>
      <c r="B3331" s="331" t="s">
        <v>4894</v>
      </c>
      <c r="C3331" s="331" t="s">
        <v>172</v>
      </c>
      <c r="D3331" s="331" t="s">
        <v>119</v>
      </c>
      <c r="E3331" s="459">
        <v>700</v>
      </c>
      <c r="F3331" s="407">
        <f t="shared" ref="F3331:F3394" si="46">E3331/G3331</f>
        <v>1.2880954221088698</v>
      </c>
      <c r="G3331" s="408">
        <v>543.43799999999999</v>
      </c>
      <c r="H3331" s="331" t="s">
        <v>182</v>
      </c>
      <c r="I3331" s="331" t="s">
        <v>3447</v>
      </c>
      <c r="J3331" s="243" t="s">
        <v>96</v>
      </c>
      <c r="K3331" s="243" t="s">
        <v>1906</v>
      </c>
      <c r="L3331" s="243" t="s">
        <v>153</v>
      </c>
    </row>
    <row r="3332" spans="1:12" ht="15.6" hidden="1">
      <c r="A3332" s="438">
        <v>45951</v>
      </c>
      <c r="B3332" s="331" t="s">
        <v>4880</v>
      </c>
      <c r="C3332" s="331" t="s">
        <v>172</v>
      </c>
      <c r="D3332" s="331" t="s">
        <v>119</v>
      </c>
      <c r="E3332" s="459">
        <v>1500</v>
      </c>
      <c r="F3332" s="407">
        <f t="shared" si="46"/>
        <v>2.7602044759475781</v>
      </c>
      <c r="G3332" s="408">
        <v>543.43799999999999</v>
      </c>
      <c r="H3332" s="331" t="s">
        <v>182</v>
      </c>
      <c r="I3332" s="331" t="s">
        <v>3447</v>
      </c>
      <c r="J3332" s="243" t="s">
        <v>96</v>
      </c>
      <c r="K3332" s="243" t="s">
        <v>1906</v>
      </c>
      <c r="L3332" s="243" t="s">
        <v>153</v>
      </c>
    </row>
    <row r="3333" spans="1:12" ht="15.6" hidden="1">
      <c r="A3333" s="438">
        <v>45951</v>
      </c>
      <c r="B3333" s="423" t="s">
        <v>4888</v>
      </c>
      <c r="C3333" s="423" t="s">
        <v>172</v>
      </c>
      <c r="D3333" s="423" t="s">
        <v>119</v>
      </c>
      <c r="E3333" s="471">
        <v>500</v>
      </c>
      <c r="F3333" s="407">
        <f t="shared" si="46"/>
        <v>0.92006815864919278</v>
      </c>
      <c r="G3333" s="408">
        <v>543.43799999999999</v>
      </c>
      <c r="H3333" s="423" t="s">
        <v>173</v>
      </c>
      <c r="I3333" s="423" t="s">
        <v>3484</v>
      </c>
      <c r="J3333" s="243" t="s">
        <v>96</v>
      </c>
      <c r="K3333" s="243" t="s">
        <v>1906</v>
      </c>
      <c r="L3333" s="243" t="s">
        <v>153</v>
      </c>
    </row>
    <row r="3334" spans="1:12" ht="15.6" hidden="1">
      <c r="A3334" s="438">
        <v>45951</v>
      </c>
      <c r="B3334" s="423" t="s">
        <v>4888</v>
      </c>
      <c r="C3334" s="423" t="s">
        <v>172</v>
      </c>
      <c r="D3334" s="423" t="s">
        <v>119</v>
      </c>
      <c r="E3334" s="471">
        <v>500</v>
      </c>
      <c r="F3334" s="407">
        <f t="shared" si="46"/>
        <v>0.92006815864919278</v>
      </c>
      <c r="G3334" s="408">
        <v>543.43799999999999</v>
      </c>
      <c r="H3334" s="423" t="s">
        <v>173</v>
      </c>
      <c r="I3334" s="423" t="s">
        <v>3484</v>
      </c>
      <c r="J3334" s="243" t="s">
        <v>96</v>
      </c>
      <c r="K3334" s="243" t="s">
        <v>1906</v>
      </c>
      <c r="L3334" s="243" t="s">
        <v>153</v>
      </c>
    </row>
    <row r="3335" spans="1:12" ht="15.6" hidden="1">
      <c r="A3335" s="438">
        <v>45951</v>
      </c>
      <c r="B3335" s="423" t="s">
        <v>4888</v>
      </c>
      <c r="C3335" s="423" t="s">
        <v>172</v>
      </c>
      <c r="D3335" s="423" t="s">
        <v>119</v>
      </c>
      <c r="E3335" s="471">
        <v>500</v>
      </c>
      <c r="F3335" s="407">
        <f t="shared" si="46"/>
        <v>0.92006815864919278</v>
      </c>
      <c r="G3335" s="408">
        <v>543.43799999999999</v>
      </c>
      <c r="H3335" s="423" t="s">
        <v>173</v>
      </c>
      <c r="I3335" s="423" t="s">
        <v>3484</v>
      </c>
      <c r="J3335" s="243" t="s">
        <v>96</v>
      </c>
      <c r="K3335" s="243" t="s">
        <v>1906</v>
      </c>
      <c r="L3335" s="243" t="s">
        <v>153</v>
      </c>
    </row>
    <row r="3336" spans="1:12" ht="15.6" hidden="1">
      <c r="A3336" s="438">
        <v>45951</v>
      </c>
      <c r="B3336" s="423" t="s">
        <v>4896</v>
      </c>
      <c r="C3336" s="423" t="s">
        <v>172</v>
      </c>
      <c r="D3336" s="423" t="s">
        <v>119</v>
      </c>
      <c r="E3336" s="471">
        <v>500</v>
      </c>
      <c r="F3336" s="407">
        <f t="shared" si="46"/>
        <v>0.92006815864919278</v>
      </c>
      <c r="G3336" s="408">
        <v>543.43799999999999</v>
      </c>
      <c r="H3336" s="423" t="s">
        <v>173</v>
      </c>
      <c r="I3336" s="423" t="s">
        <v>3484</v>
      </c>
      <c r="J3336" s="243" t="s">
        <v>96</v>
      </c>
      <c r="K3336" s="243" t="s">
        <v>1906</v>
      </c>
      <c r="L3336" s="243" t="s">
        <v>153</v>
      </c>
    </row>
    <row r="3337" spans="1:12" ht="15.6" hidden="1">
      <c r="A3337" s="438">
        <v>45951</v>
      </c>
      <c r="B3337" s="423" t="s">
        <v>4888</v>
      </c>
      <c r="C3337" s="423" t="s">
        <v>172</v>
      </c>
      <c r="D3337" s="423" t="s">
        <v>119</v>
      </c>
      <c r="E3337" s="471">
        <v>500</v>
      </c>
      <c r="F3337" s="407">
        <f t="shared" si="46"/>
        <v>0.92006815864919278</v>
      </c>
      <c r="G3337" s="408">
        <v>543.43799999999999</v>
      </c>
      <c r="H3337" s="423" t="s">
        <v>173</v>
      </c>
      <c r="I3337" s="423" t="s">
        <v>3484</v>
      </c>
      <c r="J3337" s="243" t="s">
        <v>96</v>
      </c>
      <c r="K3337" s="243" t="s">
        <v>1906</v>
      </c>
      <c r="L3337" s="243" t="s">
        <v>153</v>
      </c>
    </row>
    <row r="3338" spans="1:12" ht="15.6" hidden="1">
      <c r="A3338" s="438">
        <v>45951</v>
      </c>
      <c r="B3338" s="423" t="s">
        <v>4966</v>
      </c>
      <c r="C3338" s="423" t="s">
        <v>366</v>
      </c>
      <c r="D3338" s="423" t="s">
        <v>119</v>
      </c>
      <c r="E3338" s="471">
        <v>1500</v>
      </c>
      <c r="F3338" s="407">
        <f t="shared" si="46"/>
        <v>2.7602044759475781</v>
      </c>
      <c r="G3338" s="408">
        <v>543.43799999999999</v>
      </c>
      <c r="H3338" s="423" t="s">
        <v>173</v>
      </c>
      <c r="I3338" s="423" t="s">
        <v>3485</v>
      </c>
      <c r="J3338" s="243" t="s">
        <v>96</v>
      </c>
      <c r="K3338" s="243" t="s">
        <v>1906</v>
      </c>
      <c r="L3338" s="243" t="s">
        <v>153</v>
      </c>
    </row>
    <row r="3339" spans="1:12" ht="15.6" hidden="1">
      <c r="A3339" s="438">
        <v>45951</v>
      </c>
      <c r="B3339" s="243" t="s">
        <v>4940</v>
      </c>
      <c r="C3339" s="243" t="s">
        <v>172</v>
      </c>
      <c r="D3339" s="243" t="s">
        <v>119</v>
      </c>
      <c r="E3339" s="460">
        <v>700</v>
      </c>
      <c r="F3339" s="407">
        <f t="shared" si="46"/>
        <v>1.2880954221088698</v>
      </c>
      <c r="G3339" s="408">
        <v>543.43799999999999</v>
      </c>
      <c r="H3339" s="243" t="s">
        <v>315</v>
      </c>
      <c r="I3339" s="243" t="s">
        <v>3510</v>
      </c>
      <c r="J3339" s="243" t="s">
        <v>96</v>
      </c>
      <c r="K3339" s="243" t="s">
        <v>1906</v>
      </c>
      <c r="L3339" s="243" t="s">
        <v>153</v>
      </c>
    </row>
    <row r="3340" spans="1:12" ht="15.6" hidden="1">
      <c r="A3340" s="438">
        <v>45951</v>
      </c>
      <c r="B3340" s="243" t="s">
        <v>4797</v>
      </c>
      <c r="C3340" s="243" t="s">
        <v>172</v>
      </c>
      <c r="D3340" s="243" t="s">
        <v>119</v>
      </c>
      <c r="E3340" s="462">
        <v>2000</v>
      </c>
      <c r="F3340" s="407">
        <f t="shared" si="46"/>
        <v>3.6802726345967711</v>
      </c>
      <c r="G3340" s="408">
        <v>543.43799999999999</v>
      </c>
      <c r="H3340" s="243" t="s">
        <v>315</v>
      </c>
      <c r="I3340" s="243" t="s">
        <v>3518</v>
      </c>
      <c r="J3340" s="243" t="s">
        <v>96</v>
      </c>
      <c r="K3340" s="243" t="s">
        <v>1906</v>
      </c>
      <c r="L3340" s="243" t="s">
        <v>153</v>
      </c>
    </row>
    <row r="3341" spans="1:12" ht="15.6" hidden="1">
      <c r="A3341" s="438">
        <v>45951</v>
      </c>
      <c r="B3341" s="243" t="s">
        <v>4888</v>
      </c>
      <c r="C3341" s="243" t="s">
        <v>172</v>
      </c>
      <c r="D3341" s="243" t="s">
        <v>119</v>
      </c>
      <c r="E3341" s="460">
        <v>500</v>
      </c>
      <c r="F3341" s="407">
        <f t="shared" si="46"/>
        <v>0.92006815864919278</v>
      </c>
      <c r="G3341" s="408">
        <v>543.43799999999999</v>
      </c>
      <c r="H3341" s="243" t="s">
        <v>315</v>
      </c>
      <c r="I3341" s="243" t="s">
        <v>3510</v>
      </c>
      <c r="J3341" s="243" t="s">
        <v>96</v>
      </c>
      <c r="K3341" s="243" t="s">
        <v>1906</v>
      </c>
      <c r="L3341" s="243" t="s">
        <v>153</v>
      </c>
    </row>
    <row r="3342" spans="1:12" ht="15.6" hidden="1">
      <c r="A3342" s="438">
        <v>45951</v>
      </c>
      <c r="B3342" s="243" t="s">
        <v>4888</v>
      </c>
      <c r="C3342" s="243" t="s">
        <v>172</v>
      </c>
      <c r="D3342" s="243" t="s">
        <v>119</v>
      </c>
      <c r="E3342" s="460">
        <v>500</v>
      </c>
      <c r="F3342" s="407">
        <f t="shared" si="46"/>
        <v>0.92006815864919278</v>
      </c>
      <c r="G3342" s="408">
        <v>543.43799999999999</v>
      </c>
      <c r="H3342" s="243" t="s">
        <v>315</v>
      </c>
      <c r="I3342" s="243" t="s">
        <v>3510</v>
      </c>
      <c r="J3342" s="243" t="s">
        <v>96</v>
      </c>
      <c r="K3342" s="243" t="s">
        <v>1906</v>
      </c>
      <c r="L3342" s="243" t="s">
        <v>153</v>
      </c>
    </row>
    <row r="3343" spans="1:12" ht="15.6" hidden="1">
      <c r="A3343" s="438">
        <v>45951</v>
      </c>
      <c r="B3343" s="243" t="s">
        <v>4888</v>
      </c>
      <c r="C3343" s="243" t="s">
        <v>172</v>
      </c>
      <c r="D3343" s="243" t="s">
        <v>119</v>
      </c>
      <c r="E3343" s="460">
        <v>500</v>
      </c>
      <c r="F3343" s="407">
        <f t="shared" si="46"/>
        <v>0.92006815864919278</v>
      </c>
      <c r="G3343" s="408">
        <v>543.43799999999999</v>
      </c>
      <c r="H3343" s="243" t="s">
        <v>315</v>
      </c>
      <c r="I3343" s="243" t="s">
        <v>3510</v>
      </c>
      <c r="J3343" s="243" t="s">
        <v>96</v>
      </c>
      <c r="K3343" s="243" t="s">
        <v>1906</v>
      </c>
      <c r="L3343" s="243" t="s">
        <v>153</v>
      </c>
    </row>
    <row r="3344" spans="1:12" ht="15.6" hidden="1">
      <c r="A3344" s="438">
        <v>45951</v>
      </c>
      <c r="B3344" s="243" t="s">
        <v>4749</v>
      </c>
      <c r="C3344" s="243" t="s">
        <v>172</v>
      </c>
      <c r="D3344" s="243" t="s">
        <v>119</v>
      </c>
      <c r="E3344" s="462">
        <v>2000</v>
      </c>
      <c r="F3344" s="407">
        <f t="shared" si="46"/>
        <v>3.6802726345967711</v>
      </c>
      <c r="G3344" s="408">
        <v>543.43799999999999</v>
      </c>
      <c r="H3344" s="243" t="s">
        <v>315</v>
      </c>
      <c r="I3344" s="243" t="s">
        <v>3519</v>
      </c>
      <c r="J3344" s="243" t="s">
        <v>96</v>
      </c>
      <c r="K3344" s="243" t="s">
        <v>1906</v>
      </c>
      <c r="L3344" s="243" t="s">
        <v>153</v>
      </c>
    </row>
    <row r="3345" spans="1:12" ht="15.6" hidden="1">
      <c r="A3345" s="438">
        <v>45951</v>
      </c>
      <c r="B3345" s="243" t="s">
        <v>4940</v>
      </c>
      <c r="C3345" s="243" t="s">
        <v>172</v>
      </c>
      <c r="D3345" s="243" t="s">
        <v>119</v>
      </c>
      <c r="E3345" s="460">
        <v>700</v>
      </c>
      <c r="F3345" s="407">
        <f t="shared" si="46"/>
        <v>1.2880954221088698</v>
      </c>
      <c r="G3345" s="408">
        <v>543.43799999999999</v>
      </c>
      <c r="H3345" s="243" t="s">
        <v>315</v>
      </c>
      <c r="I3345" s="243" t="s">
        <v>3510</v>
      </c>
      <c r="J3345" s="243" t="s">
        <v>96</v>
      </c>
      <c r="K3345" s="243" t="s">
        <v>1906</v>
      </c>
      <c r="L3345" s="243" t="s">
        <v>153</v>
      </c>
    </row>
    <row r="3346" spans="1:12" ht="15.6" hidden="1">
      <c r="A3346" s="438">
        <v>45951</v>
      </c>
      <c r="B3346" s="243" t="s">
        <v>4970</v>
      </c>
      <c r="C3346" s="243" t="s">
        <v>2394</v>
      </c>
      <c r="D3346" s="243" t="s">
        <v>119</v>
      </c>
      <c r="E3346" s="457">
        <v>45000</v>
      </c>
      <c r="F3346" s="407">
        <f t="shared" si="46"/>
        <v>82.806134278427351</v>
      </c>
      <c r="G3346" s="408">
        <v>543.43799999999999</v>
      </c>
      <c r="H3346" s="243" t="s">
        <v>321</v>
      </c>
      <c r="I3346" s="243" t="s">
        <v>3541</v>
      </c>
      <c r="J3346" s="243" t="s">
        <v>96</v>
      </c>
      <c r="K3346" s="243" t="s">
        <v>1906</v>
      </c>
      <c r="L3346" s="243" t="s">
        <v>153</v>
      </c>
    </row>
    <row r="3347" spans="1:12" ht="15.6" hidden="1">
      <c r="A3347" s="438">
        <v>45951</v>
      </c>
      <c r="B3347" s="243" t="s">
        <v>4752</v>
      </c>
      <c r="C3347" s="243" t="s">
        <v>172</v>
      </c>
      <c r="D3347" s="243" t="s">
        <v>119</v>
      </c>
      <c r="E3347" s="457">
        <v>10000</v>
      </c>
      <c r="F3347" s="407">
        <f t="shared" si="46"/>
        <v>18.401363172983856</v>
      </c>
      <c r="G3347" s="408">
        <v>543.43799999999999</v>
      </c>
      <c r="H3347" s="243" t="s">
        <v>321</v>
      </c>
      <c r="I3347" s="243" t="s">
        <v>3542</v>
      </c>
      <c r="J3347" s="243" t="s">
        <v>96</v>
      </c>
      <c r="K3347" s="243" t="s">
        <v>1906</v>
      </c>
      <c r="L3347" s="243" t="s">
        <v>153</v>
      </c>
    </row>
    <row r="3348" spans="1:12" ht="15.6" hidden="1">
      <c r="A3348" s="438">
        <v>45951</v>
      </c>
      <c r="B3348" s="243" t="s">
        <v>4967</v>
      </c>
      <c r="C3348" s="243" t="s">
        <v>172</v>
      </c>
      <c r="D3348" s="243" t="s">
        <v>119</v>
      </c>
      <c r="E3348" s="457">
        <v>500</v>
      </c>
      <c r="F3348" s="407">
        <f t="shared" si="46"/>
        <v>0.92006815864919278</v>
      </c>
      <c r="G3348" s="408">
        <v>543.43799999999999</v>
      </c>
      <c r="H3348" s="243" t="s">
        <v>321</v>
      </c>
      <c r="I3348" s="243" t="s">
        <v>3533</v>
      </c>
      <c r="J3348" s="243" t="s">
        <v>96</v>
      </c>
      <c r="K3348" s="243" t="s">
        <v>1906</v>
      </c>
      <c r="L3348" s="243" t="s">
        <v>153</v>
      </c>
    </row>
    <row r="3349" spans="1:12" ht="15.6" hidden="1">
      <c r="A3349" s="438">
        <v>45951</v>
      </c>
      <c r="B3349" s="243" t="s">
        <v>4967</v>
      </c>
      <c r="C3349" s="243" t="s">
        <v>172</v>
      </c>
      <c r="D3349" s="243" t="s">
        <v>119</v>
      </c>
      <c r="E3349" s="457">
        <v>500</v>
      </c>
      <c r="F3349" s="407">
        <f t="shared" si="46"/>
        <v>0.92006815864919278</v>
      </c>
      <c r="G3349" s="408">
        <v>543.43799999999999</v>
      </c>
      <c r="H3349" s="243" t="s">
        <v>321</v>
      </c>
      <c r="I3349" s="243" t="s">
        <v>3533</v>
      </c>
      <c r="J3349" s="243" t="s">
        <v>96</v>
      </c>
      <c r="K3349" s="243" t="s">
        <v>1906</v>
      </c>
      <c r="L3349" s="243" t="s">
        <v>153</v>
      </c>
    </row>
    <row r="3350" spans="1:12" ht="15.6" hidden="1">
      <c r="A3350" s="438">
        <v>45951</v>
      </c>
      <c r="B3350" s="243" t="s">
        <v>3554</v>
      </c>
      <c r="C3350" s="243" t="s">
        <v>172</v>
      </c>
      <c r="D3350" s="243" t="s">
        <v>115</v>
      </c>
      <c r="E3350" s="463">
        <v>1000</v>
      </c>
      <c r="F3350" s="407">
        <f t="shared" si="46"/>
        <v>1.8401363172983856</v>
      </c>
      <c r="G3350" s="408">
        <v>543.43799999999999</v>
      </c>
      <c r="H3350" s="243" t="s">
        <v>188</v>
      </c>
      <c r="I3350" s="243" t="s">
        <v>3594</v>
      </c>
      <c r="J3350" s="243" t="s">
        <v>96</v>
      </c>
      <c r="K3350" s="243" t="s">
        <v>1906</v>
      </c>
      <c r="L3350" s="243" t="s">
        <v>153</v>
      </c>
    </row>
    <row r="3351" spans="1:12" ht="15.6" hidden="1">
      <c r="A3351" s="438">
        <v>45951</v>
      </c>
      <c r="B3351" s="243" t="s">
        <v>3555</v>
      </c>
      <c r="C3351" s="243" t="s">
        <v>172</v>
      </c>
      <c r="D3351" s="243" t="s">
        <v>115</v>
      </c>
      <c r="E3351" s="463">
        <v>1500</v>
      </c>
      <c r="F3351" s="407">
        <f t="shared" si="46"/>
        <v>2.7602044759475781</v>
      </c>
      <c r="G3351" s="408">
        <v>543.43799999999999</v>
      </c>
      <c r="H3351" s="243" t="s">
        <v>188</v>
      </c>
      <c r="I3351" s="243" t="s">
        <v>3594</v>
      </c>
      <c r="J3351" s="243" t="s">
        <v>96</v>
      </c>
      <c r="K3351" s="243" t="s">
        <v>1906</v>
      </c>
      <c r="L3351" s="243" t="s">
        <v>153</v>
      </c>
    </row>
    <row r="3352" spans="1:12" ht="15.6" hidden="1">
      <c r="A3352" s="438">
        <v>45951</v>
      </c>
      <c r="B3352" s="243" t="s">
        <v>3556</v>
      </c>
      <c r="C3352" s="243" t="s">
        <v>172</v>
      </c>
      <c r="D3352" s="243" t="s">
        <v>115</v>
      </c>
      <c r="E3352" s="463">
        <v>1500</v>
      </c>
      <c r="F3352" s="407">
        <f t="shared" si="46"/>
        <v>2.7602044759475781</v>
      </c>
      <c r="G3352" s="408">
        <v>543.43799999999999</v>
      </c>
      <c r="H3352" s="243" t="s">
        <v>188</v>
      </c>
      <c r="I3352" s="243" t="s">
        <v>3594</v>
      </c>
      <c r="J3352" s="243" t="s">
        <v>96</v>
      </c>
      <c r="K3352" s="243" t="s">
        <v>1906</v>
      </c>
      <c r="L3352" s="243" t="s">
        <v>153</v>
      </c>
    </row>
    <row r="3353" spans="1:12" ht="15.6" hidden="1">
      <c r="A3353" s="438">
        <v>45951</v>
      </c>
      <c r="B3353" s="243" t="s">
        <v>3557</v>
      </c>
      <c r="C3353" s="243" t="s">
        <v>172</v>
      </c>
      <c r="D3353" s="243" t="s">
        <v>115</v>
      </c>
      <c r="E3353" s="463">
        <v>2000</v>
      </c>
      <c r="F3353" s="407">
        <f t="shared" si="46"/>
        <v>3.6802726345967711</v>
      </c>
      <c r="G3353" s="408">
        <v>543.43799999999999</v>
      </c>
      <c r="H3353" s="243" t="s">
        <v>188</v>
      </c>
      <c r="I3353" s="243" t="s">
        <v>3594</v>
      </c>
      <c r="J3353" s="243" t="s">
        <v>96</v>
      </c>
      <c r="K3353" s="243" t="s">
        <v>1906</v>
      </c>
      <c r="L3353" s="243" t="s">
        <v>153</v>
      </c>
    </row>
    <row r="3354" spans="1:12" ht="15.6" hidden="1">
      <c r="A3354" s="438">
        <v>45951</v>
      </c>
      <c r="B3354" s="243" t="s">
        <v>3558</v>
      </c>
      <c r="C3354" s="243" t="s">
        <v>172</v>
      </c>
      <c r="D3354" s="243" t="s">
        <v>115</v>
      </c>
      <c r="E3354" s="463">
        <v>1500</v>
      </c>
      <c r="F3354" s="407">
        <f t="shared" si="46"/>
        <v>2.7602044759475781</v>
      </c>
      <c r="G3354" s="408">
        <v>543.43799999999999</v>
      </c>
      <c r="H3354" s="243" t="s">
        <v>188</v>
      </c>
      <c r="I3354" s="243" t="s">
        <v>3594</v>
      </c>
      <c r="J3354" s="243" t="s">
        <v>96</v>
      </c>
      <c r="K3354" s="243" t="s">
        <v>1906</v>
      </c>
      <c r="L3354" s="243" t="s">
        <v>153</v>
      </c>
    </row>
    <row r="3355" spans="1:12" ht="15.6" hidden="1">
      <c r="A3355" s="438">
        <v>45951</v>
      </c>
      <c r="B3355" s="243" t="s">
        <v>3559</v>
      </c>
      <c r="C3355" s="243" t="s">
        <v>172</v>
      </c>
      <c r="D3355" s="243" t="s">
        <v>115</v>
      </c>
      <c r="E3355" s="463">
        <v>1500</v>
      </c>
      <c r="F3355" s="407">
        <f t="shared" si="46"/>
        <v>2.7602044759475781</v>
      </c>
      <c r="G3355" s="408">
        <v>543.43799999999999</v>
      </c>
      <c r="H3355" s="243" t="s">
        <v>188</v>
      </c>
      <c r="I3355" s="243" t="s">
        <v>3594</v>
      </c>
      <c r="J3355" s="243" t="s">
        <v>96</v>
      </c>
      <c r="K3355" s="243" t="s">
        <v>1906</v>
      </c>
      <c r="L3355" s="243" t="s">
        <v>153</v>
      </c>
    </row>
    <row r="3356" spans="1:12" ht="15.6" hidden="1">
      <c r="A3356" s="438">
        <v>45951</v>
      </c>
      <c r="B3356" s="243" t="s">
        <v>3560</v>
      </c>
      <c r="C3356" s="243" t="s">
        <v>172</v>
      </c>
      <c r="D3356" s="243" t="s">
        <v>115</v>
      </c>
      <c r="E3356" s="463">
        <v>2000</v>
      </c>
      <c r="F3356" s="407">
        <f t="shared" si="46"/>
        <v>3.6802726345967711</v>
      </c>
      <c r="G3356" s="408">
        <v>543.43799999999999</v>
      </c>
      <c r="H3356" s="243" t="s">
        <v>188</v>
      </c>
      <c r="I3356" s="243" t="s">
        <v>3594</v>
      </c>
      <c r="J3356" s="243" t="s">
        <v>96</v>
      </c>
      <c r="K3356" s="243" t="s">
        <v>1906</v>
      </c>
      <c r="L3356" s="243" t="s">
        <v>153</v>
      </c>
    </row>
    <row r="3357" spans="1:12" ht="15.6" hidden="1">
      <c r="A3357" s="438">
        <v>45951</v>
      </c>
      <c r="B3357" s="243" t="s">
        <v>3007</v>
      </c>
      <c r="C3357" s="243" t="s">
        <v>170</v>
      </c>
      <c r="D3357" s="243" t="s">
        <v>116</v>
      </c>
      <c r="E3357" s="463">
        <v>31250</v>
      </c>
      <c r="F3357" s="407">
        <f t="shared" si="46"/>
        <v>57.504259915574544</v>
      </c>
      <c r="G3357" s="408">
        <v>543.43799999999999</v>
      </c>
      <c r="H3357" s="243" t="s">
        <v>188</v>
      </c>
      <c r="I3357" s="455" t="s">
        <v>3601</v>
      </c>
      <c r="J3357" s="243" t="s">
        <v>96</v>
      </c>
      <c r="K3357" s="243" t="s">
        <v>1906</v>
      </c>
      <c r="L3357" s="243" t="s">
        <v>153</v>
      </c>
    </row>
    <row r="3358" spans="1:12" ht="15.6" hidden="1">
      <c r="A3358" s="438">
        <v>45951</v>
      </c>
      <c r="B3358" s="243" t="s">
        <v>3628</v>
      </c>
      <c r="C3358" s="243" t="s">
        <v>172</v>
      </c>
      <c r="D3358" s="243" t="s">
        <v>115</v>
      </c>
      <c r="E3358" s="463">
        <v>1500</v>
      </c>
      <c r="F3358" s="407">
        <f t="shared" si="46"/>
        <v>2.7602044759475781</v>
      </c>
      <c r="G3358" s="408">
        <v>543.43799999999999</v>
      </c>
      <c r="H3358" s="243" t="s">
        <v>191</v>
      </c>
      <c r="I3358" s="243" t="s">
        <v>3665</v>
      </c>
      <c r="J3358" s="243" t="s">
        <v>96</v>
      </c>
      <c r="K3358" s="243" t="s">
        <v>1906</v>
      </c>
      <c r="L3358" s="243" t="s">
        <v>153</v>
      </c>
    </row>
    <row r="3359" spans="1:12" ht="15.6" hidden="1">
      <c r="A3359" s="438">
        <v>45951</v>
      </c>
      <c r="B3359" s="243" t="s">
        <v>3629</v>
      </c>
      <c r="C3359" s="243" t="s">
        <v>172</v>
      </c>
      <c r="D3359" s="243" t="s">
        <v>115</v>
      </c>
      <c r="E3359" s="463">
        <v>1500</v>
      </c>
      <c r="F3359" s="407">
        <f t="shared" si="46"/>
        <v>2.7602044759475781</v>
      </c>
      <c r="G3359" s="408">
        <v>543.43799999999999</v>
      </c>
      <c r="H3359" s="243" t="s">
        <v>191</v>
      </c>
      <c r="I3359" s="243" t="s">
        <v>3665</v>
      </c>
      <c r="J3359" s="243" t="s">
        <v>96</v>
      </c>
      <c r="K3359" s="243" t="s">
        <v>1906</v>
      </c>
      <c r="L3359" s="243" t="s">
        <v>153</v>
      </c>
    </row>
    <row r="3360" spans="1:12" ht="15.6" hidden="1">
      <c r="A3360" s="438">
        <v>45951</v>
      </c>
      <c r="B3360" s="243" t="s">
        <v>3630</v>
      </c>
      <c r="C3360" s="243" t="s">
        <v>172</v>
      </c>
      <c r="D3360" s="243" t="s">
        <v>115</v>
      </c>
      <c r="E3360" s="463">
        <v>1000</v>
      </c>
      <c r="F3360" s="407">
        <f t="shared" si="46"/>
        <v>1.8401363172983856</v>
      </c>
      <c r="G3360" s="408">
        <v>543.43799999999999</v>
      </c>
      <c r="H3360" s="243" t="s">
        <v>191</v>
      </c>
      <c r="I3360" s="243" t="s">
        <v>3665</v>
      </c>
      <c r="J3360" s="243" t="s">
        <v>96</v>
      </c>
      <c r="K3360" s="243" t="s">
        <v>1906</v>
      </c>
      <c r="L3360" s="243" t="s">
        <v>153</v>
      </c>
    </row>
    <row r="3361" spans="1:12" ht="15.6" hidden="1">
      <c r="A3361" s="438">
        <v>45951</v>
      </c>
      <c r="B3361" s="243" t="s">
        <v>3631</v>
      </c>
      <c r="C3361" s="243" t="s">
        <v>172</v>
      </c>
      <c r="D3361" s="243" t="s">
        <v>115</v>
      </c>
      <c r="E3361" s="463">
        <v>1500</v>
      </c>
      <c r="F3361" s="407">
        <f t="shared" si="46"/>
        <v>2.7602044759475781</v>
      </c>
      <c r="G3361" s="408">
        <v>543.43799999999999</v>
      </c>
      <c r="H3361" s="243" t="s">
        <v>191</v>
      </c>
      <c r="I3361" s="243" t="s">
        <v>3665</v>
      </c>
      <c r="J3361" s="243" t="s">
        <v>96</v>
      </c>
      <c r="K3361" s="243" t="s">
        <v>1906</v>
      </c>
      <c r="L3361" s="243" t="s">
        <v>153</v>
      </c>
    </row>
    <row r="3362" spans="1:12" ht="15.6" hidden="1">
      <c r="A3362" s="438">
        <v>45951</v>
      </c>
      <c r="B3362" s="243" t="s">
        <v>3632</v>
      </c>
      <c r="C3362" s="243" t="s">
        <v>172</v>
      </c>
      <c r="D3362" s="243" t="s">
        <v>115</v>
      </c>
      <c r="E3362" s="463">
        <v>1500</v>
      </c>
      <c r="F3362" s="407">
        <f t="shared" si="46"/>
        <v>2.7602044759475781</v>
      </c>
      <c r="G3362" s="408">
        <v>543.43799999999999</v>
      </c>
      <c r="H3362" s="243" t="s">
        <v>191</v>
      </c>
      <c r="I3362" s="243" t="s">
        <v>3665</v>
      </c>
      <c r="J3362" s="243" t="s">
        <v>96</v>
      </c>
      <c r="K3362" s="243" t="s">
        <v>1906</v>
      </c>
      <c r="L3362" s="243" t="s">
        <v>153</v>
      </c>
    </row>
    <row r="3363" spans="1:12" ht="15.6" hidden="1">
      <c r="A3363" s="438">
        <v>45951</v>
      </c>
      <c r="B3363" s="243" t="s">
        <v>3007</v>
      </c>
      <c r="C3363" s="243" t="s">
        <v>170</v>
      </c>
      <c r="D3363" s="243" t="s">
        <v>116</v>
      </c>
      <c r="E3363" s="463">
        <v>31250</v>
      </c>
      <c r="F3363" s="407">
        <f t="shared" si="46"/>
        <v>57.504259915574544</v>
      </c>
      <c r="G3363" s="408">
        <v>543.43799999999999</v>
      </c>
      <c r="H3363" s="243" t="s">
        <v>191</v>
      </c>
      <c r="I3363" s="455" t="s">
        <v>3675</v>
      </c>
      <c r="J3363" s="243" t="s">
        <v>96</v>
      </c>
      <c r="K3363" s="243" t="s">
        <v>1906</v>
      </c>
      <c r="L3363" s="243" t="s">
        <v>153</v>
      </c>
    </row>
    <row r="3364" spans="1:12" ht="15.6" hidden="1">
      <c r="A3364" s="438">
        <v>45951</v>
      </c>
      <c r="B3364" s="243" t="s">
        <v>3742</v>
      </c>
      <c r="C3364" s="239" t="s">
        <v>194</v>
      </c>
      <c r="D3364" s="239" t="s">
        <v>115</v>
      </c>
      <c r="E3364" s="457">
        <v>1000</v>
      </c>
      <c r="F3364" s="407">
        <f t="shared" si="46"/>
        <v>1.8401363172983856</v>
      </c>
      <c r="G3364" s="408">
        <v>543.43799999999999</v>
      </c>
      <c r="H3364" s="239" t="s">
        <v>195</v>
      </c>
      <c r="I3364" s="243" t="s">
        <v>3747</v>
      </c>
      <c r="J3364" s="243" t="s">
        <v>96</v>
      </c>
      <c r="K3364" s="243" t="s">
        <v>1906</v>
      </c>
      <c r="L3364" s="243" t="s">
        <v>153</v>
      </c>
    </row>
    <row r="3365" spans="1:12" ht="15.6" hidden="1">
      <c r="A3365" s="438">
        <v>45951</v>
      </c>
      <c r="B3365" s="243" t="s">
        <v>3743</v>
      </c>
      <c r="C3365" s="239" t="s">
        <v>194</v>
      </c>
      <c r="D3365" s="239" t="s">
        <v>115</v>
      </c>
      <c r="E3365" s="457">
        <v>1000</v>
      </c>
      <c r="F3365" s="407">
        <f t="shared" si="46"/>
        <v>1.8401363172983856</v>
      </c>
      <c r="G3365" s="408">
        <v>543.43799999999999</v>
      </c>
      <c r="H3365" s="239" t="s">
        <v>195</v>
      </c>
      <c r="I3365" s="243" t="s">
        <v>3747</v>
      </c>
      <c r="J3365" s="243" t="s">
        <v>96</v>
      </c>
      <c r="K3365" s="243" t="s">
        <v>1906</v>
      </c>
      <c r="L3365" s="243" t="s">
        <v>153</v>
      </c>
    </row>
    <row r="3366" spans="1:12" ht="15.6" hidden="1">
      <c r="A3366" s="438">
        <v>45951</v>
      </c>
      <c r="B3366" s="423" t="s">
        <v>3852</v>
      </c>
      <c r="C3366" s="423" t="s">
        <v>3853</v>
      </c>
      <c r="D3366" s="423" t="s">
        <v>116</v>
      </c>
      <c r="E3366" s="464">
        <v>27000</v>
      </c>
      <c r="F3366" s="407">
        <f t="shared" si="46"/>
        <v>49.683680567056406</v>
      </c>
      <c r="G3366" s="408">
        <v>543.43799999999999</v>
      </c>
      <c r="H3366" s="423" t="s">
        <v>211</v>
      </c>
      <c r="I3366" s="456" t="s">
        <v>3926</v>
      </c>
      <c r="J3366" s="243" t="s">
        <v>96</v>
      </c>
      <c r="K3366" s="243" t="s">
        <v>1906</v>
      </c>
      <c r="L3366" s="243" t="s">
        <v>153</v>
      </c>
    </row>
    <row r="3367" spans="1:12" ht="15.6" hidden="1">
      <c r="A3367" s="438">
        <v>45951</v>
      </c>
      <c r="B3367" s="461" t="s">
        <v>3854</v>
      </c>
      <c r="C3367" s="439" t="s">
        <v>172</v>
      </c>
      <c r="D3367" s="461" t="s">
        <v>118</v>
      </c>
      <c r="E3367" s="464">
        <v>1000</v>
      </c>
      <c r="F3367" s="407">
        <f t="shared" si="46"/>
        <v>1.8401363172983856</v>
      </c>
      <c r="G3367" s="408">
        <v>543.43799999999999</v>
      </c>
      <c r="H3367" s="461" t="s">
        <v>211</v>
      </c>
      <c r="I3367" s="461" t="s">
        <v>3910</v>
      </c>
      <c r="J3367" s="243" t="s">
        <v>96</v>
      </c>
      <c r="K3367" s="243" t="s">
        <v>1906</v>
      </c>
      <c r="L3367" s="243" t="s">
        <v>153</v>
      </c>
    </row>
    <row r="3368" spans="1:12" ht="15.6" hidden="1">
      <c r="A3368" s="438">
        <v>45951</v>
      </c>
      <c r="B3368" s="461" t="s">
        <v>3855</v>
      </c>
      <c r="C3368" s="439" t="s">
        <v>172</v>
      </c>
      <c r="D3368" s="461" t="s">
        <v>118</v>
      </c>
      <c r="E3368" s="464">
        <v>1000</v>
      </c>
      <c r="F3368" s="407">
        <f t="shared" si="46"/>
        <v>1.8401363172983856</v>
      </c>
      <c r="G3368" s="408">
        <v>543.43799999999999</v>
      </c>
      <c r="H3368" s="461" t="s">
        <v>211</v>
      </c>
      <c r="I3368" s="461" t="s">
        <v>3910</v>
      </c>
      <c r="J3368" s="243" t="s">
        <v>96</v>
      </c>
      <c r="K3368" s="243" t="s">
        <v>1906</v>
      </c>
      <c r="L3368" s="243" t="s">
        <v>153</v>
      </c>
    </row>
    <row r="3369" spans="1:12" ht="15.6" hidden="1">
      <c r="A3369" s="438">
        <v>45951</v>
      </c>
      <c r="B3369" s="461" t="s">
        <v>3856</v>
      </c>
      <c r="C3369" s="439" t="s">
        <v>172</v>
      </c>
      <c r="D3369" s="461" t="s">
        <v>118</v>
      </c>
      <c r="E3369" s="464">
        <v>1000</v>
      </c>
      <c r="F3369" s="407">
        <f t="shared" si="46"/>
        <v>1.8401363172983856</v>
      </c>
      <c r="G3369" s="408">
        <v>543.43799999999999</v>
      </c>
      <c r="H3369" s="461" t="s">
        <v>211</v>
      </c>
      <c r="I3369" s="461" t="s">
        <v>3910</v>
      </c>
      <c r="J3369" s="243" t="s">
        <v>96</v>
      </c>
      <c r="K3369" s="243" t="s">
        <v>1906</v>
      </c>
      <c r="L3369" s="243" t="s">
        <v>153</v>
      </c>
    </row>
    <row r="3370" spans="1:12" ht="15.6" hidden="1">
      <c r="A3370" s="438">
        <v>45951</v>
      </c>
      <c r="B3370" s="461" t="s">
        <v>3857</v>
      </c>
      <c r="C3370" s="439" t="s">
        <v>172</v>
      </c>
      <c r="D3370" s="461" t="s">
        <v>118</v>
      </c>
      <c r="E3370" s="464">
        <v>1000</v>
      </c>
      <c r="F3370" s="407">
        <f t="shared" si="46"/>
        <v>1.8401363172983856</v>
      </c>
      <c r="G3370" s="408">
        <v>543.43799999999999</v>
      </c>
      <c r="H3370" s="461" t="s">
        <v>211</v>
      </c>
      <c r="I3370" s="461" t="s">
        <v>3910</v>
      </c>
      <c r="J3370" s="243" t="s">
        <v>96</v>
      </c>
      <c r="K3370" s="243" t="s">
        <v>1906</v>
      </c>
      <c r="L3370" s="243" t="s">
        <v>153</v>
      </c>
    </row>
    <row r="3371" spans="1:12" ht="15.6" hidden="1">
      <c r="A3371" s="438">
        <v>45951</v>
      </c>
      <c r="B3371" s="461" t="s">
        <v>3858</v>
      </c>
      <c r="C3371" s="439" t="s">
        <v>172</v>
      </c>
      <c r="D3371" s="461" t="s">
        <v>118</v>
      </c>
      <c r="E3371" s="464">
        <v>1000</v>
      </c>
      <c r="F3371" s="407">
        <f t="shared" si="46"/>
        <v>1.8401363172983856</v>
      </c>
      <c r="G3371" s="408">
        <v>543.43799999999999</v>
      </c>
      <c r="H3371" s="461" t="s">
        <v>211</v>
      </c>
      <c r="I3371" s="461" t="s">
        <v>3910</v>
      </c>
      <c r="J3371" s="243" t="s">
        <v>96</v>
      </c>
      <c r="K3371" s="243" t="s">
        <v>1906</v>
      </c>
      <c r="L3371" s="243" t="s">
        <v>153</v>
      </c>
    </row>
    <row r="3372" spans="1:12" ht="15.6" hidden="1">
      <c r="A3372" s="438">
        <v>45951</v>
      </c>
      <c r="B3372" s="461" t="s">
        <v>3859</v>
      </c>
      <c r="C3372" s="439" t="s">
        <v>172</v>
      </c>
      <c r="D3372" s="461" t="s">
        <v>118</v>
      </c>
      <c r="E3372" s="464">
        <v>1000</v>
      </c>
      <c r="F3372" s="407">
        <f t="shared" si="46"/>
        <v>1.8401363172983856</v>
      </c>
      <c r="G3372" s="408">
        <v>543.43799999999999</v>
      </c>
      <c r="H3372" s="461" t="s">
        <v>211</v>
      </c>
      <c r="I3372" s="461" t="s">
        <v>3910</v>
      </c>
      <c r="J3372" s="243" t="s">
        <v>96</v>
      </c>
      <c r="K3372" s="243" t="s">
        <v>1906</v>
      </c>
      <c r="L3372" s="243" t="s">
        <v>153</v>
      </c>
    </row>
    <row r="3373" spans="1:12" ht="15.6" hidden="1">
      <c r="A3373" s="438">
        <v>45951</v>
      </c>
      <c r="B3373" s="461" t="s">
        <v>3145</v>
      </c>
      <c r="C3373" s="439" t="s">
        <v>172</v>
      </c>
      <c r="D3373" s="461" t="s">
        <v>118</v>
      </c>
      <c r="E3373" s="464">
        <v>1000</v>
      </c>
      <c r="F3373" s="407">
        <f t="shared" si="46"/>
        <v>1.8401363172983856</v>
      </c>
      <c r="G3373" s="408">
        <v>543.43799999999999</v>
      </c>
      <c r="H3373" s="461" t="s">
        <v>211</v>
      </c>
      <c r="I3373" s="461" t="s">
        <v>3910</v>
      </c>
      <c r="J3373" s="243" t="s">
        <v>96</v>
      </c>
      <c r="K3373" s="243" t="s">
        <v>1906</v>
      </c>
      <c r="L3373" s="243" t="s">
        <v>153</v>
      </c>
    </row>
    <row r="3374" spans="1:12" ht="15.6" hidden="1">
      <c r="A3374" s="438">
        <v>45951</v>
      </c>
      <c r="B3374" s="423" t="s">
        <v>3967</v>
      </c>
      <c r="C3374" s="423" t="s">
        <v>172</v>
      </c>
      <c r="D3374" s="423" t="s">
        <v>115</v>
      </c>
      <c r="E3374" s="471">
        <v>1500</v>
      </c>
      <c r="F3374" s="407">
        <f t="shared" si="46"/>
        <v>2.7602044759475781</v>
      </c>
      <c r="G3374" s="408">
        <v>543.43799999999999</v>
      </c>
      <c r="H3374" s="423" t="s">
        <v>185</v>
      </c>
      <c r="I3374" s="423" t="s">
        <v>4008</v>
      </c>
      <c r="J3374" s="243" t="s">
        <v>96</v>
      </c>
      <c r="K3374" s="243" t="s">
        <v>1906</v>
      </c>
      <c r="L3374" s="243" t="s">
        <v>153</v>
      </c>
    </row>
    <row r="3375" spans="1:12" ht="15.6" hidden="1">
      <c r="A3375" s="438">
        <v>45952</v>
      </c>
      <c r="B3375" s="239" t="s">
        <v>2103</v>
      </c>
      <c r="C3375" s="453" t="s">
        <v>172</v>
      </c>
      <c r="D3375" s="453" t="s">
        <v>117</v>
      </c>
      <c r="E3375" s="458">
        <v>1000</v>
      </c>
      <c r="F3375" s="407">
        <f t="shared" si="46"/>
        <v>1.8401363172983856</v>
      </c>
      <c r="G3375" s="408">
        <v>543.43799999999999</v>
      </c>
      <c r="H3375" s="454" t="s">
        <v>151</v>
      </c>
      <c r="I3375" s="239" t="s">
        <v>3264</v>
      </c>
      <c r="J3375" s="243" t="s">
        <v>96</v>
      </c>
      <c r="K3375" s="243" t="s">
        <v>1906</v>
      </c>
      <c r="L3375" s="243" t="s">
        <v>153</v>
      </c>
    </row>
    <row r="3376" spans="1:12" ht="15.6" hidden="1">
      <c r="A3376" s="438">
        <v>45952</v>
      </c>
      <c r="B3376" s="239" t="s">
        <v>2103</v>
      </c>
      <c r="C3376" s="453" t="s">
        <v>172</v>
      </c>
      <c r="D3376" s="453" t="s">
        <v>117</v>
      </c>
      <c r="E3376" s="458">
        <v>1000</v>
      </c>
      <c r="F3376" s="407">
        <f t="shared" si="46"/>
        <v>1.8401363172983856</v>
      </c>
      <c r="G3376" s="408">
        <v>543.43799999999999</v>
      </c>
      <c r="H3376" s="454" t="s">
        <v>151</v>
      </c>
      <c r="I3376" s="239" t="s">
        <v>3264</v>
      </c>
      <c r="J3376" s="243" t="s">
        <v>96</v>
      </c>
      <c r="K3376" s="243" t="s">
        <v>1906</v>
      </c>
      <c r="L3376" s="243" t="s">
        <v>153</v>
      </c>
    </row>
    <row r="3377" spans="1:12" ht="15.6" hidden="1">
      <c r="A3377" s="438">
        <v>45952</v>
      </c>
      <c r="B3377" s="243" t="s">
        <v>3385</v>
      </c>
      <c r="C3377" s="423" t="s">
        <v>172</v>
      </c>
      <c r="D3377" s="423" t="s">
        <v>116</v>
      </c>
      <c r="E3377" s="464">
        <v>1000</v>
      </c>
      <c r="F3377" s="407">
        <f t="shared" si="46"/>
        <v>1.8401363172983856</v>
      </c>
      <c r="G3377" s="408">
        <v>543.43799999999999</v>
      </c>
      <c r="H3377" s="423" t="s">
        <v>581</v>
      </c>
      <c r="I3377" s="423" t="s">
        <v>3419</v>
      </c>
      <c r="J3377" s="243" t="s">
        <v>96</v>
      </c>
      <c r="K3377" s="243" t="s">
        <v>1906</v>
      </c>
      <c r="L3377" s="243" t="s">
        <v>153</v>
      </c>
    </row>
    <row r="3378" spans="1:12" ht="15.6" hidden="1">
      <c r="A3378" s="438">
        <v>45952</v>
      </c>
      <c r="B3378" s="243" t="s">
        <v>2884</v>
      </c>
      <c r="C3378" s="423" t="s">
        <v>172</v>
      </c>
      <c r="D3378" s="423" t="s">
        <v>116</v>
      </c>
      <c r="E3378" s="464">
        <v>1000</v>
      </c>
      <c r="F3378" s="407">
        <f t="shared" si="46"/>
        <v>1.8401363172983856</v>
      </c>
      <c r="G3378" s="408">
        <v>543.43799999999999</v>
      </c>
      <c r="H3378" s="423" t="s">
        <v>581</v>
      </c>
      <c r="I3378" s="423" t="s">
        <v>3419</v>
      </c>
      <c r="J3378" s="243" t="s">
        <v>96</v>
      </c>
      <c r="K3378" s="243" t="s">
        <v>1906</v>
      </c>
      <c r="L3378" s="243" t="s">
        <v>153</v>
      </c>
    </row>
    <row r="3379" spans="1:12" ht="15.6" hidden="1">
      <c r="A3379" s="438">
        <v>45952</v>
      </c>
      <c r="B3379" s="243" t="s">
        <v>3397</v>
      </c>
      <c r="C3379" s="423" t="s">
        <v>172</v>
      </c>
      <c r="D3379" s="423" t="s">
        <v>116</v>
      </c>
      <c r="E3379" s="464">
        <v>1000</v>
      </c>
      <c r="F3379" s="407">
        <f t="shared" si="46"/>
        <v>1.8401363172983856</v>
      </c>
      <c r="G3379" s="408">
        <v>543.43799999999999</v>
      </c>
      <c r="H3379" s="423" t="s">
        <v>581</v>
      </c>
      <c r="I3379" s="423" t="s">
        <v>3419</v>
      </c>
      <c r="J3379" s="243" t="s">
        <v>96</v>
      </c>
      <c r="K3379" s="243" t="s">
        <v>1906</v>
      </c>
      <c r="L3379" s="243" t="s">
        <v>153</v>
      </c>
    </row>
    <row r="3380" spans="1:12" ht="15.6" hidden="1">
      <c r="A3380" s="438">
        <v>45952</v>
      </c>
      <c r="B3380" s="243" t="s">
        <v>3398</v>
      </c>
      <c r="C3380" s="423" t="s">
        <v>172</v>
      </c>
      <c r="D3380" s="423" t="s">
        <v>116</v>
      </c>
      <c r="E3380" s="464">
        <v>1000</v>
      </c>
      <c r="F3380" s="407">
        <f t="shared" si="46"/>
        <v>1.8401363172983856</v>
      </c>
      <c r="G3380" s="408">
        <v>543.43799999999999</v>
      </c>
      <c r="H3380" s="423" t="s">
        <v>581</v>
      </c>
      <c r="I3380" s="423" t="s">
        <v>3419</v>
      </c>
      <c r="J3380" s="243" t="s">
        <v>96</v>
      </c>
      <c r="K3380" s="243" t="s">
        <v>1906</v>
      </c>
      <c r="L3380" s="243" t="s">
        <v>153</v>
      </c>
    </row>
    <row r="3381" spans="1:12" ht="15.6" hidden="1">
      <c r="A3381" s="438">
        <v>45952</v>
      </c>
      <c r="B3381" s="423" t="s">
        <v>3399</v>
      </c>
      <c r="C3381" s="423" t="s">
        <v>180</v>
      </c>
      <c r="D3381" s="423" t="s">
        <v>116</v>
      </c>
      <c r="E3381" s="464">
        <v>2800</v>
      </c>
      <c r="F3381" s="407">
        <f t="shared" si="46"/>
        <v>5.1523816884354794</v>
      </c>
      <c r="G3381" s="408">
        <v>543.43799999999999</v>
      </c>
      <c r="H3381" s="423" t="s">
        <v>581</v>
      </c>
      <c r="I3381" s="456" t="s">
        <v>3428</v>
      </c>
      <c r="J3381" s="243" t="s">
        <v>96</v>
      </c>
      <c r="K3381" s="243" t="s">
        <v>1906</v>
      </c>
      <c r="L3381" s="243" t="s">
        <v>153</v>
      </c>
    </row>
    <row r="3382" spans="1:12" ht="15.6" hidden="1">
      <c r="A3382" s="438">
        <v>45952</v>
      </c>
      <c r="B3382" s="331" t="s">
        <v>4912</v>
      </c>
      <c r="C3382" s="331" t="s">
        <v>172</v>
      </c>
      <c r="D3382" s="331" t="s">
        <v>119</v>
      </c>
      <c r="E3382" s="459">
        <v>1000</v>
      </c>
      <c r="F3382" s="407">
        <f t="shared" si="46"/>
        <v>1.8401363172983856</v>
      </c>
      <c r="G3382" s="408">
        <v>543.43799999999999</v>
      </c>
      <c r="H3382" s="331" t="s">
        <v>182</v>
      </c>
      <c r="I3382" s="331" t="s">
        <v>3447</v>
      </c>
      <c r="J3382" s="243" t="s">
        <v>96</v>
      </c>
      <c r="K3382" s="243" t="s">
        <v>1906</v>
      </c>
      <c r="L3382" s="243" t="s">
        <v>153</v>
      </c>
    </row>
    <row r="3383" spans="1:12" ht="15.6" hidden="1">
      <c r="A3383" s="438">
        <v>45952</v>
      </c>
      <c r="B3383" s="331" t="s">
        <v>4917</v>
      </c>
      <c r="C3383" s="331" t="s">
        <v>172</v>
      </c>
      <c r="D3383" s="331" t="s">
        <v>119</v>
      </c>
      <c r="E3383" s="459">
        <v>1000</v>
      </c>
      <c r="F3383" s="407">
        <f t="shared" si="46"/>
        <v>1.8401363172983856</v>
      </c>
      <c r="G3383" s="408">
        <v>543.43799999999999</v>
      </c>
      <c r="H3383" s="331" t="s">
        <v>182</v>
      </c>
      <c r="I3383" s="331" t="s">
        <v>3447</v>
      </c>
      <c r="J3383" s="243" t="s">
        <v>96</v>
      </c>
      <c r="K3383" s="243" t="s">
        <v>1906</v>
      </c>
      <c r="L3383" s="243" t="s">
        <v>153</v>
      </c>
    </row>
    <row r="3384" spans="1:12" ht="15.6" hidden="1">
      <c r="A3384" s="438">
        <v>45952</v>
      </c>
      <c r="B3384" s="331" t="s">
        <v>4917</v>
      </c>
      <c r="C3384" s="331" t="s">
        <v>172</v>
      </c>
      <c r="D3384" s="331" t="s">
        <v>119</v>
      </c>
      <c r="E3384" s="459">
        <v>1000</v>
      </c>
      <c r="F3384" s="407">
        <f t="shared" si="46"/>
        <v>1.8401363172983856</v>
      </c>
      <c r="G3384" s="408">
        <v>543.43799999999999</v>
      </c>
      <c r="H3384" s="331" t="s">
        <v>182</v>
      </c>
      <c r="I3384" s="331" t="s">
        <v>3447</v>
      </c>
      <c r="J3384" s="243" t="s">
        <v>96</v>
      </c>
      <c r="K3384" s="243" t="s">
        <v>1906</v>
      </c>
      <c r="L3384" s="243" t="s">
        <v>153</v>
      </c>
    </row>
    <row r="3385" spans="1:12" ht="15.6" hidden="1">
      <c r="A3385" s="438">
        <v>45952</v>
      </c>
      <c r="B3385" s="331" t="s">
        <v>4917</v>
      </c>
      <c r="C3385" s="331" t="s">
        <v>172</v>
      </c>
      <c r="D3385" s="331" t="s">
        <v>119</v>
      </c>
      <c r="E3385" s="459">
        <v>1000</v>
      </c>
      <c r="F3385" s="407">
        <f t="shared" si="46"/>
        <v>1.8401363172983856</v>
      </c>
      <c r="G3385" s="408">
        <v>543.43799999999999</v>
      </c>
      <c r="H3385" s="331" t="s">
        <v>182</v>
      </c>
      <c r="I3385" s="331" t="s">
        <v>3447</v>
      </c>
      <c r="J3385" s="243" t="s">
        <v>96</v>
      </c>
      <c r="K3385" s="243" t="s">
        <v>1906</v>
      </c>
      <c r="L3385" s="243" t="s">
        <v>153</v>
      </c>
    </row>
    <row r="3386" spans="1:12" ht="15.6" hidden="1">
      <c r="A3386" s="438">
        <v>45952</v>
      </c>
      <c r="B3386" s="331" t="s">
        <v>4917</v>
      </c>
      <c r="C3386" s="331" t="s">
        <v>172</v>
      </c>
      <c r="D3386" s="331" t="s">
        <v>119</v>
      </c>
      <c r="E3386" s="459">
        <v>1000</v>
      </c>
      <c r="F3386" s="407">
        <f t="shared" si="46"/>
        <v>1.8401363172983856</v>
      </c>
      <c r="G3386" s="408">
        <v>543.43799999999999</v>
      </c>
      <c r="H3386" s="331" t="s">
        <v>182</v>
      </c>
      <c r="I3386" s="331" t="s">
        <v>3447</v>
      </c>
      <c r="J3386" s="243" t="s">
        <v>96</v>
      </c>
      <c r="K3386" s="243" t="s">
        <v>1906</v>
      </c>
      <c r="L3386" s="243" t="s">
        <v>153</v>
      </c>
    </row>
    <row r="3387" spans="1:12" ht="15.6" hidden="1">
      <c r="A3387" s="438">
        <v>45952</v>
      </c>
      <c r="B3387" s="331" t="s">
        <v>4938</v>
      </c>
      <c r="C3387" s="331" t="s">
        <v>172</v>
      </c>
      <c r="D3387" s="331" t="s">
        <v>119</v>
      </c>
      <c r="E3387" s="459">
        <v>700</v>
      </c>
      <c r="F3387" s="407">
        <f t="shared" si="46"/>
        <v>1.2880954221088698</v>
      </c>
      <c r="G3387" s="408">
        <v>543.43799999999999</v>
      </c>
      <c r="H3387" s="331" t="s">
        <v>182</v>
      </c>
      <c r="I3387" s="331" t="s">
        <v>3447</v>
      </c>
      <c r="J3387" s="243" t="s">
        <v>96</v>
      </c>
      <c r="K3387" s="243" t="s">
        <v>1906</v>
      </c>
      <c r="L3387" s="243" t="s">
        <v>153</v>
      </c>
    </row>
    <row r="3388" spans="1:12" ht="15.6" hidden="1">
      <c r="A3388" s="438">
        <v>45952</v>
      </c>
      <c r="B3388" s="331" t="s">
        <v>4917</v>
      </c>
      <c r="C3388" s="331" t="s">
        <v>172</v>
      </c>
      <c r="D3388" s="331" t="s">
        <v>119</v>
      </c>
      <c r="E3388" s="459">
        <v>1000</v>
      </c>
      <c r="F3388" s="407">
        <f t="shared" si="46"/>
        <v>1.8401363172983856</v>
      </c>
      <c r="G3388" s="408">
        <v>543.43799999999999</v>
      </c>
      <c r="H3388" s="331" t="s">
        <v>182</v>
      </c>
      <c r="I3388" s="331" t="s">
        <v>3447</v>
      </c>
      <c r="J3388" s="243" t="s">
        <v>96</v>
      </c>
      <c r="K3388" s="243" t="s">
        <v>1906</v>
      </c>
      <c r="L3388" s="243" t="s">
        <v>153</v>
      </c>
    </row>
    <row r="3389" spans="1:12" ht="15.6" hidden="1">
      <c r="A3389" s="438">
        <v>45952</v>
      </c>
      <c r="B3389" s="331" t="s">
        <v>4912</v>
      </c>
      <c r="C3389" s="331" t="s">
        <v>172</v>
      </c>
      <c r="D3389" s="331" t="s">
        <v>119</v>
      </c>
      <c r="E3389" s="459">
        <v>1000</v>
      </c>
      <c r="F3389" s="407">
        <f t="shared" si="46"/>
        <v>1.8401363172983856</v>
      </c>
      <c r="G3389" s="408">
        <v>543.43799999999999</v>
      </c>
      <c r="H3389" s="331" t="s">
        <v>182</v>
      </c>
      <c r="I3389" s="331" t="s">
        <v>3447</v>
      </c>
      <c r="J3389" s="243" t="s">
        <v>96</v>
      </c>
      <c r="K3389" s="243" t="s">
        <v>1906</v>
      </c>
      <c r="L3389" s="243" t="s">
        <v>153</v>
      </c>
    </row>
    <row r="3390" spans="1:12" ht="15.6" hidden="1">
      <c r="A3390" s="438">
        <v>45952</v>
      </c>
      <c r="B3390" s="423" t="s">
        <v>4896</v>
      </c>
      <c r="C3390" s="423" t="s">
        <v>172</v>
      </c>
      <c r="D3390" s="423" t="s">
        <v>119</v>
      </c>
      <c r="E3390" s="471">
        <v>500</v>
      </c>
      <c r="F3390" s="407">
        <f t="shared" si="46"/>
        <v>0.92006815864919278</v>
      </c>
      <c r="G3390" s="408">
        <v>543.43799999999999</v>
      </c>
      <c r="H3390" s="423" t="s">
        <v>173</v>
      </c>
      <c r="I3390" s="423" t="s">
        <v>3484</v>
      </c>
      <c r="J3390" s="243" t="s">
        <v>96</v>
      </c>
      <c r="K3390" s="243" t="s">
        <v>1906</v>
      </c>
      <c r="L3390" s="243" t="s">
        <v>153</v>
      </c>
    </row>
    <row r="3391" spans="1:12" ht="15.6" hidden="1">
      <c r="A3391" s="438">
        <v>45952</v>
      </c>
      <c r="B3391" s="243" t="s">
        <v>4754</v>
      </c>
      <c r="C3391" s="423" t="s">
        <v>2394</v>
      </c>
      <c r="D3391" s="423" t="s">
        <v>119</v>
      </c>
      <c r="E3391" s="471">
        <v>30000</v>
      </c>
      <c r="F3391" s="407">
        <f t="shared" si="46"/>
        <v>55.204089518951562</v>
      </c>
      <c r="G3391" s="408">
        <v>543.43799999999999</v>
      </c>
      <c r="H3391" s="423" t="s">
        <v>173</v>
      </c>
      <c r="I3391" s="423" t="s">
        <v>3498</v>
      </c>
      <c r="J3391" s="243" t="s">
        <v>96</v>
      </c>
      <c r="K3391" s="243" t="s">
        <v>1906</v>
      </c>
      <c r="L3391" s="243" t="s">
        <v>153</v>
      </c>
    </row>
    <row r="3392" spans="1:12" ht="15.6" hidden="1">
      <c r="A3392" s="438">
        <v>45952</v>
      </c>
      <c r="B3392" s="423" t="s">
        <v>4831</v>
      </c>
      <c r="C3392" s="423" t="s">
        <v>1011</v>
      </c>
      <c r="D3392" s="423" t="s">
        <v>119</v>
      </c>
      <c r="E3392" s="471">
        <v>3000</v>
      </c>
      <c r="F3392" s="407">
        <f t="shared" si="46"/>
        <v>5.5204089518951562</v>
      </c>
      <c r="G3392" s="408">
        <v>543.43799999999999</v>
      </c>
      <c r="H3392" s="423" t="s">
        <v>173</v>
      </c>
      <c r="I3392" s="423" t="s">
        <v>3499</v>
      </c>
      <c r="J3392" s="243" t="s">
        <v>96</v>
      </c>
      <c r="K3392" s="243" t="s">
        <v>1906</v>
      </c>
      <c r="L3392" s="243" t="s">
        <v>153</v>
      </c>
    </row>
    <row r="3393" spans="1:12" ht="15.6" hidden="1">
      <c r="A3393" s="438">
        <v>45952</v>
      </c>
      <c r="B3393" s="423" t="s">
        <v>4971</v>
      </c>
      <c r="C3393" s="423" t="s">
        <v>1011</v>
      </c>
      <c r="D3393" s="423" t="s">
        <v>119</v>
      </c>
      <c r="E3393" s="471">
        <v>1000</v>
      </c>
      <c r="F3393" s="407">
        <f t="shared" si="46"/>
        <v>1.8401363172983856</v>
      </c>
      <c r="G3393" s="408">
        <v>543.43799999999999</v>
      </c>
      <c r="H3393" s="423" t="s">
        <v>173</v>
      </c>
      <c r="I3393" s="423" t="s">
        <v>3484</v>
      </c>
      <c r="J3393" s="243" t="s">
        <v>96</v>
      </c>
      <c r="K3393" s="243" t="s">
        <v>1906</v>
      </c>
      <c r="L3393" s="243" t="s">
        <v>153</v>
      </c>
    </row>
    <row r="3394" spans="1:12" ht="15.6" hidden="1">
      <c r="A3394" s="438">
        <v>45952</v>
      </c>
      <c r="B3394" s="423" t="s">
        <v>4917</v>
      </c>
      <c r="C3394" s="423" t="s">
        <v>1011</v>
      </c>
      <c r="D3394" s="423" t="s">
        <v>119</v>
      </c>
      <c r="E3394" s="471">
        <v>1000</v>
      </c>
      <c r="F3394" s="407">
        <f t="shared" si="46"/>
        <v>1.8401363172983856</v>
      </c>
      <c r="G3394" s="408">
        <v>543.43799999999999</v>
      </c>
      <c r="H3394" s="423" t="s">
        <v>173</v>
      </c>
      <c r="I3394" s="423" t="s">
        <v>3484</v>
      </c>
      <c r="J3394" s="243" t="s">
        <v>96</v>
      </c>
      <c r="K3394" s="243" t="s">
        <v>1906</v>
      </c>
      <c r="L3394" s="243" t="s">
        <v>153</v>
      </c>
    </row>
    <row r="3395" spans="1:12" ht="15.6" hidden="1">
      <c r="A3395" s="438">
        <v>45952</v>
      </c>
      <c r="B3395" s="423" t="s">
        <v>4917</v>
      </c>
      <c r="C3395" s="423" t="s">
        <v>1011</v>
      </c>
      <c r="D3395" s="423" t="s">
        <v>119</v>
      </c>
      <c r="E3395" s="471">
        <v>1000</v>
      </c>
      <c r="F3395" s="407">
        <f t="shared" ref="F3395:F3458" si="47">E3395/G3395</f>
        <v>1.8401363172983856</v>
      </c>
      <c r="G3395" s="408">
        <v>543.43799999999999</v>
      </c>
      <c r="H3395" s="423" t="s">
        <v>173</v>
      </c>
      <c r="I3395" s="423" t="s">
        <v>3484</v>
      </c>
      <c r="J3395" s="243" t="s">
        <v>96</v>
      </c>
      <c r="K3395" s="243" t="s">
        <v>1906</v>
      </c>
      <c r="L3395" s="243" t="s">
        <v>153</v>
      </c>
    </row>
    <row r="3396" spans="1:12" ht="15.6" hidden="1">
      <c r="A3396" s="438">
        <v>45952</v>
      </c>
      <c r="B3396" s="423" t="s">
        <v>4917</v>
      </c>
      <c r="C3396" s="423" t="s">
        <v>1011</v>
      </c>
      <c r="D3396" s="423" t="s">
        <v>119</v>
      </c>
      <c r="E3396" s="471">
        <v>1000</v>
      </c>
      <c r="F3396" s="407">
        <f t="shared" si="47"/>
        <v>1.8401363172983856</v>
      </c>
      <c r="G3396" s="408">
        <v>543.43799999999999</v>
      </c>
      <c r="H3396" s="423" t="s">
        <v>173</v>
      </c>
      <c r="I3396" s="423" t="s">
        <v>3484</v>
      </c>
      <c r="J3396" s="243" t="s">
        <v>96</v>
      </c>
      <c r="K3396" s="243" t="s">
        <v>1906</v>
      </c>
      <c r="L3396" s="243" t="s">
        <v>153</v>
      </c>
    </row>
    <row r="3397" spans="1:12" ht="15.6" hidden="1">
      <c r="A3397" s="438">
        <v>45952</v>
      </c>
      <c r="B3397" s="423" t="s">
        <v>4876</v>
      </c>
      <c r="C3397" s="423" t="s">
        <v>172</v>
      </c>
      <c r="D3397" s="423" t="s">
        <v>119</v>
      </c>
      <c r="E3397" s="471">
        <v>1000</v>
      </c>
      <c r="F3397" s="407">
        <f t="shared" si="47"/>
        <v>1.8401363172983856</v>
      </c>
      <c r="G3397" s="408">
        <v>543.43799999999999</v>
      </c>
      <c r="H3397" s="423" t="s">
        <v>173</v>
      </c>
      <c r="I3397" s="423" t="s">
        <v>3484</v>
      </c>
      <c r="J3397" s="243" t="s">
        <v>96</v>
      </c>
      <c r="K3397" s="243" t="s">
        <v>1906</v>
      </c>
      <c r="L3397" s="243" t="s">
        <v>153</v>
      </c>
    </row>
    <row r="3398" spans="1:12" ht="15.6" hidden="1">
      <c r="A3398" s="438">
        <v>45952</v>
      </c>
      <c r="B3398" s="243" t="s">
        <v>4760</v>
      </c>
      <c r="C3398" s="243" t="s">
        <v>175</v>
      </c>
      <c r="D3398" s="243" t="s">
        <v>119</v>
      </c>
      <c r="E3398" s="462">
        <v>60000</v>
      </c>
      <c r="F3398" s="407">
        <f t="shared" si="47"/>
        <v>110.40817903790312</v>
      </c>
      <c r="G3398" s="408">
        <v>543.43799999999999</v>
      </c>
      <c r="H3398" s="243" t="s">
        <v>315</v>
      </c>
      <c r="I3398" s="243" t="s">
        <v>3520</v>
      </c>
      <c r="J3398" s="243" t="s">
        <v>96</v>
      </c>
      <c r="K3398" s="243" t="s">
        <v>1906</v>
      </c>
      <c r="L3398" s="243" t="s">
        <v>153</v>
      </c>
    </row>
    <row r="3399" spans="1:12" ht="15.6" hidden="1">
      <c r="A3399" s="438">
        <v>45952</v>
      </c>
      <c r="B3399" s="243" t="s">
        <v>4938</v>
      </c>
      <c r="C3399" s="243" t="s">
        <v>172</v>
      </c>
      <c r="D3399" s="243" t="s">
        <v>119</v>
      </c>
      <c r="E3399" s="460">
        <v>700</v>
      </c>
      <c r="F3399" s="407">
        <f t="shared" si="47"/>
        <v>1.2880954221088698</v>
      </c>
      <c r="G3399" s="408">
        <v>543.43799999999999</v>
      </c>
      <c r="H3399" s="243" t="s">
        <v>315</v>
      </c>
      <c r="I3399" s="243" t="s">
        <v>3510</v>
      </c>
      <c r="J3399" s="243" t="s">
        <v>96</v>
      </c>
      <c r="K3399" s="243" t="s">
        <v>1906</v>
      </c>
      <c r="L3399" s="243" t="s">
        <v>153</v>
      </c>
    </row>
    <row r="3400" spans="1:12" ht="15.6" hidden="1">
      <c r="A3400" s="438">
        <v>45952</v>
      </c>
      <c r="B3400" s="243" t="s">
        <v>4749</v>
      </c>
      <c r="C3400" s="243" t="s">
        <v>172</v>
      </c>
      <c r="D3400" s="243" t="s">
        <v>119</v>
      </c>
      <c r="E3400" s="462">
        <v>2000</v>
      </c>
      <c r="F3400" s="407">
        <f t="shared" si="47"/>
        <v>3.6802726345967711</v>
      </c>
      <c r="G3400" s="408">
        <v>543.43799999999999</v>
      </c>
      <c r="H3400" s="243" t="s">
        <v>315</v>
      </c>
      <c r="I3400" s="243" t="s">
        <v>3521</v>
      </c>
      <c r="J3400" s="243" t="s">
        <v>96</v>
      </c>
      <c r="K3400" s="243" t="s">
        <v>1906</v>
      </c>
      <c r="L3400" s="243" t="s">
        <v>153</v>
      </c>
    </row>
    <row r="3401" spans="1:12" ht="15.6" hidden="1">
      <c r="A3401" s="438">
        <v>45952</v>
      </c>
      <c r="B3401" s="243" t="s">
        <v>4876</v>
      </c>
      <c r="C3401" s="243" t="s">
        <v>172</v>
      </c>
      <c r="D3401" s="243" t="s">
        <v>119</v>
      </c>
      <c r="E3401" s="460">
        <v>1000</v>
      </c>
      <c r="F3401" s="407">
        <f t="shared" si="47"/>
        <v>1.8401363172983856</v>
      </c>
      <c r="G3401" s="408">
        <v>543.43799999999999</v>
      </c>
      <c r="H3401" s="243" t="s">
        <v>315</v>
      </c>
      <c r="I3401" s="243" t="s">
        <v>3510</v>
      </c>
      <c r="J3401" s="243" t="s">
        <v>96</v>
      </c>
      <c r="K3401" s="243" t="s">
        <v>1906</v>
      </c>
      <c r="L3401" s="243" t="s">
        <v>153</v>
      </c>
    </row>
    <row r="3402" spans="1:12" ht="15.6" hidden="1">
      <c r="A3402" s="438">
        <v>45952</v>
      </c>
      <c r="B3402" s="243" t="s">
        <v>4876</v>
      </c>
      <c r="C3402" s="243" t="s">
        <v>172</v>
      </c>
      <c r="D3402" s="243" t="s">
        <v>119</v>
      </c>
      <c r="E3402" s="460">
        <v>1000</v>
      </c>
      <c r="F3402" s="407">
        <f t="shared" si="47"/>
        <v>1.8401363172983856</v>
      </c>
      <c r="G3402" s="408">
        <v>543.43799999999999</v>
      </c>
      <c r="H3402" s="243" t="s">
        <v>315</v>
      </c>
      <c r="I3402" s="243" t="s">
        <v>3510</v>
      </c>
      <c r="J3402" s="243" t="s">
        <v>96</v>
      </c>
      <c r="K3402" s="243" t="s">
        <v>1906</v>
      </c>
      <c r="L3402" s="243" t="s">
        <v>153</v>
      </c>
    </row>
    <row r="3403" spans="1:12" ht="15.6" hidden="1">
      <c r="A3403" s="438">
        <v>45952</v>
      </c>
      <c r="B3403" s="243" t="s">
        <v>4876</v>
      </c>
      <c r="C3403" s="243" t="s">
        <v>172</v>
      </c>
      <c r="D3403" s="243" t="s">
        <v>119</v>
      </c>
      <c r="E3403" s="460">
        <v>1000</v>
      </c>
      <c r="F3403" s="407">
        <f t="shared" si="47"/>
        <v>1.8401363172983856</v>
      </c>
      <c r="G3403" s="408">
        <v>543.43799999999999</v>
      </c>
      <c r="H3403" s="243" t="s">
        <v>315</v>
      </c>
      <c r="I3403" s="243" t="s">
        <v>3510</v>
      </c>
      <c r="J3403" s="243" t="s">
        <v>96</v>
      </c>
      <c r="K3403" s="243" t="s">
        <v>1906</v>
      </c>
      <c r="L3403" s="243" t="s">
        <v>153</v>
      </c>
    </row>
    <row r="3404" spans="1:12" ht="15.6" hidden="1">
      <c r="A3404" s="438">
        <v>45952</v>
      </c>
      <c r="B3404" s="243" t="s">
        <v>4876</v>
      </c>
      <c r="C3404" s="243" t="s">
        <v>172</v>
      </c>
      <c r="D3404" s="243" t="s">
        <v>119</v>
      </c>
      <c r="E3404" s="460">
        <v>1000</v>
      </c>
      <c r="F3404" s="407">
        <f t="shared" si="47"/>
        <v>1.8401363172983856</v>
      </c>
      <c r="G3404" s="408">
        <v>543.43799999999999</v>
      </c>
      <c r="H3404" s="243" t="s">
        <v>315</v>
      </c>
      <c r="I3404" s="243" t="s">
        <v>3510</v>
      </c>
      <c r="J3404" s="243" t="s">
        <v>96</v>
      </c>
      <c r="K3404" s="243" t="s">
        <v>1906</v>
      </c>
      <c r="L3404" s="243" t="s">
        <v>153</v>
      </c>
    </row>
    <row r="3405" spans="1:12" ht="15.6" hidden="1">
      <c r="A3405" s="438">
        <v>45952</v>
      </c>
      <c r="B3405" s="243" t="s">
        <v>4876</v>
      </c>
      <c r="C3405" s="243" t="s">
        <v>172</v>
      </c>
      <c r="D3405" s="243" t="s">
        <v>119</v>
      </c>
      <c r="E3405" s="460">
        <v>1000</v>
      </c>
      <c r="F3405" s="407">
        <f t="shared" si="47"/>
        <v>1.8401363172983856</v>
      </c>
      <c r="G3405" s="408">
        <v>543.43799999999999</v>
      </c>
      <c r="H3405" s="243" t="s">
        <v>315</v>
      </c>
      <c r="I3405" s="243" t="s">
        <v>3510</v>
      </c>
      <c r="J3405" s="243" t="s">
        <v>96</v>
      </c>
      <c r="K3405" s="243" t="s">
        <v>1906</v>
      </c>
      <c r="L3405" s="243" t="s">
        <v>153</v>
      </c>
    </row>
    <row r="3406" spans="1:12" ht="15.6" hidden="1">
      <c r="A3406" s="438">
        <v>45952</v>
      </c>
      <c r="B3406" s="243" t="s">
        <v>4917</v>
      </c>
      <c r="C3406" s="243" t="s">
        <v>172</v>
      </c>
      <c r="D3406" s="243" t="s">
        <v>119</v>
      </c>
      <c r="E3406" s="460">
        <v>700</v>
      </c>
      <c r="F3406" s="407">
        <f t="shared" si="47"/>
        <v>1.2880954221088698</v>
      </c>
      <c r="G3406" s="408">
        <v>543.43799999999999</v>
      </c>
      <c r="H3406" s="243" t="s">
        <v>315</v>
      </c>
      <c r="I3406" s="243" t="s">
        <v>3510</v>
      </c>
      <c r="J3406" s="243" t="s">
        <v>96</v>
      </c>
      <c r="K3406" s="243" t="s">
        <v>1906</v>
      </c>
      <c r="L3406" s="243" t="s">
        <v>153</v>
      </c>
    </row>
    <row r="3407" spans="1:12" ht="15.6" hidden="1">
      <c r="A3407" s="438">
        <v>45952</v>
      </c>
      <c r="B3407" s="243" t="s">
        <v>4967</v>
      </c>
      <c r="C3407" s="243" t="s">
        <v>172</v>
      </c>
      <c r="D3407" s="243" t="s">
        <v>119</v>
      </c>
      <c r="E3407" s="457">
        <v>500</v>
      </c>
      <c r="F3407" s="407">
        <f t="shared" si="47"/>
        <v>0.92006815864919278</v>
      </c>
      <c r="G3407" s="408">
        <v>543.43799999999999</v>
      </c>
      <c r="H3407" s="243" t="s">
        <v>321</v>
      </c>
      <c r="I3407" s="243" t="s">
        <v>3533</v>
      </c>
      <c r="J3407" s="243" t="s">
        <v>96</v>
      </c>
      <c r="K3407" s="243" t="s">
        <v>1906</v>
      </c>
      <c r="L3407" s="243" t="s">
        <v>153</v>
      </c>
    </row>
    <row r="3408" spans="1:12" ht="15.6" hidden="1">
      <c r="A3408" s="438">
        <v>45952</v>
      </c>
      <c r="B3408" s="243" t="s">
        <v>2932</v>
      </c>
      <c r="C3408" s="243" t="s">
        <v>366</v>
      </c>
      <c r="D3408" s="243" t="s">
        <v>119</v>
      </c>
      <c r="E3408" s="457">
        <v>1500</v>
      </c>
      <c r="F3408" s="407">
        <f t="shared" si="47"/>
        <v>2.7602044759475781</v>
      </c>
      <c r="G3408" s="408">
        <v>543.43799999999999</v>
      </c>
      <c r="H3408" s="243" t="s">
        <v>321</v>
      </c>
      <c r="I3408" s="243" t="s">
        <v>3536</v>
      </c>
      <c r="J3408" s="243" t="s">
        <v>96</v>
      </c>
      <c r="K3408" s="243" t="s">
        <v>1906</v>
      </c>
      <c r="L3408" s="243" t="s">
        <v>153</v>
      </c>
    </row>
    <row r="3409" spans="1:12" ht="15.6" hidden="1">
      <c r="A3409" s="438">
        <v>45952</v>
      </c>
      <c r="B3409" s="243" t="s">
        <v>4888</v>
      </c>
      <c r="C3409" s="243" t="s">
        <v>172</v>
      </c>
      <c r="D3409" s="243" t="s">
        <v>119</v>
      </c>
      <c r="E3409" s="457">
        <v>500</v>
      </c>
      <c r="F3409" s="407">
        <f t="shared" si="47"/>
        <v>0.92006815864919278</v>
      </c>
      <c r="G3409" s="408">
        <v>543.43799999999999</v>
      </c>
      <c r="H3409" s="243" t="s">
        <v>321</v>
      </c>
      <c r="I3409" s="243" t="s">
        <v>3533</v>
      </c>
      <c r="J3409" s="243" t="s">
        <v>96</v>
      </c>
      <c r="K3409" s="243" t="s">
        <v>1906</v>
      </c>
      <c r="L3409" s="243" t="s">
        <v>153</v>
      </c>
    </row>
    <row r="3410" spans="1:12" ht="15.6" hidden="1">
      <c r="A3410" s="438">
        <v>45952</v>
      </c>
      <c r="B3410" s="243" t="s">
        <v>4972</v>
      </c>
      <c r="C3410" s="243" t="s">
        <v>2394</v>
      </c>
      <c r="D3410" s="243" t="s">
        <v>119</v>
      </c>
      <c r="E3410" s="457">
        <v>15000</v>
      </c>
      <c r="F3410" s="407">
        <f t="shared" si="47"/>
        <v>27.602044759475781</v>
      </c>
      <c r="G3410" s="408">
        <v>543.43799999999999</v>
      </c>
      <c r="H3410" s="243" t="s">
        <v>321</v>
      </c>
      <c r="I3410" s="243" t="s">
        <v>3543</v>
      </c>
      <c r="J3410" s="243" t="s">
        <v>96</v>
      </c>
      <c r="K3410" s="243" t="s">
        <v>1906</v>
      </c>
      <c r="L3410" s="243" t="s">
        <v>153</v>
      </c>
    </row>
    <row r="3411" spans="1:12" ht="15.6" hidden="1">
      <c r="A3411" s="438">
        <v>45952</v>
      </c>
      <c r="B3411" s="243" t="s">
        <v>4967</v>
      </c>
      <c r="C3411" s="243" t="s">
        <v>172</v>
      </c>
      <c r="D3411" s="243" t="s">
        <v>119</v>
      </c>
      <c r="E3411" s="457">
        <v>500</v>
      </c>
      <c r="F3411" s="407">
        <f t="shared" si="47"/>
        <v>0.92006815864919278</v>
      </c>
      <c r="G3411" s="408">
        <v>543.43799999999999</v>
      </c>
      <c r="H3411" s="243" t="s">
        <v>321</v>
      </c>
      <c r="I3411" s="243" t="s">
        <v>3533</v>
      </c>
      <c r="J3411" s="243" t="s">
        <v>96</v>
      </c>
      <c r="K3411" s="243" t="s">
        <v>1906</v>
      </c>
      <c r="L3411" s="243" t="s">
        <v>153</v>
      </c>
    </row>
    <row r="3412" spans="1:12" ht="15.6" hidden="1">
      <c r="A3412" s="438">
        <v>45952</v>
      </c>
      <c r="B3412" s="243" t="s">
        <v>4752</v>
      </c>
      <c r="C3412" s="243" t="s">
        <v>172</v>
      </c>
      <c r="D3412" s="243" t="s">
        <v>119</v>
      </c>
      <c r="E3412" s="457">
        <v>5000</v>
      </c>
      <c r="F3412" s="407">
        <f t="shared" si="47"/>
        <v>9.2006815864919282</v>
      </c>
      <c r="G3412" s="408">
        <v>543.43799999999999</v>
      </c>
      <c r="H3412" s="243" t="s">
        <v>321</v>
      </c>
      <c r="I3412" s="243" t="s">
        <v>3544</v>
      </c>
      <c r="J3412" s="243" t="s">
        <v>96</v>
      </c>
      <c r="K3412" s="243" t="s">
        <v>1906</v>
      </c>
      <c r="L3412" s="243" t="s">
        <v>153</v>
      </c>
    </row>
    <row r="3413" spans="1:12" ht="15.6" hidden="1">
      <c r="A3413" s="438">
        <v>45952</v>
      </c>
      <c r="B3413" s="243" t="s">
        <v>4907</v>
      </c>
      <c r="C3413" s="243" t="s">
        <v>172</v>
      </c>
      <c r="D3413" s="243" t="s">
        <v>119</v>
      </c>
      <c r="E3413" s="457">
        <v>500</v>
      </c>
      <c r="F3413" s="407">
        <f t="shared" si="47"/>
        <v>0.92006815864919278</v>
      </c>
      <c r="G3413" s="408">
        <v>543.43799999999999</v>
      </c>
      <c r="H3413" s="243" t="s">
        <v>321</v>
      </c>
      <c r="I3413" s="243" t="s">
        <v>3533</v>
      </c>
      <c r="J3413" s="243" t="s">
        <v>96</v>
      </c>
      <c r="K3413" s="243" t="s">
        <v>1906</v>
      </c>
      <c r="L3413" s="243" t="s">
        <v>153</v>
      </c>
    </row>
    <row r="3414" spans="1:12" ht="15.6" hidden="1">
      <c r="A3414" s="438">
        <v>45952</v>
      </c>
      <c r="B3414" s="243" t="s">
        <v>4907</v>
      </c>
      <c r="C3414" s="243" t="s">
        <v>172</v>
      </c>
      <c r="D3414" s="243" t="s">
        <v>119</v>
      </c>
      <c r="E3414" s="457">
        <v>500</v>
      </c>
      <c r="F3414" s="407">
        <f t="shared" si="47"/>
        <v>0.92006815864919278</v>
      </c>
      <c r="G3414" s="408">
        <v>543.43799999999999</v>
      </c>
      <c r="H3414" s="243" t="s">
        <v>321</v>
      </c>
      <c r="I3414" s="243" t="s">
        <v>3533</v>
      </c>
      <c r="J3414" s="243" t="s">
        <v>96</v>
      </c>
      <c r="K3414" s="243" t="s">
        <v>1906</v>
      </c>
      <c r="L3414" s="243" t="s">
        <v>153</v>
      </c>
    </row>
    <row r="3415" spans="1:12" ht="15.6" hidden="1">
      <c r="A3415" s="438">
        <v>45952</v>
      </c>
      <c r="B3415" s="243" t="s">
        <v>4752</v>
      </c>
      <c r="C3415" s="243" t="s">
        <v>172</v>
      </c>
      <c r="D3415" s="243" t="s">
        <v>119</v>
      </c>
      <c r="E3415" s="457">
        <v>12000</v>
      </c>
      <c r="F3415" s="407">
        <f t="shared" si="47"/>
        <v>22.081635807580625</v>
      </c>
      <c r="G3415" s="408">
        <v>543.43799999999999</v>
      </c>
      <c r="H3415" s="243" t="s">
        <v>321</v>
      </c>
      <c r="I3415" s="243" t="s">
        <v>3545</v>
      </c>
      <c r="J3415" s="243" t="s">
        <v>96</v>
      </c>
      <c r="K3415" s="243" t="s">
        <v>1906</v>
      </c>
      <c r="L3415" s="243" t="s">
        <v>153</v>
      </c>
    </row>
    <row r="3416" spans="1:12" ht="15.6" hidden="1">
      <c r="A3416" s="438">
        <v>45952</v>
      </c>
      <c r="B3416" s="243" t="s">
        <v>3562</v>
      </c>
      <c r="C3416" s="243" t="s">
        <v>172</v>
      </c>
      <c r="D3416" s="243" t="s">
        <v>115</v>
      </c>
      <c r="E3416" s="463">
        <v>1000</v>
      </c>
      <c r="F3416" s="407">
        <f t="shared" si="47"/>
        <v>1.8401363172983856</v>
      </c>
      <c r="G3416" s="408">
        <v>543.43799999999999</v>
      </c>
      <c r="H3416" s="243" t="s">
        <v>188</v>
      </c>
      <c r="I3416" s="243" t="s">
        <v>3594</v>
      </c>
      <c r="J3416" s="243" t="s">
        <v>96</v>
      </c>
      <c r="K3416" s="243" t="s">
        <v>1906</v>
      </c>
      <c r="L3416" s="243" t="s">
        <v>153</v>
      </c>
    </row>
    <row r="3417" spans="1:12" ht="15.6" hidden="1">
      <c r="A3417" s="438">
        <v>45952</v>
      </c>
      <c r="B3417" s="243" t="s">
        <v>3563</v>
      </c>
      <c r="C3417" s="243" t="s">
        <v>172</v>
      </c>
      <c r="D3417" s="243" t="s">
        <v>115</v>
      </c>
      <c r="E3417" s="463">
        <v>9000</v>
      </c>
      <c r="F3417" s="407">
        <f t="shared" si="47"/>
        <v>16.561226855685469</v>
      </c>
      <c r="G3417" s="408">
        <v>543.43799999999999</v>
      </c>
      <c r="H3417" s="243" t="s">
        <v>188</v>
      </c>
      <c r="I3417" s="243" t="s">
        <v>3602</v>
      </c>
      <c r="J3417" s="243" t="s">
        <v>96</v>
      </c>
      <c r="K3417" s="243" t="s">
        <v>1906</v>
      </c>
      <c r="L3417" s="243" t="s">
        <v>153</v>
      </c>
    </row>
    <row r="3418" spans="1:12" ht="15.6" hidden="1">
      <c r="A3418" s="438">
        <v>45952</v>
      </c>
      <c r="B3418" s="243" t="s">
        <v>3564</v>
      </c>
      <c r="C3418" s="243" t="s">
        <v>172</v>
      </c>
      <c r="D3418" s="243" t="s">
        <v>115</v>
      </c>
      <c r="E3418" s="463">
        <v>1000</v>
      </c>
      <c r="F3418" s="407">
        <f t="shared" si="47"/>
        <v>1.8401363172983856</v>
      </c>
      <c r="G3418" s="408">
        <v>543.43799999999999</v>
      </c>
      <c r="H3418" s="243" t="s">
        <v>188</v>
      </c>
      <c r="I3418" s="243" t="s">
        <v>3594</v>
      </c>
      <c r="J3418" s="243" t="s">
        <v>96</v>
      </c>
      <c r="K3418" s="243" t="s">
        <v>1906</v>
      </c>
      <c r="L3418" s="243" t="s">
        <v>153</v>
      </c>
    </row>
    <row r="3419" spans="1:12" ht="15.6" hidden="1">
      <c r="A3419" s="438">
        <v>45952</v>
      </c>
      <c r="B3419" s="243" t="s">
        <v>3616</v>
      </c>
      <c r="C3419" s="243" t="s">
        <v>172</v>
      </c>
      <c r="D3419" s="243" t="s">
        <v>115</v>
      </c>
      <c r="E3419" s="463">
        <v>500</v>
      </c>
      <c r="F3419" s="407">
        <f t="shared" si="47"/>
        <v>0.92006815864919278</v>
      </c>
      <c r="G3419" s="408">
        <v>543.43799999999999</v>
      </c>
      <c r="H3419" s="243" t="s">
        <v>191</v>
      </c>
      <c r="I3419" s="243" t="s">
        <v>3665</v>
      </c>
      <c r="J3419" s="243" t="s">
        <v>96</v>
      </c>
      <c r="K3419" s="243" t="s">
        <v>1906</v>
      </c>
      <c r="L3419" s="243" t="s">
        <v>153</v>
      </c>
    </row>
    <row r="3420" spans="1:12" ht="15.6" hidden="1">
      <c r="A3420" s="438">
        <v>45952</v>
      </c>
      <c r="B3420" s="243" t="s">
        <v>3617</v>
      </c>
      <c r="C3420" s="243" t="s">
        <v>172</v>
      </c>
      <c r="D3420" s="243" t="s">
        <v>115</v>
      </c>
      <c r="E3420" s="463">
        <v>500</v>
      </c>
      <c r="F3420" s="407">
        <f t="shared" si="47"/>
        <v>0.92006815864919278</v>
      </c>
      <c r="G3420" s="408">
        <v>543.43799999999999</v>
      </c>
      <c r="H3420" s="243" t="s">
        <v>191</v>
      </c>
      <c r="I3420" s="243" t="s">
        <v>3665</v>
      </c>
      <c r="J3420" s="243" t="s">
        <v>96</v>
      </c>
      <c r="K3420" s="243" t="s">
        <v>1906</v>
      </c>
      <c r="L3420" s="243" t="s">
        <v>153</v>
      </c>
    </row>
    <row r="3421" spans="1:12" ht="15.6" hidden="1">
      <c r="A3421" s="438">
        <v>45952</v>
      </c>
      <c r="B3421" s="243" t="s">
        <v>3633</v>
      </c>
      <c r="C3421" s="243" t="s">
        <v>180</v>
      </c>
      <c r="D3421" s="243" t="s">
        <v>116</v>
      </c>
      <c r="E3421" s="463">
        <v>9300</v>
      </c>
      <c r="F3421" s="407">
        <f t="shared" si="47"/>
        <v>17.113267750874986</v>
      </c>
      <c r="G3421" s="408">
        <v>543.43799999999999</v>
      </c>
      <c r="H3421" s="243" t="s">
        <v>191</v>
      </c>
      <c r="I3421" s="455" t="s">
        <v>3676</v>
      </c>
      <c r="J3421" s="243" t="s">
        <v>96</v>
      </c>
      <c r="K3421" s="243" t="s">
        <v>1906</v>
      </c>
      <c r="L3421" s="243" t="s">
        <v>153</v>
      </c>
    </row>
    <row r="3422" spans="1:12" ht="15.6" hidden="1">
      <c r="A3422" s="438">
        <v>45952</v>
      </c>
      <c r="B3422" s="423" t="s">
        <v>3180</v>
      </c>
      <c r="C3422" s="423" t="s">
        <v>172</v>
      </c>
      <c r="D3422" s="423" t="s">
        <v>115</v>
      </c>
      <c r="E3422" s="471">
        <v>3500</v>
      </c>
      <c r="F3422" s="407">
        <f t="shared" si="47"/>
        <v>6.4404771105443492</v>
      </c>
      <c r="G3422" s="408">
        <v>543.43799999999999</v>
      </c>
      <c r="H3422" s="423" t="s">
        <v>185</v>
      </c>
      <c r="I3422" s="423" t="s">
        <v>4008</v>
      </c>
      <c r="J3422" s="243" t="s">
        <v>96</v>
      </c>
      <c r="K3422" s="243" t="s">
        <v>1906</v>
      </c>
      <c r="L3422" s="243" t="s">
        <v>153</v>
      </c>
    </row>
    <row r="3423" spans="1:12" ht="15.6" hidden="1">
      <c r="A3423" s="438">
        <v>45952</v>
      </c>
      <c r="B3423" s="423" t="s">
        <v>3968</v>
      </c>
      <c r="C3423" s="423" t="s">
        <v>172</v>
      </c>
      <c r="D3423" s="423" t="s">
        <v>115</v>
      </c>
      <c r="E3423" s="471">
        <v>1000</v>
      </c>
      <c r="F3423" s="407">
        <f t="shared" si="47"/>
        <v>1.8401363172983856</v>
      </c>
      <c r="G3423" s="408">
        <v>543.43799999999999</v>
      </c>
      <c r="H3423" s="423" t="s">
        <v>185</v>
      </c>
      <c r="I3423" s="423" t="s">
        <v>4008</v>
      </c>
      <c r="J3423" s="243" t="s">
        <v>96</v>
      </c>
      <c r="K3423" s="243" t="s">
        <v>1906</v>
      </c>
      <c r="L3423" s="243" t="s">
        <v>153</v>
      </c>
    </row>
    <row r="3424" spans="1:12" ht="15.6" hidden="1">
      <c r="A3424" s="438">
        <v>45952</v>
      </c>
      <c r="B3424" s="423" t="s">
        <v>3969</v>
      </c>
      <c r="C3424" s="423" t="s">
        <v>172</v>
      </c>
      <c r="D3424" s="423" t="s">
        <v>115</v>
      </c>
      <c r="E3424" s="471">
        <v>1000</v>
      </c>
      <c r="F3424" s="407">
        <f t="shared" si="47"/>
        <v>1.8401363172983856</v>
      </c>
      <c r="G3424" s="408">
        <v>543.43799999999999</v>
      </c>
      <c r="H3424" s="423" t="s">
        <v>185</v>
      </c>
      <c r="I3424" s="423" t="s">
        <v>4008</v>
      </c>
      <c r="J3424" s="243" t="s">
        <v>96</v>
      </c>
      <c r="K3424" s="243" t="s">
        <v>1906</v>
      </c>
      <c r="L3424" s="243" t="s">
        <v>153</v>
      </c>
    </row>
    <row r="3425" spans="1:12" ht="15.6" hidden="1">
      <c r="A3425" s="438">
        <v>45952</v>
      </c>
      <c r="B3425" s="423" t="s">
        <v>3970</v>
      </c>
      <c r="C3425" s="423" t="s">
        <v>172</v>
      </c>
      <c r="D3425" s="423" t="s">
        <v>115</v>
      </c>
      <c r="E3425" s="471">
        <v>1000</v>
      </c>
      <c r="F3425" s="407">
        <f t="shared" si="47"/>
        <v>1.8401363172983856</v>
      </c>
      <c r="G3425" s="408">
        <v>543.43799999999999</v>
      </c>
      <c r="H3425" s="423" t="s">
        <v>185</v>
      </c>
      <c r="I3425" s="423" t="s">
        <v>4008</v>
      </c>
      <c r="J3425" s="243" t="s">
        <v>96</v>
      </c>
      <c r="K3425" s="243" t="s">
        <v>1906</v>
      </c>
      <c r="L3425" s="243" t="s">
        <v>153</v>
      </c>
    </row>
    <row r="3426" spans="1:12" ht="15.6" hidden="1">
      <c r="A3426" s="438">
        <v>45952</v>
      </c>
      <c r="B3426" s="423" t="s">
        <v>3971</v>
      </c>
      <c r="C3426" s="423" t="s">
        <v>172</v>
      </c>
      <c r="D3426" s="423" t="s">
        <v>115</v>
      </c>
      <c r="E3426" s="471">
        <v>1000</v>
      </c>
      <c r="F3426" s="407">
        <f t="shared" si="47"/>
        <v>1.8401363172983856</v>
      </c>
      <c r="G3426" s="408">
        <v>543.43799999999999</v>
      </c>
      <c r="H3426" s="423" t="s">
        <v>185</v>
      </c>
      <c r="I3426" s="423" t="s">
        <v>4008</v>
      </c>
      <c r="J3426" s="243" t="s">
        <v>96</v>
      </c>
      <c r="K3426" s="243" t="s">
        <v>1906</v>
      </c>
      <c r="L3426" s="243" t="s">
        <v>153</v>
      </c>
    </row>
    <row r="3427" spans="1:12" ht="15.6" hidden="1">
      <c r="A3427" s="438">
        <v>45952</v>
      </c>
      <c r="B3427" s="423" t="s">
        <v>3972</v>
      </c>
      <c r="C3427" s="423" t="s">
        <v>172</v>
      </c>
      <c r="D3427" s="423" t="s">
        <v>115</v>
      </c>
      <c r="E3427" s="471">
        <v>2500</v>
      </c>
      <c r="F3427" s="407">
        <f t="shared" si="47"/>
        <v>4.6003407932459641</v>
      </c>
      <c r="G3427" s="408">
        <v>543.43799999999999</v>
      </c>
      <c r="H3427" s="423" t="s">
        <v>185</v>
      </c>
      <c r="I3427" s="423" t="s">
        <v>4008</v>
      </c>
      <c r="J3427" s="243" t="s">
        <v>96</v>
      </c>
      <c r="K3427" s="243" t="s">
        <v>1906</v>
      </c>
      <c r="L3427" s="243" t="s">
        <v>153</v>
      </c>
    </row>
    <row r="3428" spans="1:12" ht="15.6" hidden="1">
      <c r="A3428" s="438">
        <v>45952</v>
      </c>
      <c r="B3428" s="423" t="s">
        <v>3973</v>
      </c>
      <c r="C3428" s="423" t="s">
        <v>172</v>
      </c>
      <c r="D3428" s="423" t="s">
        <v>115</v>
      </c>
      <c r="E3428" s="464">
        <v>27000</v>
      </c>
      <c r="F3428" s="407">
        <f t="shared" si="47"/>
        <v>49.683680567056406</v>
      </c>
      <c r="G3428" s="408">
        <v>543.43799999999999</v>
      </c>
      <c r="H3428" s="423" t="s">
        <v>185</v>
      </c>
      <c r="I3428" s="456" t="s">
        <v>4022</v>
      </c>
      <c r="J3428" s="243" t="s">
        <v>96</v>
      </c>
      <c r="K3428" s="243" t="s">
        <v>1906</v>
      </c>
      <c r="L3428" s="243" t="s">
        <v>153</v>
      </c>
    </row>
    <row r="3429" spans="1:12" ht="15.6" hidden="1">
      <c r="A3429" s="438">
        <v>45952</v>
      </c>
      <c r="B3429" s="423" t="s">
        <v>3974</v>
      </c>
      <c r="C3429" s="423" t="s">
        <v>175</v>
      </c>
      <c r="D3429" s="423" t="s">
        <v>115</v>
      </c>
      <c r="E3429" s="464">
        <v>50000</v>
      </c>
      <c r="F3429" s="407">
        <f t="shared" si="47"/>
        <v>92.006815864919275</v>
      </c>
      <c r="G3429" s="408">
        <v>543.43799999999999</v>
      </c>
      <c r="H3429" s="423" t="s">
        <v>185</v>
      </c>
      <c r="I3429" s="456" t="s">
        <v>4023</v>
      </c>
      <c r="J3429" s="243" t="s">
        <v>96</v>
      </c>
      <c r="K3429" s="243" t="s">
        <v>1906</v>
      </c>
      <c r="L3429" s="243" t="s">
        <v>153</v>
      </c>
    </row>
    <row r="3430" spans="1:12" ht="15.6" hidden="1">
      <c r="A3430" s="438">
        <v>45953</v>
      </c>
      <c r="B3430" s="239" t="s">
        <v>2103</v>
      </c>
      <c r="C3430" s="453" t="s">
        <v>172</v>
      </c>
      <c r="D3430" s="453" t="s">
        <v>117</v>
      </c>
      <c r="E3430" s="458">
        <v>1000</v>
      </c>
      <c r="F3430" s="407">
        <f t="shared" si="47"/>
        <v>1.8401363172983856</v>
      </c>
      <c r="G3430" s="408">
        <v>543.43799999999999</v>
      </c>
      <c r="H3430" s="454" t="s">
        <v>151</v>
      </c>
      <c r="I3430" s="239" t="s">
        <v>3264</v>
      </c>
      <c r="J3430" s="243" t="s">
        <v>96</v>
      </c>
      <c r="K3430" s="243" t="s">
        <v>1906</v>
      </c>
      <c r="L3430" s="243" t="s">
        <v>153</v>
      </c>
    </row>
    <row r="3431" spans="1:12" ht="15.6" hidden="1">
      <c r="A3431" s="438">
        <v>45953</v>
      </c>
      <c r="B3431" s="239" t="s">
        <v>3241</v>
      </c>
      <c r="C3431" s="453" t="s">
        <v>172</v>
      </c>
      <c r="D3431" s="453" t="s">
        <v>117</v>
      </c>
      <c r="E3431" s="458">
        <v>1000</v>
      </c>
      <c r="F3431" s="407">
        <f t="shared" si="47"/>
        <v>1.8401363172983856</v>
      </c>
      <c r="G3431" s="408">
        <v>543.43799999999999</v>
      </c>
      <c r="H3431" s="454" t="s">
        <v>151</v>
      </c>
      <c r="I3431" s="239" t="s">
        <v>3264</v>
      </c>
      <c r="J3431" s="243" t="s">
        <v>96</v>
      </c>
      <c r="K3431" s="243" t="s">
        <v>1906</v>
      </c>
      <c r="L3431" s="243" t="s">
        <v>153</v>
      </c>
    </row>
    <row r="3432" spans="1:12" ht="15.6" hidden="1">
      <c r="A3432" s="438">
        <v>45953</v>
      </c>
      <c r="B3432" s="239" t="s">
        <v>2118</v>
      </c>
      <c r="C3432" s="453" t="s">
        <v>172</v>
      </c>
      <c r="D3432" s="453" t="s">
        <v>117</v>
      </c>
      <c r="E3432" s="458">
        <v>1000</v>
      </c>
      <c r="F3432" s="407">
        <f t="shared" si="47"/>
        <v>1.8401363172983856</v>
      </c>
      <c r="G3432" s="408">
        <v>543.43799999999999</v>
      </c>
      <c r="H3432" s="454" t="s">
        <v>151</v>
      </c>
      <c r="I3432" s="239" t="s">
        <v>3264</v>
      </c>
      <c r="J3432" s="243" t="s">
        <v>96</v>
      </c>
      <c r="K3432" s="243" t="s">
        <v>1906</v>
      </c>
      <c r="L3432" s="243" t="s">
        <v>153</v>
      </c>
    </row>
    <row r="3433" spans="1:12" ht="15.6" hidden="1">
      <c r="A3433" s="438">
        <v>45953</v>
      </c>
      <c r="B3433" s="239" t="s">
        <v>3242</v>
      </c>
      <c r="C3433" s="453" t="s">
        <v>172</v>
      </c>
      <c r="D3433" s="453" t="s">
        <v>117</v>
      </c>
      <c r="E3433" s="458">
        <v>7000</v>
      </c>
      <c r="F3433" s="407">
        <f t="shared" si="47"/>
        <v>12.880954221088698</v>
      </c>
      <c r="G3433" s="408">
        <v>543.43799999999999</v>
      </c>
      <c r="H3433" s="454" t="s">
        <v>151</v>
      </c>
      <c r="I3433" s="239" t="s">
        <v>3272</v>
      </c>
      <c r="J3433" s="243" t="s">
        <v>96</v>
      </c>
      <c r="K3433" s="243" t="s">
        <v>1906</v>
      </c>
      <c r="L3433" s="243" t="s">
        <v>153</v>
      </c>
    </row>
    <row r="3434" spans="1:12" ht="15.6" hidden="1">
      <c r="A3434" s="438">
        <v>45953</v>
      </c>
      <c r="B3434" s="239" t="s">
        <v>2116</v>
      </c>
      <c r="C3434" s="453" t="s">
        <v>172</v>
      </c>
      <c r="D3434" s="453" t="s">
        <v>117</v>
      </c>
      <c r="E3434" s="458">
        <v>1000</v>
      </c>
      <c r="F3434" s="407">
        <f t="shared" si="47"/>
        <v>1.8401363172983856</v>
      </c>
      <c r="G3434" s="408">
        <v>543.43799999999999</v>
      </c>
      <c r="H3434" s="454" t="s">
        <v>151</v>
      </c>
      <c r="I3434" s="239" t="s">
        <v>3264</v>
      </c>
      <c r="J3434" s="243" t="s">
        <v>96</v>
      </c>
      <c r="K3434" s="243" t="s">
        <v>1906</v>
      </c>
      <c r="L3434" s="243" t="s">
        <v>153</v>
      </c>
    </row>
    <row r="3435" spans="1:12" ht="15.6" hidden="1">
      <c r="A3435" s="438">
        <v>45953</v>
      </c>
      <c r="B3435" s="329" t="s">
        <v>3294</v>
      </c>
      <c r="C3435" s="329" t="s">
        <v>172</v>
      </c>
      <c r="D3435" s="329" t="s">
        <v>115</v>
      </c>
      <c r="E3435" s="451">
        <v>7000</v>
      </c>
      <c r="F3435" s="407">
        <f t="shared" si="47"/>
        <v>12.880954221088698</v>
      </c>
      <c r="G3435" s="408">
        <v>543.43799999999999</v>
      </c>
      <c r="H3435" s="329" t="s">
        <v>198</v>
      </c>
      <c r="I3435" s="329" t="s">
        <v>3363</v>
      </c>
      <c r="J3435" s="243" t="s">
        <v>96</v>
      </c>
      <c r="K3435" s="243" t="s">
        <v>1906</v>
      </c>
      <c r="L3435" s="243" t="s">
        <v>153</v>
      </c>
    </row>
    <row r="3436" spans="1:12" ht="15.6" hidden="1">
      <c r="A3436" s="438">
        <v>45953</v>
      </c>
      <c r="B3436" s="243" t="s">
        <v>3400</v>
      </c>
      <c r="C3436" s="423" t="s">
        <v>172</v>
      </c>
      <c r="D3436" s="423" t="s">
        <v>116</v>
      </c>
      <c r="E3436" s="464">
        <v>1000</v>
      </c>
      <c r="F3436" s="407">
        <f t="shared" si="47"/>
        <v>1.8401363172983856</v>
      </c>
      <c r="G3436" s="408">
        <v>543.43799999999999</v>
      </c>
      <c r="H3436" s="423" t="s">
        <v>581</v>
      </c>
      <c r="I3436" s="423" t="s">
        <v>3419</v>
      </c>
      <c r="J3436" s="243" t="s">
        <v>96</v>
      </c>
      <c r="K3436" s="243" t="s">
        <v>1906</v>
      </c>
      <c r="L3436" s="243" t="s">
        <v>153</v>
      </c>
    </row>
    <row r="3437" spans="1:12" ht="15.6" hidden="1">
      <c r="A3437" s="438">
        <v>45953</v>
      </c>
      <c r="B3437" s="243" t="s">
        <v>2884</v>
      </c>
      <c r="C3437" s="423" t="s">
        <v>172</v>
      </c>
      <c r="D3437" s="423" t="s">
        <v>116</v>
      </c>
      <c r="E3437" s="464">
        <v>1000</v>
      </c>
      <c r="F3437" s="407">
        <f t="shared" si="47"/>
        <v>1.8401363172983856</v>
      </c>
      <c r="G3437" s="408">
        <v>543.43799999999999</v>
      </c>
      <c r="H3437" s="423" t="s">
        <v>581</v>
      </c>
      <c r="I3437" s="423" t="s">
        <v>3419</v>
      </c>
      <c r="J3437" s="243" t="s">
        <v>96</v>
      </c>
      <c r="K3437" s="243" t="s">
        <v>1906</v>
      </c>
      <c r="L3437" s="243" t="s">
        <v>153</v>
      </c>
    </row>
    <row r="3438" spans="1:12" ht="15.6" hidden="1">
      <c r="A3438" s="438">
        <v>45953</v>
      </c>
      <c r="B3438" s="423" t="s">
        <v>4876</v>
      </c>
      <c r="C3438" s="423" t="s">
        <v>172</v>
      </c>
      <c r="D3438" s="423" t="s">
        <v>119</v>
      </c>
      <c r="E3438" s="471">
        <v>1000</v>
      </c>
      <c r="F3438" s="407">
        <f t="shared" si="47"/>
        <v>1.8401363172983856</v>
      </c>
      <c r="G3438" s="408">
        <v>543.43799999999999</v>
      </c>
      <c r="H3438" s="423" t="s">
        <v>173</v>
      </c>
      <c r="I3438" s="423" t="s">
        <v>3484</v>
      </c>
      <c r="J3438" s="243" t="s">
        <v>96</v>
      </c>
      <c r="K3438" s="243" t="s">
        <v>1906</v>
      </c>
      <c r="L3438" s="243" t="s">
        <v>153</v>
      </c>
    </row>
    <row r="3439" spans="1:12" ht="15.6" hidden="1">
      <c r="A3439" s="438">
        <v>45953</v>
      </c>
      <c r="B3439" s="423" t="s">
        <v>4833</v>
      </c>
      <c r="C3439" s="423" t="s">
        <v>172</v>
      </c>
      <c r="D3439" s="423" t="s">
        <v>119</v>
      </c>
      <c r="E3439" s="471">
        <v>5000</v>
      </c>
      <c r="F3439" s="407">
        <f t="shared" si="47"/>
        <v>9.2006815864919282</v>
      </c>
      <c r="G3439" s="408">
        <v>543.43799999999999</v>
      </c>
      <c r="H3439" s="423" t="s">
        <v>173</v>
      </c>
      <c r="I3439" s="423" t="s">
        <v>3500</v>
      </c>
      <c r="J3439" s="243" t="s">
        <v>96</v>
      </c>
      <c r="K3439" s="243" t="s">
        <v>1906</v>
      </c>
      <c r="L3439" s="243" t="s">
        <v>153</v>
      </c>
    </row>
    <row r="3440" spans="1:12" ht="15.6" hidden="1">
      <c r="A3440" s="438">
        <v>45953</v>
      </c>
      <c r="B3440" s="423" t="s">
        <v>4888</v>
      </c>
      <c r="C3440" s="423" t="s">
        <v>172</v>
      </c>
      <c r="D3440" s="423" t="s">
        <v>119</v>
      </c>
      <c r="E3440" s="471">
        <v>500</v>
      </c>
      <c r="F3440" s="407">
        <f t="shared" si="47"/>
        <v>0.92006815864919278</v>
      </c>
      <c r="G3440" s="408">
        <v>543.43799999999999</v>
      </c>
      <c r="H3440" s="423" t="s">
        <v>173</v>
      </c>
      <c r="I3440" s="423" t="s">
        <v>3484</v>
      </c>
      <c r="J3440" s="243" t="s">
        <v>96</v>
      </c>
      <c r="K3440" s="243" t="s">
        <v>1906</v>
      </c>
      <c r="L3440" s="243" t="s">
        <v>153</v>
      </c>
    </row>
    <row r="3441" spans="1:12" ht="15.6" hidden="1">
      <c r="A3441" s="438">
        <v>45953</v>
      </c>
      <c r="B3441" s="423" t="s">
        <v>4896</v>
      </c>
      <c r="C3441" s="423" t="s">
        <v>172</v>
      </c>
      <c r="D3441" s="423" t="s">
        <v>119</v>
      </c>
      <c r="E3441" s="471">
        <v>500</v>
      </c>
      <c r="F3441" s="407">
        <f t="shared" si="47"/>
        <v>0.92006815864919278</v>
      </c>
      <c r="G3441" s="408">
        <v>543.43799999999999</v>
      </c>
      <c r="H3441" s="423" t="s">
        <v>173</v>
      </c>
      <c r="I3441" s="423" t="s">
        <v>3484</v>
      </c>
      <c r="J3441" s="243" t="s">
        <v>96</v>
      </c>
      <c r="K3441" s="243" t="s">
        <v>1906</v>
      </c>
      <c r="L3441" s="243" t="s">
        <v>153</v>
      </c>
    </row>
    <row r="3442" spans="1:12" ht="15.6" hidden="1">
      <c r="A3442" s="438">
        <v>45953</v>
      </c>
      <c r="B3442" s="423" t="s">
        <v>4888</v>
      </c>
      <c r="C3442" s="423" t="s">
        <v>172</v>
      </c>
      <c r="D3442" s="423" t="s">
        <v>119</v>
      </c>
      <c r="E3442" s="471">
        <v>500</v>
      </c>
      <c r="F3442" s="407">
        <f t="shared" si="47"/>
        <v>0.92006815864919278</v>
      </c>
      <c r="G3442" s="408">
        <v>543.43799999999999</v>
      </c>
      <c r="H3442" s="423" t="s">
        <v>173</v>
      </c>
      <c r="I3442" s="423" t="s">
        <v>3484</v>
      </c>
      <c r="J3442" s="243" t="s">
        <v>96</v>
      </c>
      <c r="K3442" s="243" t="s">
        <v>1906</v>
      </c>
      <c r="L3442" s="243" t="s">
        <v>153</v>
      </c>
    </row>
    <row r="3443" spans="1:12" ht="15.6" hidden="1">
      <c r="A3443" s="438">
        <v>45953</v>
      </c>
      <c r="B3443" s="423" t="s">
        <v>4833</v>
      </c>
      <c r="C3443" s="423" t="s">
        <v>172</v>
      </c>
      <c r="D3443" s="423" t="s">
        <v>119</v>
      </c>
      <c r="E3443" s="471">
        <v>5000</v>
      </c>
      <c r="F3443" s="407">
        <f t="shared" si="47"/>
        <v>9.2006815864919282</v>
      </c>
      <c r="G3443" s="408">
        <v>543.43799999999999</v>
      </c>
      <c r="H3443" s="423" t="s">
        <v>173</v>
      </c>
      <c r="I3443" s="423" t="s">
        <v>3501</v>
      </c>
      <c r="J3443" s="243" t="s">
        <v>96</v>
      </c>
      <c r="K3443" s="243" t="s">
        <v>1906</v>
      </c>
      <c r="L3443" s="243" t="s">
        <v>153</v>
      </c>
    </row>
    <row r="3444" spans="1:12" ht="15.6" hidden="1">
      <c r="A3444" s="438">
        <v>45953</v>
      </c>
      <c r="B3444" s="423" t="s">
        <v>3476</v>
      </c>
      <c r="C3444" s="423" t="s">
        <v>366</v>
      </c>
      <c r="D3444" s="423" t="s">
        <v>119</v>
      </c>
      <c r="E3444" s="471">
        <v>3500</v>
      </c>
      <c r="F3444" s="407">
        <f t="shared" si="47"/>
        <v>6.4404771105443492</v>
      </c>
      <c r="G3444" s="408">
        <v>543.43799999999999</v>
      </c>
      <c r="H3444" s="423" t="s">
        <v>173</v>
      </c>
      <c r="I3444" s="423" t="s">
        <v>3485</v>
      </c>
      <c r="J3444" s="243" t="s">
        <v>96</v>
      </c>
      <c r="K3444" s="243" t="s">
        <v>1906</v>
      </c>
      <c r="L3444" s="243" t="s">
        <v>153</v>
      </c>
    </row>
    <row r="3445" spans="1:12" ht="15.6" hidden="1">
      <c r="A3445" s="438">
        <v>45953</v>
      </c>
      <c r="B3445" s="423" t="s">
        <v>4907</v>
      </c>
      <c r="C3445" s="423" t="s">
        <v>172</v>
      </c>
      <c r="D3445" s="423" t="s">
        <v>119</v>
      </c>
      <c r="E3445" s="471">
        <v>1500</v>
      </c>
      <c r="F3445" s="407">
        <f t="shared" si="47"/>
        <v>2.7602044759475781</v>
      </c>
      <c r="G3445" s="408">
        <v>543.43799999999999</v>
      </c>
      <c r="H3445" s="423" t="s">
        <v>173</v>
      </c>
      <c r="I3445" s="423" t="s">
        <v>3484</v>
      </c>
      <c r="J3445" s="243" t="s">
        <v>96</v>
      </c>
      <c r="K3445" s="243" t="s">
        <v>1906</v>
      </c>
      <c r="L3445" s="243" t="s">
        <v>153</v>
      </c>
    </row>
    <row r="3446" spans="1:12" ht="15.6" hidden="1">
      <c r="A3446" s="438">
        <v>45953</v>
      </c>
      <c r="B3446" s="423" t="s">
        <v>4907</v>
      </c>
      <c r="C3446" s="423" t="s">
        <v>172</v>
      </c>
      <c r="D3446" s="423" t="s">
        <v>119</v>
      </c>
      <c r="E3446" s="471">
        <v>1000</v>
      </c>
      <c r="F3446" s="407">
        <f t="shared" si="47"/>
        <v>1.8401363172983856</v>
      </c>
      <c r="G3446" s="408">
        <v>543.43799999999999</v>
      </c>
      <c r="H3446" s="423" t="s">
        <v>173</v>
      </c>
      <c r="I3446" s="423" t="s">
        <v>3484</v>
      </c>
      <c r="J3446" s="243" t="s">
        <v>96</v>
      </c>
      <c r="K3446" s="243" t="s">
        <v>1906</v>
      </c>
      <c r="L3446" s="243" t="s">
        <v>153</v>
      </c>
    </row>
    <row r="3447" spans="1:12" ht="15.6" hidden="1">
      <c r="A3447" s="438">
        <v>45953</v>
      </c>
      <c r="B3447" s="243" t="s">
        <v>4917</v>
      </c>
      <c r="C3447" s="243" t="s">
        <v>172</v>
      </c>
      <c r="D3447" s="243" t="s">
        <v>119</v>
      </c>
      <c r="E3447" s="460">
        <v>1000</v>
      </c>
      <c r="F3447" s="407">
        <f t="shared" si="47"/>
        <v>1.8401363172983856</v>
      </c>
      <c r="G3447" s="408">
        <v>543.43799999999999</v>
      </c>
      <c r="H3447" s="243" t="s">
        <v>315</v>
      </c>
      <c r="I3447" s="243" t="s">
        <v>3510</v>
      </c>
      <c r="J3447" s="243" t="s">
        <v>96</v>
      </c>
      <c r="K3447" s="243" t="s">
        <v>1906</v>
      </c>
      <c r="L3447" s="243" t="s">
        <v>153</v>
      </c>
    </row>
    <row r="3448" spans="1:12" ht="15.6" hidden="1">
      <c r="A3448" s="438">
        <v>45953</v>
      </c>
      <c r="B3448" s="243" t="s">
        <v>4876</v>
      </c>
      <c r="C3448" s="243" t="s">
        <v>172</v>
      </c>
      <c r="D3448" s="243" t="s">
        <v>119</v>
      </c>
      <c r="E3448" s="460">
        <v>1000</v>
      </c>
      <c r="F3448" s="407">
        <f t="shared" si="47"/>
        <v>1.8401363172983856</v>
      </c>
      <c r="G3448" s="408">
        <v>543.43799999999999</v>
      </c>
      <c r="H3448" s="243" t="s">
        <v>315</v>
      </c>
      <c r="I3448" s="243" t="s">
        <v>3510</v>
      </c>
      <c r="J3448" s="243" t="s">
        <v>96</v>
      </c>
      <c r="K3448" s="243" t="s">
        <v>1906</v>
      </c>
      <c r="L3448" s="243" t="s">
        <v>153</v>
      </c>
    </row>
    <row r="3449" spans="1:12" ht="15.6" hidden="1">
      <c r="A3449" s="438">
        <v>45953</v>
      </c>
      <c r="B3449" s="243" t="s">
        <v>4801</v>
      </c>
      <c r="C3449" s="243" t="s">
        <v>2394</v>
      </c>
      <c r="D3449" s="243" t="s">
        <v>119</v>
      </c>
      <c r="E3449" s="457">
        <v>15000</v>
      </c>
      <c r="F3449" s="407">
        <f t="shared" si="47"/>
        <v>27.602044759475781</v>
      </c>
      <c r="G3449" s="408">
        <v>543.43799999999999</v>
      </c>
      <c r="H3449" s="243" t="s">
        <v>321</v>
      </c>
      <c r="I3449" s="243" t="s">
        <v>3546</v>
      </c>
      <c r="J3449" s="243" t="s">
        <v>96</v>
      </c>
      <c r="K3449" s="243" t="s">
        <v>1906</v>
      </c>
      <c r="L3449" s="243" t="s">
        <v>153</v>
      </c>
    </row>
    <row r="3450" spans="1:12" ht="15.6" hidden="1">
      <c r="A3450" s="438">
        <v>45953</v>
      </c>
      <c r="B3450" s="243" t="s">
        <v>4876</v>
      </c>
      <c r="C3450" s="243" t="s">
        <v>172</v>
      </c>
      <c r="D3450" s="243" t="s">
        <v>119</v>
      </c>
      <c r="E3450" s="457">
        <v>500</v>
      </c>
      <c r="F3450" s="407">
        <f t="shared" si="47"/>
        <v>0.92006815864919278</v>
      </c>
      <c r="G3450" s="408">
        <v>543.43799999999999</v>
      </c>
      <c r="H3450" s="243" t="s">
        <v>321</v>
      </c>
      <c r="I3450" s="243" t="s">
        <v>3533</v>
      </c>
      <c r="J3450" s="243" t="s">
        <v>96</v>
      </c>
      <c r="K3450" s="243" t="s">
        <v>1906</v>
      </c>
      <c r="L3450" s="243" t="s">
        <v>153</v>
      </c>
    </row>
    <row r="3451" spans="1:12" ht="15.6" hidden="1">
      <c r="A3451" s="438">
        <v>45953</v>
      </c>
      <c r="B3451" s="243" t="s">
        <v>4876</v>
      </c>
      <c r="C3451" s="243" t="s">
        <v>172</v>
      </c>
      <c r="D3451" s="243" t="s">
        <v>119</v>
      </c>
      <c r="E3451" s="457">
        <v>1000</v>
      </c>
      <c r="F3451" s="407">
        <f t="shared" si="47"/>
        <v>1.8401363172983856</v>
      </c>
      <c r="G3451" s="408">
        <v>543.43799999999999</v>
      </c>
      <c r="H3451" s="243" t="s">
        <v>321</v>
      </c>
      <c r="I3451" s="243" t="s">
        <v>3533</v>
      </c>
      <c r="J3451" s="243" t="s">
        <v>96</v>
      </c>
      <c r="K3451" s="243" t="s">
        <v>1906</v>
      </c>
      <c r="L3451" s="243" t="s">
        <v>153</v>
      </c>
    </row>
    <row r="3452" spans="1:12" ht="15.6" hidden="1">
      <c r="A3452" s="438">
        <v>45953</v>
      </c>
      <c r="B3452" s="243" t="s">
        <v>3565</v>
      </c>
      <c r="C3452" s="243" t="s">
        <v>2394</v>
      </c>
      <c r="D3452" s="243" t="s">
        <v>115</v>
      </c>
      <c r="E3452" s="463">
        <v>60000</v>
      </c>
      <c r="F3452" s="407">
        <f t="shared" si="47"/>
        <v>110.40817903790312</v>
      </c>
      <c r="G3452" s="408">
        <v>543.43799999999999</v>
      </c>
      <c r="H3452" s="243" t="s">
        <v>188</v>
      </c>
      <c r="I3452" s="243" t="s">
        <v>3603</v>
      </c>
      <c r="J3452" s="243" t="s">
        <v>96</v>
      </c>
      <c r="K3452" s="243" t="s">
        <v>1906</v>
      </c>
      <c r="L3452" s="243" t="s">
        <v>153</v>
      </c>
    </row>
    <row r="3453" spans="1:12" ht="15.6" hidden="1">
      <c r="A3453" s="438">
        <v>45953</v>
      </c>
      <c r="B3453" s="243" t="s">
        <v>3566</v>
      </c>
      <c r="C3453" s="243" t="s">
        <v>172</v>
      </c>
      <c r="D3453" s="243" t="s">
        <v>115</v>
      </c>
      <c r="E3453" s="463">
        <v>1000</v>
      </c>
      <c r="F3453" s="407">
        <f t="shared" si="47"/>
        <v>1.8401363172983856</v>
      </c>
      <c r="G3453" s="408">
        <v>543.43799999999999</v>
      </c>
      <c r="H3453" s="243" t="s">
        <v>188</v>
      </c>
      <c r="I3453" s="243" t="s">
        <v>3594</v>
      </c>
      <c r="J3453" s="243" t="s">
        <v>96</v>
      </c>
      <c r="K3453" s="243" t="s">
        <v>1906</v>
      </c>
      <c r="L3453" s="243" t="s">
        <v>153</v>
      </c>
    </row>
    <row r="3454" spans="1:12" ht="15.6" hidden="1">
      <c r="A3454" s="438">
        <v>45953</v>
      </c>
      <c r="B3454" s="243" t="s">
        <v>3567</v>
      </c>
      <c r="C3454" s="243" t="s">
        <v>172</v>
      </c>
      <c r="D3454" s="243" t="s">
        <v>115</v>
      </c>
      <c r="E3454" s="463">
        <v>1000</v>
      </c>
      <c r="F3454" s="407">
        <f t="shared" si="47"/>
        <v>1.8401363172983856</v>
      </c>
      <c r="G3454" s="408">
        <v>543.43799999999999</v>
      </c>
      <c r="H3454" s="243" t="s">
        <v>188</v>
      </c>
      <c r="I3454" s="243" t="s">
        <v>3594</v>
      </c>
      <c r="J3454" s="243" t="s">
        <v>96</v>
      </c>
      <c r="K3454" s="243" t="s">
        <v>1906</v>
      </c>
      <c r="L3454" s="243" t="s">
        <v>153</v>
      </c>
    </row>
    <row r="3455" spans="1:12" ht="15.6" hidden="1">
      <c r="A3455" s="438">
        <v>45953</v>
      </c>
      <c r="B3455" s="243" t="s">
        <v>3568</v>
      </c>
      <c r="C3455" s="243" t="s">
        <v>3317</v>
      </c>
      <c r="D3455" s="243" t="s">
        <v>115</v>
      </c>
      <c r="E3455" s="463">
        <v>3000</v>
      </c>
      <c r="F3455" s="407">
        <f t="shared" si="47"/>
        <v>5.5204089518951562</v>
      </c>
      <c r="G3455" s="408">
        <v>543.43799999999999</v>
      </c>
      <c r="H3455" s="243" t="s">
        <v>188</v>
      </c>
      <c r="I3455" s="243" t="s">
        <v>3604</v>
      </c>
      <c r="J3455" s="243" t="s">
        <v>96</v>
      </c>
      <c r="K3455" s="243" t="s">
        <v>1906</v>
      </c>
      <c r="L3455" s="243" t="s">
        <v>153</v>
      </c>
    </row>
    <row r="3456" spans="1:12" ht="15.6" hidden="1">
      <c r="A3456" s="438">
        <v>45953</v>
      </c>
      <c r="B3456" s="243" t="s">
        <v>3634</v>
      </c>
      <c r="C3456" s="243" t="s">
        <v>172</v>
      </c>
      <c r="D3456" s="243" t="s">
        <v>115</v>
      </c>
      <c r="E3456" s="463">
        <v>1000</v>
      </c>
      <c r="F3456" s="407">
        <f t="shared" si="47"/>
        <v>1.8401363172983856</v>
      </c>
      <c r="G3456" s="408">
        <v>543.43799999999999</v>
      </c>
      <c r="H3456" s="243" t="s">
        <v>191</v>
      </c>
      <c r="I3456" s="243" t="s">
        <v>3665</v>
      </c>
      <c r="J3456" s="243" t="s">
        <v>96</v>
      </c>
      <c r="K3456" s="243" t="s">
        <v>1906</v>
      </c>
      <c r="L3456" s="243" t="s">
        <v>153</v>
      </c>
    </row>
    <row r="3457" spans="1:12" ht="15.6" hidden="1">
      <c r="A3457" s="438">
        <v>45953</v>
      </c>
      <c r="B3457" s="243" t="s">
        <v>3635</v>
      </c>
      <c r="C3457" s="243" t="s">
        <v>172</v>
      </c>
      <c r="D3457" s="243" t="s">
        <v>115</v>
      </c>
      <c r="E3457" s="463">
        <v>7000</v>
      </c>
      <c r="F3457" s="407">
        <f t="shared" si="47"/>
        <v>12.880954221088698</v>
      </c>
      <c r="G3457" s="408">
        <v>543.43799999999999</v>
      </c>
      <c r="H3457" s="243" t="s">
        <v>191</v>
      </c>
      <c r="I3457" s="243" t="s">
        <v>3677</v>
      </c>
      <c r="J3457" s="243" t="s">
        <v>96</v>
      </c>
      <c r="K3457" s="243" t="s">
        <v>1906</v>
      </c>
      <c r="L3457" s="243" t="s">
        <v>153</v>
      </c>
    </row>
    <row r="3458" spans="1:12" ht="15.6" hidden="1">
      <c r="A3458" s="438">
        <v>45953</v>
      </c>
      <c r="B3458" s="243" t="s">
        <v>2574</v>
      </c>
      <c r="C3458" s="243" t="s">
        <v>172</v>
      </c>
      <c r="D3458" s="243" t="s">
        <v>115</v>
      </c>
      <c r="E3458" s="463">
        <v>1000</v>
      </c>
      <c r="F3458" s="407">
        <f t="shared" si="47"/>
        <v>1.8401363172983856</v>
      </c>
      <c r="G3458" s="408">
        <v>543.43799999999999</v>
      </c>
      <c r="H3458" s="243" t="s">
        <v>191</v>
      </c>
      <c r="I3458" s="243" t="s">
        <v>3665</v>
      </c>
      <c r="J3458" s="243" t="s">
        <v>96</v>
      </c>
      <c r="K3458" s="243" t="s">
        <v>1906</v>
      </c>
      <c r="L3458" s="243" t="s">
        <v>153</v>
      </c>
    </row>
    <row r="3459" spans="1:12" ht="15.6" hidden="1">
      <c r="A3459" s="438">
        <v>45953</v>
      </c>
      <c r="B3459" s="461" t="s">
        <v>3860</v>
      </c>
      <c r="C3459" s="439" t="s">
        <v>172</v>
      </c>
      <c r="D3459" s="461" t="s">
        <v>118</v>
      </c>
      <c r="E3459" s="464">
        <v>7000</v>
      </c>
      <c r="F3459" s="407">
        <f t="shared" ref="F3459:F3516" si="48">E3459/G3459</f>
        <v>12.880954221088698</v>
      </c>
      <c r="G3459" s="408">
        <v>543.43799999999999</v>
      </c>
      <c r="H3459" s="461" t="s">
        <v>211</v>
      </c>
      <c r="I3459" s="461" t="s">
        <v>3927</v>
      </c>
      <c r="J3459" s="243" t="s">
        <v>96</v>
      </c>
      <c r="K3459" s="243" t="s">
        <v>1906</v>
      </c>
      <c r="L3459" s="243" t="s">
        <v>153</v>
      </c>
    </row>
    <row r="3460" spans="1:12" ht="15.6" hidden="1">
      <c r="A3460" s="438">
        <v>45953</v>
      </c>
      <c r="B3460" s="461" t="s">
        <v>3826</v>
      </c>
      <c r="C3460" s="439" t="s">
        <v>172</v>
      </c>
      <c r="D3460" s="461" t="s">
        <v>118</v>
      </c>
      <c r="E3460" s="464">
        <v>1000</v>
      </c>
      <c r="F3460" s="407">
        <f t="shared" si="48"/>
        <v>1.8401363172983856</v>
      </c>
      <c r="G3460" s="408">
        <v>543.43799999999999</v>
      </c>
      <c r="H3460" s="461" t="s">
        <v>211</v>
      </c>
      <c r="I3460" s="461" t="s">
        <v>3910</v>
      </c>
      <c r="J3460" s="243" t="s">
        <v>96</v>
      </c>
      <c r="K3460" s="243" t="s">
        <v>1906</v>
      </c>
      <c r="L3460" s="243" t="s">
        <v>153</v>
      </c>
    </row>
    <row r="3461" spans="1:12" ht="15.6" hidden="1">
      <c r="A3461" s="438">
        <v>45953</v>
      </c>
      <c r="B3461" s="461" t="s">
        <v>3861</v>
      </c>
      <c r="C3461" s="439" t="s">
        <v>172</v>
      </c>
      <c r="D3461" s="461" t="s">
        <v>118</v>
      </c>
      <c r="E3461" s="464">
        <v>1000</v>
      </c>
      <c r="F3461" s="407">
        <f t="shared" si="48"/>
        <v>1.8401363172983856</v>
      </c>
      <c r="G3461" s="408">
        <v>543.43799999999999</v>
      </c>
      <c r="H3461" s="461" t="s">
        <v>211</v>
      </c>
      <c r="I3461" s="461" t="s">
        <v>3910</v>
      </c>
      <c r="J3461" s="243" t="s">
        <v>96</v>
      </c>
      <c r="K3461" s="243" t="s">
        <v>1906</v>
      </c>
      <c r="L3461" s="243" t="s">
        <v>153</v>
      </c>
    </row>
    <row r="3462" spans="1:12" ht="15.6" hidden="1">
      <c r="A3462" s="438">
        <v>45953</v>
      </c>
      <c r="B3462" s="461" t="s">
        <v>3862</v>
      </c>
      <c r="C3462" s="439" t="s">
        <v>172</v>
      </c>
      <c r="D3462" s="461" t="s">
        <v>118</v>
      </c>
      <c r="E3462" s="464">
        <v>1000</v>
      </c>
      <c r="F3462" s="407">
        <f t="shared" si="48"/>
        <v>1.8401363172983856</v>
      </c>
      <c r="G3462" s="408">
        <v>543.43799999999999</v>
      </c>
      <c r="H3462" s="461" t="s">
        <v>211</v>
      </c>
      <c r="I3462" s="461" t="s">
        <v>3910</v>
      </c>
      <c r="J3462" s="243" t="s">
        <v>96</v>
      </c>
      <c r="K3462" s="243" t="s">
        <v>1906</v>
      </c>
      <c r="L3462" s="243" t="s">
        <v>153</v>
      </c>
    </row>
    <row r="3463" spans="1:12" ht="15.6" hidden="1">
      <c r="A3463" s="438">
        <v>45953</v>
      </c>
      <c r="B3463" s="461" t="s">
        <v>3863</v>
      </c>
      <c r="C3463" s="439" t="s">
        <v>172</v>
      </c>
      <c r="D3463" s="461" t="s">
        <v>118</v>
      </c>
      <c r="E3463" s="464">
        <v>1000</v>
      </c>
      <c r="F3463" s="407">
        <f t="shared" si="48"/>
        <v>1.8401363172983856</v>
      </c>
      <c r="G3463" s="408">
        <v>543.43799999999999</v>
      </c>
      <c r="H3463" s="461" t="s">
        <v>211</v>
      </c>
      <c r="I3463" s="461" t="s">
        <v>3910</v>
      </c>
      <c r="J3463" s="243" t="s">
        <v>96</v>
      </c>
      <c r="K3463" s="243" t="s">
        <v>1906</v>
      </c>
      <c r="L3463" s="243" t="s">
        <v>153</v>
      </c>
    </row>
    <row r="3464" spans="1:12" ht="15.6" hidden="1">
      <c r="A3464" s="438">
        <v>45953</v>
      </c>
      <c r="B3464" s="461" t="s">
        <v>3864</v>
      </c>
      <c r="C3464" s="439" t="s">
        <v>172</v>
      </c>
      <c r="D3464" s="461" t="s">
        <v>118</v>
      </c>
      <c r="E3464" s="464">
        <v>1000</v>
      </c>
      <c r="F3464" s="407">
        <f t="shared" si="48"/>
        <v>1.8401363172983856</v>
      </c>
      <c r="G3464" s="408">
        <v>543.43799999999999</v>
      </c>
      <c r="H3464" s="461" t="s">
        <v>211</v>
      </c>
      <c r="I3464" s="461" t="s">
        <v>3910</v>
      </c>
      <c r="J3464" s="243" t="s">
        <v>96</v>
      </c>
      <c r="K3464" s="243" t="s">
        <v>1906</v>
      </c>
      <c r="L3464" s="243" t="s">
        <v>153</v>
      </c>
    </row>
    <row r="3465" spans="1:12" ht="15.6" hidden="1">
      <c r="A3465" s="438">
        <v>45953</v>
      </c>
      <c r="B3465" s="461" t="s">
        <v>3865</v>
      </c>
      <c r="C3465" s="439" t="s">
        <v>172</v>
      </c>
      <c r="D3465" s="461" t="s">
        <v>118</v>
      </c>
      <c r="E3465" s="464">
        <v>1000</v>
      </c>
      <c r="F3465" s="407">
        <f t="shared" si="48"/>
        <v>1.8401363172983856</v>
      </c>
      <c r="G3465" s="408">
        <v>543.43799999999999</v>
      </c>
      <c r="H3465" s="461" t="s">
        <v>211</v>
      </c>
      <c r="I3465" s="461" t="s">
        <v>3910</v>
      </c>
      <c r="J3465" s="243" t="s">
        <v>96</v>
      </c>
      <c r="K3465" s="243" t="s">
        <v>1906</v>
      </c>
      <c r="L3465" s="243" t="s">
        <v>153</v>
      </c>
    </row>
    <row r="3466" spans="1:12" ht="15.6" hidden="1">
      <c r="A3466" s="438">
        <v>45953</v>
      </c>
      <c r="B3466" s="461" t="s">
        <v>3866</v>
      </c>
      <c r="C3466" s="439" t="s">
        <v>172</v>
      </c>
      <c r="D3466" s="461" t="s">
        <v>118</v>
      </c>
      <c r="E3466" s="464">
        <v>1000</v>
      </c>
      <c r="F3466" s="407">
        <f t="shared" si="48"/>
        <v>1.8401363172983856</v>
      </c>
      <c r="G3466" s="408">
        <v>543.43799999999999</v>
      </c>
      <c r="H3466" s="461" t="s">
        <v>211</v>
      </c>
      <c r="I3466" s="461" t="s">
        <v>3910</v>
      </c>
      <c r="J3466" s="243" t="s">
        <v>96</v>
      </c>
      <c r="K3466" s="243" t="s">
        <v>1906</v>
      </c>
      <c r="L3466" s="243" t="s">
        <v>153</v>
      </c>
    </row>
    <row r="3467" spans="1:12" ht="15.6" hidden="1">
      <c r="A3467" s="438">
        <v>45953</v>
      </c>
      <c r="B3467" s="461" t="s">
        <v>3867</v>
      </c>
      <c r="C3467" s="439" t="s">
        <v>172</v>
      </c>
      <c r="D3467" s="461" t="s">
        <v>118</v>
      </c>
      <c r="E3467" s="464">
        <v>1000</v>
      </c>
      <c r="F3467" s="407">
        <f t="shared" si="48"/>
        <v>1.8401363172983856</v>
      </c>
      <c r="G3467" s="408">
        <v>543.43799999999999</v>
      </c>
      <c r="H3467" s="461" t="s">
        <v>211</v>
      </c>
      <c r="I3467" s="461" t="s">
        <v>3910</v>
      </c>
      <c r="J3467" s="243" t="s">
        <v>96</v>
      </c>
      <c r="K3467" s="243" t="s">
        <v>1906</v>
      </c>
      <c r="L3467" s="243" t="s">
        <v>153</v>
      </c>
    </row>
    <row r="3468" spans="1:12" ht="15.6" hidden="1">
      <c r="A3468" s="438">
        <v>45953</v>
      </c>
      <c r="B3468" s="243" t="s">
        <v>3868</v>
      </c>
      <c r="C3468" s="423" t="s">
        <v>2092</v>
      </c>
      <c r="D3468" s="461" t="s">
        <v>118</v>
      </c>
      <c r="E3468" s="464">
        <v>6000</v>
      </c>
      <c r="F3468" s="407">
        <f t="shared" si="48"/>
        <v>11.040817903790312</v>
      </c>
      <c r="G3468" s="408">
        <v>543.43799999999999</v>
      </c>
      <c r="H3468" s="423" t="s">
        <v>211</v>
      </c>
      <c r="I3468" s="456" t="s">
        <v>3928</v>
      </c>
      <c r="J3468" s="243" t="s">
        <v>96</v>
      </c>
      <c r="K3468" s="243" t="s">
        <v>1906</v>
      </c>
      <c r="L3468" s="243" t="s">
        <v>153</v>
      </c>
    </row>
    <row r="3469" spans="1:12" ht="15.6" hidden="1">
      <c r="A3469" s="438">
        <v>45953</v>
      </c>
      <c r="B3469" s="243" t="s">
        <v>3869</v>
      </c>
      <c r="C3469" s="423" t="s">
        <v>2092</v>
      </c>
      <c r="D3469" s="461" t="s">
        <v>118</v>
      </c>
      <c r="E3469" s="464">
        <v>6000</v>
      </c>
      <c r="F3469" s="407">
        <f t="shared" si="48"/>
        <v>11.040817903790312</v>
      </c>
      <c r="G3469" s="408">
        <v>543.43799999999999</v>
      </c>
      <c r="H3469" s="423" t="s">
        <v>211</v>
      </c>
      <c r="I3469" s="456" t="s">
        <v>3928</v>
      </c>
      <c r="J3469" s="243" t="s">
        <v>96</v>
      </c>
      <c r="K3469" s="243" t="s">
        <v>1906</v>
      </c>
      <c r="L3469" s="243" t="s">
        <v>153</v>
      </c>
    </row>
    <row r="3470" spans="1:12" ht="15.6" hidden="1">
      <c r="A3470" s="438">
        <v>45953</v>
      </c>
      <c r="B3470" s="243" t="s">
        <v>3870</v>
      </c>
      <c r="C3470" s="423" t="s">
        <v>2092</v>
      </c>
      <c r="D3470" s="461" t="s">
        <v>118</v>
      </c>
      <c r="E3470" s="464">
        <v>6000</v>
      </c>
      <c r="F3470" s="407">
        <f t="shared" si="48"/>
        <v>11.040817903790312</v>
      </c>
      <c r="G3470" s="408">
        <v>543.43799999999999</v>
      </c>
      <c r="H3470" s="423" t="s">
        <v>211</v>
      </c>
      <c r="I3470" s="456" t="s">
        <v>3928</v>
      </c>
      <c r="J3470" s="243" t="s">
        <v>96</v>
      </c>
      <c r="K3470" s="243" t="s">
        <v>1906</v>
      </c>
      <c r="L3470" s="243" t="s">
        <v>153</v>
      </c>
    </row>
    <row r="3471" spans="1:12" ht="15.6" hidden="1">
      <c r="A3471" s="438">
        <v>45953</v>
      </c>
      <c r="B3471" s="243" t="s">
        <v>3871</v>
      </c>
      <c r="C3471" s="423" t="s">
        <v>2092</v>
      </c>
      <c r="D3471" s="461" t="s">
        <v>118</v>
      </c>
      <c r="E3471" s="464">
        <v>6000</v>
      </c>
      <c r="F3471" s="407">
        <f t="shared" si="48"/>
        <v>11.040817903790312</v>
      </c>
      <c r="G3471" s="408">
        <v>543.43799999999999</v>
      </c>
      <c r="H3471" s="423" t="s">
        <v>211</v>
      </c>
      <c r="I3471" s="456" t="s">
        <v>3928</v>
      </c>
      <c r="J3471" s="243" t="s">
        <v>96</v>
      </c>
      <c r="K3471" s="243" t="s">
        <v>1906</v>
      </c>
      <c r="L3471" s="243" t="s">
        <v>153</v>
      </c>
    </row>
    <row r="3472" spans="1:12" ht="15.6" hidden="1">
      <c r="A3472" s="438">
        <v>45953</v>
      </c>
      <c r="B3472" s="243" t="s">
        <v>3872</v>
      </c>
      <c r="C3472" s="423" t="s">
        <v>2092</v>
      </c>
      <c r="D3472" s="461" t="s">
        <v>118</v>
      </c>
      <c r="E3472" s="464">
        <v>6000</v>
      </c>
      <c r="F3472" s="407">
        <f t="shared" si="48"/>
        <v>11.040817903790312</v>
      </c>
      <c r="G3472" s="408">
        <v>543.43799999999999</v>
      </c>
      <c r="H3472" s="423" t="s">
        <v>211</v>
      </c>
      <c r="I3472" s="456" t="s">
        <v>3928</v>
      </c>
      <c r="J3472" s="243" t="s">
        <v>96</v>
      </c>
      <c r="K3472" s="243" t="s">
        <v>1906</v>
      </c>
      <c r="L3472" s="243" t="s">
        <v>153</v>
      </c>
    </row>
    <row r="3473" spans="1:12" ht="15.6" hidden="1">
      <c r="A3473" s="438">
        <v>45953</v>
      </c>
      <c r="B3473" s="243" t="s">
        <v>3873</v>
      </c>
      <c r="C3473" s="423" t="s">
        <v>2092</v>
      </c>
      <c r="D3473" s="461" t="s">
        <v>118</v>
      </c>
      <c r="E3473" s="464">
        <v>6000</v>
      </c>
      <c r="F3473" s="407">
        <f t="shared" si="48"/>
        <v>11.040817903790312</v>
      </c>
      <c r="G3473" s="408">
        <v>543.43799999999999</v>
      </c>
      <c r="H3473" s="423" t="s">
        <v>211</v>
      </c>
      <c r="I3473" s="456" t="s">
        <v>3928</v>
      </c>
      <c r="J3473" s="243" t="s">
        <v>96</v>
      </c>
      <c r="K3473" s="243" t="s">
        <v>1906</v>
      </c>
      <c r="L3473" s="243" t="s">
        <v>153</v>
      </c>
    </row>
    <row r="3474" spans="1:12" ht="15.6" hidden="1">
      <c r="A3474" s="438">
        <v>45953</v>
      </c>
      <c r="B3474" s="243" t="s">
        <v>3874</v>
      </c>
      <c r="C3474" s="423" t="s">
        <v>2092</v>
      </c>
      <c r="D3474" s="461" t="s">
        <v>118</v>
      </c>
      <c r="E3474" s="464">
        <v>6000</v>
      </c>
      <c r="F3474" s="407">
        <f t="shared" si="48"/>
        <v>11.040817903790312</v>
      </c>
      <c r="G3474" s="408">
        <v>543.43799999999999</v>
      </c>
      <c r="H3474" s="423" t="s">
        <v>211</v>
      </c>
      <c r="I3474" s="456" t="s">
        <v>3928</v>
      </c>
      <c r="J3474" s="243" t="s">
        <v>96</v>
      </c>
      <c r="K3474" s="243" t="s">
        <v>1906</v>
      </c>
      <c r="L3474" s="243" t="s">
        <v>153</v>
      </c>
    </row>
    <row r="3475" spans="1:12" ht="15.6" hidden="1">
      <c r="A3475" s="438">
        <v>45953</v>
      </c>
      <c r="B3475" s="243" t="s">
        <v>3875</v>
      </c>
      <c r="C3475" s="423" t="s">
        <v>2092</v>
      </c>
      <c r="D3475" s="461" t="s">
        <v>118</v>
      </c>
      <c r="E3475" s="464">
        <v>6000</v>
      </c>
      <c r="F3475" s="407">
        <f t="shared" si="48"/>
        <v>11.040817903790312</v>
      </c>
      <c r="G3475" s="408">
        <v>543.43799999999999</v>
      </c>
      <c r="H3475" s="423" t="s">
        <v>211</v>
      </c>
      <c r="I3475" s="456" t="s">
        <v>3928</v>
      </c>
      <c r="J3475" s="243" t="s">
        <v>96</v>
      </c>
      <c r="K3475" s="243" t="s">
        <v>1906</v>
      </c>
      <c r="L3475" s="243" t="s">
        <v>153</v>
      </c>
    </row>
    <row r="3476" spans="1:12" ht="15.6" hidden="1">
      <c r="A3476" s="438">
        <v>45953</v>
      </c>
      <c r="B3476" s="243" t="s">
        <v>3876</v>
      </c>
      <c r="C3476" s="423" t="s">
        <v>2092</v>
      </c>
      <c r="D3476" s="461" t="s">
        <v>118</v>
      </c>
      <c r="E3476" s="464">
        <v>6000</v>
      </c>
      <c r="F3476" s="407">
        <f t="shared" si="48"/>
        <v>11.040817903790312</v>
      </c>
      <c r="G3476" s="408">
        <v>543.43799999999999</v>
      </c>
      <c r="H3476" s="423" t="s">
        <v>211</v>
      </c>
      <c r="I3476" s="456" t="s">
        <v>3928</v>
      </c>
      <c r="J3476" s="243" t="s">
        <v>96</v>
      </c>
      <c r="K3476" s="243" t="s">
        <v>1906</v>
      </c>
      <c r="L3476" s="243" t="s">
        <v>153</v>
      </c>
    </row>
    <row r="3477" spans="1:12" ht="15.6" hidden="1">
      <c r="A3477" s="438">
        <v>45953</v>
      </c>
      <c r="B3477" s="243" t="s">
        <v>3877</v>
      </c>
      <c r="C3477" s="423" t="s">
        <v>2092</v>
      </c>
      <c r="D3477" s="461" t="s">
        <v>118</v>
      </c>
      <c r="E3477" s="464">
        <v>6000</v>
      </c>
      <c r="F3477" s="407">
        <f t="shared" si="48"/>
        <v>11.040817903790312</v>
      </c>
      <c r="G3477" s="408">
        <v>543.43799999999999</v>
      </c>
      <c r="H3477" s="423" t="s">
        <v>211</v>
      </c>
      <c r="I3477" s="456" t="s">
        <v>3928</v>
      </c>
      <c r="J3477" s="243" t="s">
        <v>96</v>
      </c>
      <c r="K3477" s="243" t="s">
        <v>1906</v>
      </c>
      <c r="L3477" s="243" t="s">
        <v>153</v>
      </c>
    </row>
    <row r="3478" spans="1:12" ht="15.6" hidden="1">
      <c r="A3478" s="438">
        <v>45953</v>
      </c>
      <c r="B3478" s="243" t="s">
        <v>3878</v>
      </c>
      <c r="C3478" s="423" t="s">
        <v>2092</v>
      </c>
      <c r="D3478" s="461" t="s">
        <v>118</v>
      </c>
      <c r="E3478" s="464">
        <v>6000</v>
      </c>
      <c r="F3478" s="407">
        <f t="shared" si="48"/>
        <v>11.040817903790312</v>
      </c>
      <c r="G3478" s="408">
        <v>543.43799999999999</v>
      </c>
      <c r="H3478" s="423" t="s">
        <v>211</v>
      </c>
      <c r="I3478" s="456" t="s">
        <v>3928</v>
      </c>
      <c r="J3478" s="243" t="s">
        <v>96</v>
      </c>
      <c r="K3478" s="243" t="s">
        <v>1906</v>
      </c>
      <c r="L3478" s="243" t="s">
        <v>153</v>
      </c>
    </row>
    <row r="3479" spans="1:12" ht="15.6" hidden="1">
      <c r="A3479" s="438">
        <v>45953</v>
      </c>
      <c r="B3479" s="243" t="s">
        <v>3879</v>
      </c>
      <c r="C3479" s="423" t="s">
        <v>2092</v>
      </c>
      <c r="D3479" s="461" t="s">
        <v>118</v>
      </c>
      <c r="E3479" s="464">
        <v>6000</v>
      </c>
      <c r="F3479" s="407">
        <f t="shared" si="48"/>
        <v>11.040817903790312</v>
      </c>
      <c r="G3479" s="408">
        <v>543.43799999999999</v>
      </c>
      <c r="H3479" s="423" t="s">
        <v>211</v>
      </c>
      <c r="I3479" s="456" t="s">
        <v>3928</v>
      </c>
      <c r="J3479" s="243" t="s">
        <v>96</v>
      </c>
      <c r="K3479" s="243" t="s">
        <v>1906</v>
      </c>
      <c r="L3479" s="243" t="s">
        <v>153</v>
      </c>
    </row>
    <row r="3480" spans="1:12" ht="15.6" hidden="1">
      <c r="A3480" s="438">
        <v>45953</v>
      </c>
      <c r="B3480" s="243" t="s">
        <v>3880</v>
      </c>
      <c r="C3480" s="423" t="s">
        <v>2092</v>
      </c>
      <c r="D3480" s="461" t="s">
        <v>118</v>
      </c>
      <c r="E3480" s="464">
        <v>6000</v>
      </c>
      <c r="F3480" s="407">
        <f t="shared" si="48"/>
        <v>11.040817903790312</v>
      </c>
      <c r="G3480" s="408">
        <v>543.43799999999999</v>
      </c>
      <c r="H3480" s="423" t="s">
        <v>211</v>
      </c>
      <c r="I3480" s="456" t="s">
        <v>3928</v>
      </c>
      <c r="J3480" s="243" t="s">
        <v>96</v>
      </c>
      <c r="K3480" s="243" t="s">
        <v>1906</v>
      </c>
      <c r="L3480" s="243" t="s">
        <v>153</v>
      </c>
    </row>
    <row r="3481" spans="1:12" ht="15.6" hidden="1">
      <c r="A3481" s="438">
        <v>45953</v>
      </c>
      <c r="B3481" s="423" t="s">
        <v>3881</v>
      </c>
      <c r="C3481" s="423" t="s">
        <v>2092</v>
      </c>
      <c r="D3481" s="461" t="s">
        <v>118</v>
      </c>
      <c r="E3481" s="464">
        <v>10000</v>
      </c>
      <c r="F3481" s="407">
        <f t="shared" si="48"/>
        <v>18.401363172983856</v>
      </c>
      <c r="G3481" s="408">
        <v>543.43799999999999</v>
      </c>
      <c r="H3481" s="423" t="s">
        <v>211</v>
      </c>
      <c r="I3481" s="456" t="s">
        <v>3929</v>
      </c>
      <c r="J3481" s="243" t="s">
        <v>96</v>
      </c>
      <c r="K3481" s="243" t="s">
        <v>1906</v>
      </c>
      <c r="L3481" s="243" t="s">
        <v>153</v>
      </c>
    </row>
    <row r="3482" spans="1:12" ht="15.6" hidden="1">
      <c r="A3482" s="438">
        <v>45953</v>
      </c>
      <c r="B3482" s="423" t="s">
        <v>3882</v>
      </c>
      <c r="C3482" s="423" t="s">
        <v>2092</v>
      </c>
      <c r="D3482" s="461" t="s">
        <v>118</v>
      </c>
      <c r="E3482" s="464">
        <v>10000</v>
      </c>
      <c r="F3482" s="407">
        <f t="shared" si="48"/>
        <v>18.401363172983856</v>
      </c>
      <c r="G3482" s="408">
        <v>543.43799999999999</v>
      </c>
      <c r="H3482" s="423" t="s">
        <v>211</v>
      </c>
      <c r="I3482" s="456" t="s">
        <v>3929</v>
      </c>
      <c r="J3482" s="243" t="s">
        <v>96</v>
      </c>
      <c r="K3482" s="243" t="s">
        <v>1906</v>
      </c>
      <c r="L3482" s="243" t="s">
        <v>153</v>
      </c>
    </row>
    <row r="3483" spans="1:12" ht="15.6" hidden="1">
      <c r="A3483" s="438">
        <v>45953</v>
      </c>
      <c r="B3483" s="423" t="s">
        <v>3883</v>
      </c>
      <c r="C3483" s="423" t="s">
        <v>2092</v>
      </c>
      <c r="D3483" s="461" t="s">
        <v>118</v>
      </c>
      <c r="E3483" s="464">
        <v>10000</v>
      </c>
      <c r="F3483" s="407">
        <f t="shared" si="48"/>
        <v>18.401363172983856</v>
      </c>
      <c r="G3483" s="408">
        <v>543.43799999999999</v>
      </c>
      <c r="H3483" s="423" t="s">
        <v>211</v>
      </c>
      <c r="I3483" s="456" t="s">
        <v>3929</v>
      </c>
      <c r="J3483" s="243" t="s">
        <v>96</v>
      </c>
      <c r="K3483" s="243" t="s">
        <v>1906</v>
      </c>
      <c r="L3483" s="243" t="s">
        <v>153</v>
      </c>
    </row>
    <row r="3484" spans="1:12" ht="15.6" hidden="1">
      <c r="A3484" s="438">
        <v>45953</v>
      </c>
      <c r="B3484" s="423" t="s">
        <v>3884</v>
      </c>
      <c r="C3484" s="423" t="s">
        <v>2092</v>
      </c>
      <c r="D3484" s="461" t="s">
        <v>118</v>
      </c>
      <c r="E3484" s="464">
        <v>10000</v>
      </c>
      <c r="F3484" s="407">
        <f t="shared" si="48"/>
        <v>18.401363172983856</v>
      </c>
      <c r="G3484" s="408">
        <v>543.43799999999999</v>
      </c>
      <c r="H3484" s="423" t="s">
        <v>211</v>
      </c>
      <c r="I3484" s="456" t="s">
        <v>3929</v>
      </c>
      <c r="J3484" s="243" t="s">
        <v>96</v>
      </c>
      <c r="K3484" s="243" t="s">
        <v>1906</v>
      </c>
      <c r="L3484" s="243" t="s">
        <v>153</v>
      </c>
    </row>
    <row r="3485" spans="1:12" ht="15.6" hidden="1">
      <c r="A3485" s="438">
        <v>45953</v>
      </c>
      <c r="B3485" s="423" t="s">
        <v>3885</v>
      </c>
      <c r="C3485" s="423" t="s">
        <v>2092</v>
      </c>
      <c r="D3485" s="461" t="s">
        <v>118</v>
      </c>
      <c r="E3485" s="464">
        <v>6000</v>
      </c>
      <c r="F3485" s="407">
        <f t="shared" si="48"/>
        <v>11.040817903790312</v>
      </c>
      <c r="G3485" s="408">
        <v>543.43799999999999</v>
      </c>
      <c r="H3485" s="423" t="s">
        <v>211</v>
      </c>
      <c r="I3485" s="456" t="s">
        <v>3930</v>
      </c>
      <c r="J3485" s="243" t="s">
        <v>96</v>
      </c>
      <c r="K3485" s="243" t="s">
        <v>1906</v>
      </c>
      <c r="L3485" s="243" t="s">
        <v>153</v>
      </c>
    </row>
    <row r="3486" spans="1:12" ht="15.6" hidden="1">
      <c r="A3486" s="438">
        <v>45953</v>
      </c>
      <c r="B3486" s="423" t="s">
        <v>3886</v>
      </c>
      <c r="C3486" s="423" t="s">
        <v>2092</v>
      </c>
      <c r="D3486" s="461" t="s">
        <v>118</v>
      </c>
      <c r="E3486" s="464">
        <v>6000</v>
      </c>
      <c r="F3486" s="407">
        <f t="shared" si="48"/>
        <v>11.040817903790312</v>
      </c>
      <c r="G3486" s="408">
        <v>543.43799999999999</v>
      </c>
      <c r="H3486" s="423" t="s">
        <v>211</v>
      </c>
      <c r="I3486" s="456" t="s">
        <v>3930</v>
      </c>
      <c r="J3486" s="243" t="s">
        <v>96</v>
      </c>
      <c r="K3486" s="243" t="s">
        <v>1906</v>
      </c>
      <c r="L3486" s="243" t="s">
        <v>153</v>
      </c>
    </row>
    <row r="3487" spans="1:12" ht="15.6" hidden="1">
      <c r="A3487" s="438">
        <v>45953</v>
      </c>
      <c r="B3487" s="423" t="s">
        <v>3887</v>
      </c>
      <c r="C3487" s="423" t="s">
        <v>2092</v>
      </c>
      <c r="D3487" s="461" t="s">
        <v>118</v>
      </c>
      <c r="E3487" s="464">
        <v>6000</v>
      </c>
      <c r="F3487" s="407">
        <f t="shared" si="48"/>
        <v>11.040817903790312</v>
      </c>
      <c r="G3487" s="408">
        <v>543.43799999999999</v>
      </c>
      <c r="H3487" s="423" t="s">
        <v>211</v>
      </c>
      <c r="I3487" s="456" t="s">
        <v>3930</v>
      </c>
      <c r="J3487" s="243" t="s">
        <v>96</v>
      </c>
      <c r="K3487" s="243" t="s">
        <v>1906</v>
      </c>
      <c r="L3487" s="243" t="s">
        <v>153</v>
      </c>
    </row>
    <row r="3488" spans="1:12" ht="15.6" hidden="1">
      <c r="A3488" s="438">
        <v>45953</v>
      </c>
      <c r="B3488" s="423" t="s">
        <v>3888</v>
      </c>
      <c r="C3488" s="423" t="s">
        <v>2092</v>
      </c>
      <c r="D3488" s="461" t="s">
        <v>118</v>
      </c>
      <c r="E3488" s="464">
        <v>6000</v>
      </c>
      <c r="F3488" s="407">
        <f t="shared" si="48"/>
        <v>11.040817903790312</v>
      </c>
      <c r="G3488" s="408">
        <v>543.43799999999999</v>
      </c>
      <c r="H3488" s="423" t="s">
        <v>211</v>
      </c>
      <c r="I3488" s="456" t="s">
        <v>3930</v>
      </c>
      <c r="J3488" s="243" t="s">
        <v>96</v>
      </c>
      <c r="K3488" s="243" t="s">
        <v>1906</v>
      </c>
      <c r="L3488" s="243" t="s">
        <v>153</v>
      </c>
    </row>
    <row r="3489" spans="1:12" ht="15.6" hidden="1">
      <c r="A3489" s="438">
        <v>45953</v>
      </c>
      <c r="B3489" s="423" t="s">
        <v>2714</v>
      </c>
      <c r="C3489" s="423" t="s">
        <v>172</v>
      </c>
      <c r="D3489" s="423" t="s">
        <v>115</v>
      </c>
      <c r="E3489" s="471">
        <v>1000</v>
      </c>
      <c r="F3489" s="407">
        <f t="shared" si="48"/>
        <v>1.8401363172983856</v>
      </c>
      <c r="G3489" s="408">
        <v>543.43799999999999</v>
      </c>
      <c r="H3489" s="423" t="s">
        <v>185</v>
      </c>
      <c r="I3489" s="423" t="s">
        <v>4008</v>
      </c>
      <c r="J3489" s="243" t="s">
        <v>96</v>
      </c>
      <c r="K3489" s="243" t="s">
        <v>1906</v>
      </c>
      <c r="L3489" s="243" t="s">
        <v>153</v>
      </c>
    </row>
    <row r="3490" spans="1:12" ht="15.6" hidden="1">
      <c r="A3490" s="438">
        <v>45953</v>
      </c>
      <c r="B3490" s="423" t="s">
        <v>3975</v>
      </c>
      <c r="C3490" s="423" t="s">
        <v>172</v>
      </c>
      <c r="D3490" s="423" t="s">
        <v>115</v>
      </c>
      <c r="E3490" s="471">
        <v>1000</v>
      </c>
      <c r="F3490" s="407">
        <f t="shared" si="48"/>
        <v>1.8401363172983856</v>
      </c>
      <c r="G3490" s="408">
        <v>543.43799999999999</v>
      </c>
      <c r="H3490" s="423" t="s">
        <v>185</v>
      </c>
      <c r="I3490" s="423" t="s">
        <v>4008</v>
      </c>
      <c r="J3490" s="243" t="s">
        <v>96</v>
      </c>
      <c r="K3490" s="243" t="s">
        <v>1906</v>
      </c>
      <c r="L3490" s="243" t="s">
        <v>153</v>
      </c>
    </row>
    <row r="3491" spans="1:12" ht="15.6" hidden="1">
      <c r="A3491" s="438">
        <v>45953</v>
      </c>
      <c r="B3491" s="423" t="s">
        <v>3976</v>
      </c>
      <c r="C3491" s="423" t="s">
        <v>172</v>
      </c>
      <c r="D3491" s="423" t="s">
        <v>115</v>
      </c>
      <c r="E3491" s="471">
        <v>37000</v>
      </c>
      <c r="F3491" s="407">
        <f t="shared" si="48"/>
        <v>68.085043740040263</v>
      </c>
      <c r="G3491" s="408">
        <v>543.43799999999999</v>
      </c>
      <c r="H3491" s="423" t="s">
        <v>185</v>
      </c>
      <c r="I3491" s="423" t="s">
        <v>4024</v>
      </c>
      <c r="J3491" s="243" t="s">
        <v>96</v>
      </c>
      <c r="K3491" s="243" t="s">
        <v>1906</v>
      </c>
      <c r="L3491" s="243" t="s">
        <v>153</v>
      </c>
    </row>
    <row r="3492" spans="1:12" ht="15.6" hidden="1">
      <c r="A3492" s="438">
        <v>45953</v>
      </c>
      <c r="B3492" s="423" t="s">
        <v>3977</v>
      </c>
      <c r="C3492" s="423" t="s">
        <v>172</v>
      </c>
      <c r="D3492" s="423" t="s">
        <v>115</v>
      </c>
      <c r="E3492" s="464">
        <v>80000</v>
      </c>
      <c r="F3492" s="407">
        <f t="shared" si="48"/>
        <v>147.21090538387085</v>
      </c>
      <c r="G3492" s="408">
        <v>543.43799999999999</v>
      </c>
      <c r="H3492" s="423" t="s">
        <v>185</v>
      </c>
      <c r="I3492" s="456" t="s">
        <v>4025</v>
      </c>
      <c r="J3492" s="243" t="s">
        <v>96</v>
      </c>
      <c r="K3492" s="243" t="s">
        <v>1906</v>
      </c>
      <c r="L3492" s="243" t="s">
        <v>153</v>
      </c>
    </row>
    <row r="3493" spans="1:12" ht="15.6" hidden="1">
      <c r="A3493" s="438">
        <v>45953</v>
      </c>
      <c r="B3493" s="423" t="s">
        <v>3978</v>
      </c>
      <c r="C3493" s="423" t="s">
        <v>175</v>
      </c>
      <c r="D3493" s="423" t="s">
        <v>115</v>
      </c>
      <c r="E3493" s="464">
        <v>250000</v>
      </c>
      <c r="F3493" s="407">
        <f t="shared" si="48"/>
        <v>460.03407932459635</v>
      </c>
      <c r="G3493" s="408">
        <v>543.43799999999999</v>
      </c>
      <c r="H3493" s="423" t="s">
        <v>185</v>
      </c>
      <c r="I3493" s="456" t="s">
        <v>4026</v>
      </c>
      <c r="J3493" s="243" t="s">
        <v>96</v>
      </c>
      <c r="K3493" s="243" t="s">
        <v>1906</v>
      </c>
      <c r="L3493" s="243" t="s">
        <v>153</v>
      </c>
    </row>
    <row r="3494" spans="1:12" ht="15.6" hidden="1">
      <c r="A3494" s="438">
        <v>45954</v>
      </c>
      <c r="B3494" s="239" t="s">
        <v>2103</v>
      </c>
      <c r="C3494" s="453" t="s">
        <v>172</v>
      </c>
      <c r="D3494" s="453" t="s">
        <v>117</v>
      </c>
      <c r="E3494" s="458">
        <v>1000</v>
      </c>
      <c r="F3494" s="407">
        <f t="shared" si="48"/>
        <v>1.8401363172983856</v>
      </c>
      <c r="G3494" s="408">
        <v>543.43799999999999</v>
      </c>
      <c r="H3494" s="454" t="s">
        <v>151</v>
      </c>
      <c r="I3494" s="239" t="s">
        <v>3264</v>
      </c>
      <c r="J3494" s="243" t="s">
        <v>96</v>
      </c>
      <c r="K3494" s="243" t="s">
        <v>1906</v>
      </c>
      <c r="L3494" s="243" t="s">
        <v>153</v>
      </c>
    </row>
    <row r="3495" spans="1:12" ht="15.6" hidden="1">
      <c r="A3495" s="438">
        <v>45954</v>
      </c>
      <c r="B3495" s="239" t="s">
        <v>2103</v>
      </c>
      <c r="C3495" s="453" t="s">
        <v>172</v>
      </c>
      <c r="D3495" s="453" t="s">
        <v>117</v>
      </c>
      <c r="E3495" s="458">
        <v>1000</v>
      </c>
      <c r="F3495" s="407">
        <f t="shared" si="48"/>
        <v>1.8401363172983856</v>
      </c>
      <c r="G3495" s="408">
        <v>543.43799999999999</v>
      </c>
      <c r="H3495" s="454" t="s">
        <v>151</v>
      </c>
      <c r="I3495" s="239" t="s">
        <v>3264</v>
      </c>
      <c r="J3495" s="243" t="s">
        <v>96</v>
      </c>
      <c r="K3495" s="243" t="s">
        <v>1906</v>
      </c>
      <c r="L3495" s="243" t="s">
        <v>153</v>
      </c>
    </row>
    <row r="3496" spans="1:12" ht="15.6" hidden="1">
      <c r="A3496" s="438">
        <v>45954</v>
      </c>
      <c r="B3496" s="239" t="s">
        <v>3243</v>
      </c>
      <c r="C3496" s="453" t="s">
        <v>172</v>
      </c>
      <c r="D3496" s="453" t="s">
        <v>117</v>
      </c>
      <c r="E3496" s="458">
        <v>1000</v>
      </c>
      <c r="F3496" s="407">
        <f t="shared" si="48"/>
        <v>1.8401363172983856</v>
      </c>
      <c r="G3496" s="408">
        <v>543.43799999999999</v>
      </c>
      <c r="H3496" s="454" t="s">
        <v>151</v>
      </c>
      <c r="I3496" s="239" t="s">
        <v>3264</v>
      </c>
      <c r="J3496" s="243" t="s">
        <v>96</v>
      </c>
      <c r="K3496" s="243" t="s">
        <v>1906</v>
      </c>
      <c r="L3496" s="243" t="s">
        <v>153</v>
      </c>
    </row>
    <row r="3497" spans="1:12" ht="15.6" hidden="1">
      <c r="A3497" s="438">
        <v>45954</v>
      </c>
      <c r="B3497" s="329" t="s">
        <v>3337</v>
      </c>
      <c r="C3497" s="329" t="s">
        <v>172</v>
      </c>
      <c r="D3497" s="329" t="s">
        <v>115</v>
      </c>
      <c r="E3497" s="451">
        <v>2500</v>
      </c>
      <c r="F3497" s="407">
        <f t="shared" si="48"/>
        <v>4.6003407932459641</v>
      </c>
      <c r="G3497" s="408">
        <v>543.43799999999999</v>
      </c>
      <c r="H3497" s="329" t="s">
        <v>198</v>
      </c>
      <c r="I3497" s="329" t="s">
        <v>3349</v>
      </c>
      <c r="J3497" s="243" t="s">
        <v>96</v>
      </c>
      <c r="K3497" s="243" t="s">
        <v>1906</v>
      </c>
      <c r="L3497" s="243" t="s">
        <v>153</v>
      </c>
    </row>
    <row r="3498" spans="1:12" ht="15.6" hidden="1">
      <c r="A3498" s="438">
        <v>45954</v>
      </c>
      <c r="B3498" s="329" t="s">
        <v>3295</v>
      </c>
      <c r="C3498" s="329" t="s">
        <v>2394</v>
      </c>
      <c r="D3498" s="329" t="s">
        <v>115</v>
      </c>
      <c r="E3498" s="451">
        <v>100000</v>
      </c>
      <c r="F3498" s="407">
        <f t="shared" si="48"/>
        <v>184.01363172983855</v>
      </c>
      <c r="G3498" s="408">
        <v>543.43799999999999</v>
      </c>
      <c r="H3498" s="329" t="s">
        <v>198</v>
      </c>
      <c r="I3498" s="329" t="s">
        <v>3364</v>
      </c>
      <c r="J3498" s="243" t="s">
        <v>96</v>
      </c>
      <c r="K3498" s="243" t="s">
        <v>1906</v>
      </c>
      <c r="L3498" s="243" t="s">
        <v>153</v>
      </c>
    </row>
    <row r="3499" spans="1:12" ht="15.6" hidden="1">
      <c r="A3499" s="438">
        <v>45954</v>
      </c>
      <c r="B3499" s="329" t="s">
        <v>3338</v>
      </c>
      <c r="C3499" s="329" t="s">
        <v>172</v>
      </c>
      <c r="D3499" s="329" t="s">
        <v>115</v>
      </c>
      <c r="E3499" s="451">
        <v>1000</v>
      </c>
      <c r="F3499" s="407">
        <f t="shared" si="48"/>
        <v>1.8401363172983856</v>
      </c>
      <c r="G3499" s="408">
        <v>543.43799999999999</v>
      </c>
      <c r="H3499" s="329" t="s">
        <v>198</v>
      </c>
      <c r="I3499" s="329" t="s">
        <v>3349</v>
      </c>
      <c r="J3499" s="243" t="s">
        <v>96</v>
      </c>
      <c r="K3499" s="243" t="s">
        <v>1906</v>
      </c>
      <c r="L3499" s="243" t="s">
        <v>153</v>
      </c>
    </row>
    <row r="3500" spans="1:12" ht="15.6" hidden="1">
      <c r="A3500" s="438">
        <v>45954</v>
      </c>
      <c r="B3500" s="243" t="s">
        <v>3401</v>
      </c>
      <c r="C3500" s="423" t="s">
        <v>172</v>
      </c>
      <c r="D3500" s="423" t="s">
        <v>116</v>
      </c>
      <c r="E3500" s="464">
        <v>1000</v>
      </c>
      <c r="F3500" s="407">
        <f t="shared" si="48"/>
        <v>1.8401363172983856</v>
      </c>
      <c r="G3500" s="408">
        <v>543.43799999999999</v>
      </c>
      <c r="H3500" s="423" t="s">
        <v>581</v>
      </c>
      <c r="I3500" s="423" t="s">
        <v>3419</v>
      </c>
      <c r="J3500" s="243" t="s">
        <v>96</v>
      </c>
      <c r="K3500" s="243" t="s">
        <v>1906</v>
      </c>
      <c r="L3500" s="243" t="s">
        <v>153</v>
      </c>
    </row>
    <row r="3501" spans="1:12" ht="15.6" hidden="1">
      <c r="A3501" s="438">
        <v>45954</v>
      </c>
      <c r="B3501" s="243" t="s">
        <v>2884</v>
      </c>
      <c r="C3501" s="423" t="s">
        <v>172</v>
      </c>
      <c r="D3501" s="423" t="s">
        <v>116</v>
      </c>
      <c r="E3501" s="464">
        <v>1000</v>
      </c>
      <c r="F3501" s="407">
        <f t="shared" si="48"/>
        <v>1.8401363172983856</v>
      </c>
      <c r="G3501" s="408">
        <v>543.43799999999999</v>
      </c>
      <c r="H3501" s="423" t="s">
        <v>581</v>
      </c>
      <c r="I3501" s="423" t="s">
        <v>3419</v>
      </c>
      <c r="J3501" s="243" t="s">
        <v>96</v>
      </c>
      <c r="K3501" s="243" t="s">
        <v>1906</v>
      </c>
      <c r="L3501" s="243" t="s">
        <v>153</v>
      </c>
    </row>
    <row r="3502" spans="1:12" ht="15.6" hidden="1">
      <c r="A3502" s="438">
        <v>45954</v>
      </c>
      <c r="B3502" s="243" t="s">
        <v>3397</v>
      </c>
      <c r="C3502" s="423" t="s">
        <v>172</v>
      </c>
      <c r="D3502" s="423" t="s">
        <v>116</v>
      </c>
      <c r="E3502" s="464">
        <v>1000</v>
      </c>
      <c r="F3502" s="407">
        <f t="shared" si="48"/>
        <v>1.8401363172983856</v>
      </c>
      <c r="G3502" s="408">
        <v>543.43799999999999</v>
      </c>
      <c r="H3502" s="423" t="s">
        <v>581</v>
      </c>
      <c r="I3502" s="423" t="s">
        <v>3419</v>
      </c>
      <c r="J3502" s="243" t="s">
        <v>96</v>
      </c>
      <c r="K3502" s="243" t="s">
        <v>1906</v>
      </c>
      <c r="L3502" s="243" t="s">
        <v>153</v>
      </c>
    </row>
    <row r="3503" spans="1:12" ht="15.6" hidden="1">
      <c r="A3503" s="438">
        <v>45954</v>
      </c>
      <c r="B3503" s="243" t="s">
        <v>3398</v>
      </c>
      <c r="C3503" s="423" t="s">
        <v>172</v>
      </c>
      <c r="D3503" s="423" t="s">
        <v>116</v>
      </c>
      <c r="E3503" s="464">
        <v>1000</v>
      </c>
      <c r="F3503" s="407">
        <f t="shared" si="48"/>
        <v>1.8401363172983856</v>
      </c>
      <c r="G3503" s="408">
        <v>543.43799999999999</v>
      </c>
      <c r="H3503" s="423" t="s">
        <v>581</v>
      </c>
      <c r="I3503" s="423" t="s">
        <v>3419</v>
      </c>
      <c r="J3503" s="243" t="s">
        <v>96</v>
      </c>
      <c r="K3503" s="243" t="s">
        <v>1906</v>
      </c>
      <c r="L3503" s="243" t="s">
        <v>153</v>
      </c>
    </row>
    <row r="3504" spans="1:12" ht="15.6" hidden="1">
      <c r="A3504" s="438">
        <v>45954</v>
      </c>
      <c r="B3504" s="423" t="s">
        <v>3402</v>
      </c>
      <c r="C3504" s="423" t="s">
        <v>124</v>
      </c>
      <c r="D3504" s="423" t="s">
        <v>116</v>
      </c>
      <c r="E3504" s="464">
        <v>8000</v>
      </c>
      <c r="F3504" s="407">
        <f t="shared" si="48"/>
        <v>14.721090538387084</v>
      </c>
      <c r="G3504" s="408">
        <v>543.43799999999999</v>
      </c>
      <c r="H3504" s="423" t="s">
        <v>581</v>
      </c>
      <c r="I3504" s="456" t="s">
        <v>3429</v>
      </c>
      <c r="J3504" s="243" t="s">
        <v>96</v>
      </c>
      <c r="K3504" s="243" t="s">
        <v>1906</v>
      </c>
      <c r="L3504" s="243" t="s">
        <v>153</v>
      </c>
    </row>
    <row r="3505" spans="1:12" ht="15.6" hidden="1">
      <c r="A3505" s="438">
        <v>45954</v>
      </c>
      <c r="B3505" s="423" t="s">
        <v>3399</v>
      </c>
      <c r="C3505" s="423" t="s">
        <v>180</v>
      </c>
      <c r="D3505" s="423" t="s">
        <v>116</v>
      </c>
      <c r="E3505" s="464">
        <v>1050</v>
      </c>
      <c r="F3505" s="407">
        <f t="shared" si="48"/>
        <v>1.9321431331633048</v>
      </c>
      <c r="G3505" s="408">
        <v>543.43799999999999</v>
      </c>
      <c r="H3505" s="423" t="s">
        <v>581</v>
      </c>
      <c r="I3505" s="456" t="s">
        <v>3430</v>
      </c>
      <c r="J3505" s="243" t="s">
        <v>96</v>
      </c>
      <c r="K3505" s="243" t="s">
        <v>1906</v>
      </c>
      <c r="L3505" s="243" t="s">
        <v>153</v>
      </c>
    </row>
    <row r="3506" spans="1:12" ht="15.6" hidden="1">
      <c r="A3506" s="438">
        <v>45954</v>
      </c>
      <c r="B3506" s="331" t="s">
        <v>4917</v>
      </c>
      <c r="C3506" s="331" t="s">
        <v>172</v>
      </c>
      <c r="D3506" s="331" t="s">
        <v>119</v>
      </c>
      <c r="E3506" s="459">
        <v>1000</v>
      </c>
      <c r="F3506" s="407">
        <f t="shared" si="48"/>
        <v>1.8401363172983856</v>
      </c>
      <c r="G3506" s="408">
        <v>543.43799999999999</v>
      </c>
      <c r="H3506" s="331" t="s">
        <v>182</v>
      </c>
      <c r="I3506" s="331" t="s">
        <v>3447</v>
      </c>
      <c r="J3506" s="243" t="s">
        <v>96</v>
      </c>
      <c r="K3506" s="243" t="s">
        <v>1906</v>
      </c>
      <c r="L3506" s="243" t="s">
        <v>153</v>
      </c>
    </row>
    <row r="3507" spans="1:12" ht="15.6" hidden="1">
      <c r="A3507" s="438">
        <v>45954</v>
      </c>
      <c r="B3507" s="331" t="s">
        <v>4938</v>
      </c>
      <c r="C3507" s="331" t="s">
        <v>172</v>
      </c>
      <c r="D3507" s="331" t="s">
        <v>119</v>
      </c>
      <c r="E3507" s="459">
        <v>700</v>
      </c>
      <c r="F3507" s="407">
        <f t="shared" si="48"/>
        <v>1.2880954221088698</v>
      </c>
      <c r="G3507" s="408">
        <v>543.43799999999999</v>
      </c>
      <c r="H3507" s="331" t="s">
        <v>182</v>
      </c>
      <c r="I3507" s="331" t="s">
        <v>3447</v>
      </c>
      <c r="J3507" s="243" t="s">
        <v>96</v>
      </c>
      <c r="K3507" s="243" t="s">
        <v>1906</v>
      </c>
      <c r="L3507" s="243" t="s">
        <v>153</v>
      </c>
    </row>
    <row r="3508" spans="1:12" ht="15.6" hidden="1">
      <c r="A3508" s="438">
        <v>45954</v>
      </c>
      <c r="B3508" s="331" t="s">
        <v>4938</v>
      </c>
      <c r="C3508" s="331" t="s">
        <v>172</v>
      </c>
      <c r="D3508" s="331" t="s">
        <v>119</v>
      </c>
      <c r="E3508" s="459">
        <v>700</v>
      </c>
      <c r="F3508" s="407">
        <f t="shared" si="48"/>
        <v>1.2880954221088698</v>
      </c>
      <c r="G3508" s="408">
        <v>543.43799999999999</v>
      </c>
      <c r="H3508" s="331" t="s">
        <v>182</v>
      </c>
      <c r="I3508" s="331" t="s">
        <v>3447</v>
      </c>
      <c r="J3508" s="243" t="s">
        <v>96</v>
      </c>
      <c r="K3508" s="243" t="s">
        <v>1906</v>
      </c>
      <c r="L3508" s="243" t="s">
        <v>153</v>
      </c>
    </row>
    <row r="3509" spans="1:12" ht="15.6" hidden="1">
      <c r="A3509" s="438">
        <v>45954</v>
      </c>
      <c r="B3509" s="331" t="s">
        <v>4938</v>
      </c>
      <c r="C3509" s="331" t="s">
        <v>172</v>
      </c>
      <c r="D3509" s="331" t="s">
        <v>119</v>
      </c>
      <c r="E3509" s="459">
        <v>700</v>
      </c>
      <c r="F3509" s="407">
        <f t="shared" si="48"/>
        <v>1.2880954221088698</v>
      </c>
      <c r="G3509" s="408">
        <v>543.43799999999999</v>
      </c>
      <c r="H3509" s="331" t="s">
        <v>182</v>
      </c>
      <c r="I3509" s="331" t="s">
        <v>3447</v>
      </c>
      <c r="J3509" s="243" t="s">
        <v>96</v>
      </c>
      <c r="K3509" s="243" t="s">
        <v>1906</v>
      </c>
      <c r="L3509" s="243" t="s">
        <v>153</v>
      </c>
    </row>
    <row r="3510" spans="1:12" ht="15.6" hidden="1">
      <c r="A3510" s="438">
        <v>45954</v>
      </c>
      <c r="B3510" s="423" t="s">
        <v>4907</v>
      </c>
      <c r="C3510" s="423" t="s">
        <v>172</v>
      </c>
      <c r="D3510" s="423" t="s">
        <v>119</v>
      </c>
      <c r="E3510" s="471">
        <v>1000</v>
      </c>
      <c r="F3510" s="407">
        <f t="shared" si="48"/>
        <v>1.8401363172983856</v>
      </c>
      <c r="G3510" s="408">
        <v>543.43799999999999</v>
      </c>
      <c r="H3510" s="423" t="s">
        <v>173</v>
      </c>
      <c r="I3510" s="423" t="s">
        <v>3484</v>
      </c>
      <c r="J3510" s="243" t="s">
        <v>96</v>
      </c>
      <c r="K3510" s="243" t="s">
        <v>1906</v>
      </c>
      <c r="L3510" s="243" t="s">
        <v>153</v>
      </c>
    </row>
    <row r="3511" spans="1:12" ht="15.6" hidden="1">
      <c r="A3511" s="438">
        <v>45954</v>
      </c>
      <c r="B3511" s="423" t="s">
        <v>4907</v>
      </c>
      <c r="C3511" s="423" t="s">
        <v>172</v>
      </c>
      <c r="D3511" s="423" t="s">
        <v>119</v>
      </c>
      <c r="E3511" s="471">
        <v>1000</v>
      </c>
      <c r="F3511" s="407">
        <f t="shared" si="48"/>
        <v>1.8401363172983856</v>
      </c>
      <c r="G3511" s="408">
        <v>543.43799999999999</v>
      </c>
      <c r="H3511" s="423" t="s">
        <v>173</v>
      </c>
      <c r="I3511" s="423" t="s">
        <v>3484</v>
      </c>
      <c r="J3511" s="243" t="s">
        <v>96</v>
      </c>
      <c r="K3511" s="243" t="s">
        <v>1906</v>
      </c>
      <c r="L3511" s="243" t="s">
        <v>153</v>
      </c>
    </row>
    <row r="3512" spans="1:12" ht="15.6" hidden="1">
      <c r="A3512" s="438">
        <v>45954</v>
      </c>
      <c r="B3512" s="423" t="s">
        <v>4907</v>
      </c>
      <c r="C3512" s="423" t="s">
        <v>172</v>
      </c>
      <c r="D3512" s="423" t="s">
        <v>119</v>
      </c>
      <c r="E3512" s="471">
        <v>1000</v>
      </c>
      <c r="F3512" s="407">
        <f t="shared" si="48"/>
        <v>1.8401363172983856</v>
      </c>
      <c r="G3512" s="408">
        <v>543.43799999999999</v>
      </c>
      <c r="H3512" s="423" t="s">
        <v>173</v>
      </c>
      <c r="I3512" s="423" t="s">
        <v>3484</v>
      </c>
      <c r="J3512" s="243" t="s">
        <v>96</v>
      </c>
      <c r="K3512" s="243" t="s">
        <v>1906</v>
      </c>
      <c r="L3512" s="243" t="s">
        <v>153</v>
      </c>
    </row>
    <row r="3513" spans="1:12" ht="15.6" hidden="1">
      <c r="A3513" s="438">
        <v>45954</v>
      </c>
      <c r="B3513" s="423" t="s">
        <v>4907</v>
      </c>
      <c r="C3513" s="423" t="s">
        <v>172</v>
      </c>
      <c r="D3513" s="423" t="s">
        <v>119</v>
      </c>
      <c r="E3513" s="471">
        <v>1000</v>
      </c>
      <c r="F3513" s="407">
        <f t="shared" si="48"/>
        <v>1.8401363172983856</v>
      </c>
      <c r="G3513" s="408">
        <v>543.43799999999999</v>
      </c>
      <c r="H3513" s="423" t="s">
        <v>173</v>
      </c>
      <c r="I3513" s="423" t="s">
        <v>3484</v>
      </c>
      <c r="J3513" s="243" t="s">
        <v>96</v>
      </c>
      <c r="K3513" s="243" t="s">
        <v>1906</v>
      </c>
      <c r="L3513" s="243" t="s">
        <v>153</v>
      </c>
    </row>
    <row r="3514" spans="1:12" ht="15.6" hidden="1">
      <c r="A3514" s="438">
        <v>45954</v>
      </c>
      <c r="B3514" s="423" t="s">
        <v>4907</v>
      </c>
      <c r="C3514" s="423" t="s">
        <v>172</v>
      </c>
      <c r="D3514" s="423" t="s">
        <v>119</v>
      </c>
      <c r="E3514" s="471">
        <v>1000</v>
      </c>
      <c r="F3514" s="407">
        <f t="shared" si="48"/>
        <v>1.8401363172983856</v>
      </c>
      <c r="G3514" s="408">
        <v>543.43799999999999</v>
      </c>
      <c r="H3514" s="423" t="s">
        <v>173</v>
      </c>
      <c r="I3514" s="423" t="s">
        <v>3484</v>
      </c>
      <c r="J3514" s="243" t="s">
        <v>96</v>
      </c>
      <c r="K3514" s="243" t="s">
        <v>1906</v>
      </c>
      <c r="L3514" s="243" t="s">
        <v>153</v>
      </c>
    </row>
    <row r="3515" spans="1:12" ht="15.6" hidden="1">
      <c r="A3515" s="438">
        <v>45954</v>
      </c>
      <c r="B3515" s="423" t="s">
        <v>4907</v>
      </c>
      <c r="C3515" s="423" t="s">
        <v>172</v>
      </c>
      <c r="D3515" s="423" t="s">
        <v>119</v>
      </c>
      <c r="E3515" s="471">
        <v>1000</v>
      </c>
      <c r="F3515" s="407">
        <f t="shared" si="48"/>
        <v>1.8401363172983856</v>
      </c>
      <c r="G3515" s="408">
        <v>543.43799999999999</v>
      </c>
      <c r="H3515" s="423" t="s">
        <v>173</v>
      </c>
      <c r="I3515" s="423" t="s">
        <v>3484</v>
      </c>
      <c r="J3515" s="243" t="s">
        <v>96</v>
      </c>
      <c r="K3515" s="243" t="s">
        <v>1906</v>
      </c>
      <c r="L3515" s="243" t="s">
        <v>153</v>
      </c>
    </row>
    <row r="3516" spans="1:12" ht="15.6" hidden="1">
      <c r="A3516" s="438">
        <v>45954</v>
      </c>
      <c r="B3516" s="423" t="s">
        <v>2932</v>
      </c>
      <c r="C3516" s="423" t="s">
        <v>366</v>
      </c>
      <c r="D3516" s="423" t="s">
        <v>119</v>
      </c>
      <c r="E3516" s="471">
        <v>2000</v>
      </c>
      <c r="F3516" s="407">
        <f t="shared" si="48"/>
        <v>3.6802726345967711</v>
      </c>
      <c r="G3516" s="408">
        <v>543.43799999999999</v>
      </c>
      <c r="H3516" s="423" t="s">
        <v>173</v>
      </c>
      <c r="I3516" s="423" t="s">
        <v>3485</v>
      </c>
      <c r="J3516" s="243" t="s">
        <v>96</v>
      </c>
      <c r="K3516" s="243" t="s">
        <v>1906</v>
      </c>
      <c r="L3516" s="243" t="s">
        <v>153</v>
      </c>
    </row>
    <row r="3517" spans="1:12" ht="15.6" hidden="1">
      <c r="A3517" s="438">
        <v>45954</v>
      </c>
      <c r="B3517" s="243" t="s">
        <v>4940</v>
      </c>
      <c r="C3517" s="243" t="s">
        <v>172</v>
      </c>
      <c r="D3517" s="243" t="s">
        <v>119</v>
      </c>
      <c r="E3517" s="460">
        <v>500</v>
      </c>
      <c r="F3517" s="407"/>
      <c r="G3517" s="408">
        <v>543.43799999999999</v>
      </c>
      <c r="H3517" s="243" t="s">
        <v>315</v>
      </c>
      <c r="I3517" s="243" t="s">
        <v>3510</v>
      </c>
      <c r="J3517" s="243" t="s">
        <v>96</v>
      </c>
      <c r="K3517" s="243" t="s">
        <v>1906</v>
      </c>
      <c r="L3517" s="243" t="s">
        <v>153</v>
      </c>
    </row>
    <row r="3518" spans="1:12" ht="15.6" hidden="1">
      <c r="A3518" s="438">
        <v>45954</v>
      </c>
      <c r="B3518" s="243" t="s">
        <v>4940</v>
      </c>
      <c r="C3518" s="243" t="s">
        <v>172</v>
      </c>
      <c r="D3518" s="243" t="s">
        <v>119</v>
      </c>
      <c r="E3518" s="460">
        <v>700</v>
      </c>
      <c r="F3518" s="407">
        <f t="shared" ref="F3518:F3549" si="49">E3518/G3518</f>
        <v>1.2880954221088698</v>
      </c>
      <c r="G3518" s="408">
        <v>543.43799999999999</v>
      </c>
      <c r="H3518" s="243" t="s">
        <v>315</v>
      </c>
      <c r="I3518" s="243" t="s">
        <v>3510</v>
      </c>
      <c r="J3518" s="243" t="s">
        <v>96</v>
      </c>
      <c r="K3518" s="243" t="s">
        <v>1906</v>
      </c>
      <c r="L3518" s="243" t="s">
        <v>153</v>
      </c>
    </row>
    <row r="3519" spans="1:12" ht="15.6" hidden="1">
      <c r="A3519" s="438">
        <v>45954</v>
      </c>
      <c r="B3519" s="243" t="s">
        <v>3569</v>
      </c>
      <c r="C3519" s="243" t="s">
        <v>172</v>
      </c>
      <c r="D3519" s="243" t="s">
        <v>115</v>
      </c>
      <c r="E3519" s="463">
        <v>1000</v>
      </c>
      <c r="F3519" s="407">
        <f t="shared" si="49"/>
        <v>1.8401363172983856</v>
      </c>
      <c r="G3519" s="408">
        <v>543.43799999999999</v>
      </c>
      <c r="H3519" s="243" t="s">
        <v>188</v>
      </c>
      <c r="I3519" s="243" t="s">
        <v>3594</v>
      </c>
      <c r="J3519" s="243" t="s">
        <v>96</v>
      </c>
      <c r="K3519" s="243" t="s">
        <v>1906</v>
      </c>
      <c r="L3519" s="243" t="s">
        <v>153</v>
      </c>
    </row>
    <row r="3520" spans="1:12" ht="15.6" hidden="1">
      <c r="A3520" s="438">
        <v>45954</v>
      </c>
      <c r="B3520" s="243" t="s">
        <v>3567</v>
      </c>
      <c r="C3520" s="243" t="s">
        <v>172</v>
      </c>
      <c r="D3520" s="243" t="s">
        <v>115</v>
      </c>
      <c r="E3520" s="463">
        <v>1000</v>
      </c>
      <c r="F3520" s="407">
        <f t="shared" si="49"/>
        <v>1.8401363172983856</v>
      </c>
      <c r="G3520" s="408">
        <v>543.43799999999999</v>
      </c>
      <c r="H3520" s="243" t="s">
        <v>188</v>
      </c>
      <c r="I3520" s="243" t="s">
        <v>3594</v>
      </c>
      <c r="J3520" s="243" t="s">
        <v>96</v>
      </c>
      <c r="K3520" s="243" t="s">
        <v>1906</v>
      </c>
      <c r="L3520" s="243" t="s">
        <v>153</v>
      </c>
    </row>
    <row r="3521" spans="1:12" ht="15.6" hidden="1">
      <c r="A3521" s="438">
        <v>45954</v>
      </c>
      <c r="B3521" s="243" t="s">
        <v>3570</v>
      </c>
      <c r="C3521" s="243" t="s">
        <v>3317</v>
      </c>
      <c r="D3521" s="243" t="s">
        <v>115</v>
      </c>
      <c r="E3521" s="463">
        <v>3000</v>
      </c>
      <c r="F3521" s="407">
        <f t="shared" si="49"/>
        <v>5.5204089518951562</v>
      </c>
      <c r="G3521" s="408">
        <v>543.43799999999999</v>
      </c>
      <c r="H3521" s="243" t="s">
        <v>188</v>
      </c>
      <c r="I3521" s="243" t="s">
        <v>3604</v>
      </c>
      <c r="J3521" s="243" t="s">
        <v>96</v>
      </c>
      <c r="K3521" s="243" t="s">
        <v>1906</v>
      </c>
      <c r="L3521" s="243" t="s">
        <v>153</v>
      </c>
    </row>
    <row r="3522" spans="1:12" ht="15.6" hidden="1">
      <c r="A3522" s="438">
        <v>45954</v>
      </c>
      <c r="B3522" s="243" t="s">
        <v>3571</v>
      </c>
      <c r="C3522" s="243" t="s">
        <v>172</v>
      </c>
      <c r="D3522" s="243" t="s">
        <v>115</v>
      </c>
      <c r="E3522" s="463">
        <v>1000</v>
      </c>
      <c r="F3522" s="407">
        <f t="shared" si="49"/>
        <v>1.8401363172983856</v>
      </c>
      <c r="G3522" s="408">
        <v>543.43799999999999</v>
      </c>
      <c r="H3522" s="243" t="s">
        <v>188</v>
      </c>
      <c r="I3522" s="243" t="s">
        <v>3594</v>
      </c>
      <c r="J3522" s="243" t="s">
        <v>96</v>
      </c>
      <c r="K3522" s="243" t="s">
        <v>1906</v>
      </c>
      <c r="L3522" s="243" t="s">
        <v>153</v>
      </c>
    </row>
    <row r="3523" spans="1:12" ht="15.6" hidden="1">
      <c r="A3523" s="438">
        <v>45954</v>
      </c>
      <c r="B3523" s="243" t="s">
        <v>3572</v>
      </c>
      <c r="C3523" s="243" t="s">
        <v>172</v>
      </c>
      <c r="D3523" s="243" t="s">
        <v>115</v>
      </c>
      <c r="E3523" s="463">
        <v>1000</v>
      </c>
      <c r="F3523" s="407">
        <f t="shared" si="49"/>
        <v>1.8401363172983856</v>
      </c>
      <c r="G3523" s="408">
        <v>543.43799999999999</v>
      </c>
      <c r="H3523" s="243" t="s">
        <v>188</v>
      </c>
      <c r="I3523" s="243" t="s">
        <v>3594</v>
      </c>
      <c r="J3523" s="243" t="s">
        <v>96</v>
      </c>
      <c r="K3523" s="243" t="s">
        <v>1906</v>
      </c>
      <c r="L3523" s="243" t="s">
        <v>153</v>
      </c>
    </row>
    <row r="3524" spans="1:12" ht="15.6" hidden="1">
      <c r="A3524" s="438">
        <v>45954</v>
      </c>
      <c r="B3524" s="243" t="s">
        <v>3573</v>
      </c>
      <c r="C3524" s="243" t="s">
        <v>172</v>
      </c>
      <c r="D3524" s="243" t="s">
        <v>115</v>
      </c>
      <c r="E3524" s="463">
        <v>1000</v>
      </c>
      <c r="F3524" s="407">
        <f t="shared" si="49"/>
        <v>1.8401363172983856</v>
      </c>
      <c r="G3524" s="408">
        <v>543.43799999999999</v>
      </c>
      <c r="H3524" s="243" t="s">
        <v>188</v>
      </c>
      <c r="I3524" s="243" t="s">
        <v>3594</v>
      </c>
      <c r="J3524" s="243" t="s">
        <v>96</v>
      </c>
      <c r="K3524" s="243" t="s">
        <v>1906</v>
      </c>
      <c r="L3524" s="243" t="s">
        <v>153</v>
      </c>
    </row>
    <row r="3525" spans="1:12" ht="15.6" hidden="1">
      <c r="A3525" s="438">
        <v>45954</v>
      </c>
      <c r="B3525" s="243" t="s">
        <v>3574</v>
      </c>
      <c r="C3525" s="243" t="s">
        <v>172</v>
      </c>
      <c r="D3525" s="243" t="s">
        <v>115</v>
      </c>
      <c r="E3525" s="463">
        <v>2000</v>
      </c>
      <c r="F3525" s="407">
        <f t="shared" si="49"/>
        <v>3.6802726345967711</v>
      </c>
      <c r="G3525" s="408">
        <v>543.43799999999999</v>
      </c>
      <c r="H3525" s="243" t="s">
        <v>188</v>
      </c>
      <c r="I3525" s="243" t="s">
        <v>3605</v>
      </c>
      <c r="J3525" s="243" t="s">
        <v>96</v>
      </c>
      <c r="K3525" s="243" t="s">
        <v>1906</v>
      </c>
      <c r="L3525" s="243" t="s">
        <v>153</v>
      </c>
    </row>
    <row r="3526" spans="1:12" ht="15.6" hidden="1">
      <c r="A3526" s="438">
        <v>45954</v>
      </c>
      <c r="B3526" s="243" t="s">
        <v>3636</v>
      </c>
      <c r="C3526" s="243" t="s">
        <v>172</v>
      </c>
      <c r="D3526" s="243" t="s">
        <v>115</v>
      </c>
      <c r="E3526" s="463">
        <v>1000</v>
      </c>
      <c r="F3526" s="407">
        <f t="shared" si="49"/>
        <v>1.8401363172983856</v>
      </c>
      <c r="G3526" s="408">
        <v>543.43799999999999</v>
      </c>
      <c r="H3526" s="243" t="s">
        <v>191</v>
      </c>
      <c r="I3526" s="243" t="s">
        <v>3665</v>
      </c>
      <c r="J3526" s="243" t="s">
        <v>96</v>
      </c>
      <c r="K3526" s="243" t="s">
        <v>1906</v>
      </c>
      <c r="L3526" s="243" t="s">
        <v>153</v>
      </c>
    </row>
    <row r="3527" spans="1:12" ht="15.6" hidden="1">
      <c r="A3527" s="438">
        <v>45954</v>
      </c>
      <c r="B3527" s="243" t="s">
        <v>3637</v>
      </c>
      <c r="C3527" s="243" t="s">
        <v>175</v>
      </c>
      <c r="D3527" s="243" t="s">
        <v>115</v>
      </c>
      <c r="E3527" s="457">
        <v>100000</v>
      </c>
      <c r="F3527" s="407">
        <f t="shared" si="49"/>
        <v>184.01363172983855</v>
      </c>
      <c r="G3527" s="408">
        <v>543.43799999999999</v>
      </c>
      <c r="H3527" s="243" t="s">
        <v>191</v>
      </c>
      <c r="I3527" s="243" t="s">
        <v>3678</v>
      </c>
      <c r="J3527" s="243" t="s">
        <v>96</v>
      </c>
      <c r="K3527" s="243" t="s">
        <v>1906</v>
      </c>
      <c r="L3527" s="243" t="s">
        <v>153</v>
      </c>
    </row>
    <row r="3528" spans="1:12" ht="15.6" hidden="1">
      <c r="A3528" s="438">
        <v>45954</v>
      </c>
      <c r="B3528" s="461" t="s">
        <v>3150</v>
      </c>
      <c r="C3528" s="439" t="s">
        <v>172</v>
      </c>
      <c r="D3528" s="461" t="s">
        <v>118</v>
      </c>
      <c r="E3528" s="464">
        <v>1000</v>
      </c>
      <c r="F3528" s="407">
        <f t="shared" si="49"/>
        <v>1.8401363172983856</v>
      </c>
      <c r="G3528" s="408">
        <v>543.43799999999999</v>
      </c>
      <c r="H3528" s="461" t="s">
        <v>211</v>
      </c>
      <c r="I3528" s="461" t="s">
        <v>3910</v>
      </c>
      <c r="J3528" s="243" t="s">
        <v>96</v>
      </c>
      <c r="K3528" s="243" t="s">
        <v>1906</v>
      </c>
      <c r="L3528" s="243" t="s">
        <v>153</v>
      </c>
    </row>
    <row r="3529" spans="1:12" ht="15.6" hidden="1">
      <c r="A3529" s="438">
        <v>45954</v>
      </c>
      <c r="B3529" s="461" t="s">
        <v>3889</v>
      </c>
      <c r="C3529" s="439" t="s">
        <v>175</v>
      </c>
      <c r="D3529" s="461" t="s">
        <v>118</v>
      </c>
      <c r="E3529" s="464">
        <v>70000</v>
      </c>
      <c r="F3529" s="407">
        <f t="shared" si="49"/>
        <v>128.80954221088697</v>
      </c>
      <c r="G3529" s="408">
        <v>543.43799999999999</v>
      </c>
      <c r="H3529" s="461" t="s">
        <v>211</v>
      </c>
      <c r="I3529" s="461" t="s">
        <v>3931</v>
      </c>
      <c r="J3529" s="243" t="s">
        <v>96</v>
      </c>
      <c r="K3529" s="243" t="s">
        <v>1906</v>
      </c>
      <c r="L3529" s="243" t="s">
        <v>153</v>
      </c>
    </row>
    <row r="3530" spans="1:12" ht="15.6" hidden="1">
      <c r="A3530" s="438">
        <v>45954</v>
      </c>
      <c r="B3530" s="164" t="s">
        <v>4109</v>
      </c>
      <c r="C3530" s="124" t="s">
        <v>125</v>
      </c>
      <c r="D3530" s="350" t="s">
        <v>117</v>
      </c>
      <c r="E3530" s="349">
        <v>1311000</v>
      </c>
      <c r="F3530" s="407">
        <f t="shared" si="49"/>
        <v>2412.4187119781832</v>
      </c>
      <c r="G3530" s="408">
        <v>543.43799999999999</v>
      </c>
      <c r="H3530" s="125" t="s">
        <v>146</v>
      </c>
      <c r="I3530" s="125" t="s">
        <v>4089</v>
      </c>
      <c r="J3530" s="243" t="s">
        <v>96</v>
      </c>
      <c r="K3530" s="243" t="s">
        <v>1906</v>
      </c>
      <c r="L3530" s="243" t="s">
        <v>153</v>
      </c>
    </row>
    <row r="3531" spans="1:12" ht="15.6" hidden="1">
      <c r="A3531" s="438">
        <v>45954</v>
      </c>
      <c r="B3531" s="164" t="s">
        <v>4115</v>
      </c>
      <c r="C3531" s="442" t="s">
        <v>125</v>
      </c>
      <c r="D3531" s="442" t="s">
        <v>116</v>
      </c>
      <c r="E3531" s="349">
        <v>258800</v>
      </c>
      <c r="F3531" s="407">
        <f t="shared" si="49"/>
        <v>476.22727891682217</v>
      </c>
      <c r="G3531" s="408">
        <v>543.43799999999999</v>
      </c>
      <c r="H3531" s="125" t="s">
        <v>146</v>
      </c>
      <c r="I3531" s="125" t="s">
        <v>4090</v>
      </c>
      <c r="J3531" s="243" t="s">
        <v>96</v>
      </c>
      <c r="K3531" s="243" t="s">
        <v>1906</v>
      </c>
      <c r="L3531" s="243" t="s">
        <v>153</v>
      </c>
    </row>
    <row r="3532" spans="1:12" ht="15.6" hidden="1">
      <c r="A3532" s="438">
        <v>45954</v>
      </c>
      <c r="B3532" s="164" t="s">
        <v>4110</v>
      </c>
      <c r="C3532" s="124" t="s">
        <v>125</v>
      </c>
      <c r="D3532" s="350" t="s">
        <v>115</v>
      </c>
      <c r="E3532" s="349">
        <v>580282</v>
      </c>
      <c r="F3532" s="407">
        <f t="shared" si="49"/>
        <v>1067.7979824745416</v>
      </c>
      <c r="G3532" s="408">
        <v>543.43799999999999</v>
      </c>
      <c r="H3532" s="125" t="s">
        <v>146</v>
      </c>
      <c r="I3532" s="125" t="s">
        <v>4091</v>
      </c>
      <c r="J3532" s="243" t="s">
        <v>96</v>
      </c>
      <c r="K3532" s="243" t="s">
        <v>1906</v>
      </c>
      <c r="L3532" s="243" t="s">
        <v>153</v>
      </c>
    </row>
    <row r="3533" spans="1:12" ht="15.6" hidden="1">
      <c r="A3533" s="438">
        <v>45954</v>
      </c>
      <c r="B3533" s="164" t="s">
        <v>4111</v>
      </c>
      <c r="C3533" s="442" t="s">
        <v>125</v>
      </c>
      <c r="D3533" s="124" t="s">
        <v>115</v>
      </c>
      <c r="E3533" s="349">
        <v>328800</v>
      </c>
      <c r="F3533" s="407">
        <f t="shared" si="49"/>
        <v>605.03682112770912</v>
      </c>
      <c r="G3533" s="408">
        <v>543.43799999999999</v>
      </c>
      <c r="H3533" s="125" t="s">
        <v>146</v>
      </c>
      <c r="I3533" s="125" t="s">
        <v>4092</v>
      </c>
      <c r="J3533" s="243" t="s">
        <v>96</v>
      </c>
      <c r="K3533" s="243" t="s">
        <v>1906</v>
      </c>
      <c r="L3533" s="243" t="s">
        <v>153</v>
      </c>
    </row>
    <row r="3534" spans="1:12" ht="15.6" hidden="1">
      <c r="A3534" s="438">
        <v>45954</v>
      </c>
      <c r="B3534" s="164" t="s">
        <v>4116</v>
      </c>
      <c r="C3534" s="442" t="s">
        <v>125</v>
      </c>
      <c r="D3534" s="124" t="s">
        <v>118</v>
      </c>
      <c r="E3534" s="349">
        <v>266940</v>
      </c>
      <c r="F3534" s="407">
        <f t="shared" si="49"/>
        <v>491.20598853963105</v>
      </c>
      <c r="G3534" s="408">
        <v>543.43799999999999</v>
      </c>
      <c r="H3534" s="125" t="s">
        <v>146</v>
      </c>
      <c r="I3534" s="125" t="s">
        <v>4093</v>
      </c>
      <c r="J3534" s="243" t="s">
        <v>96</v>
      </c>
      <c r="K3534" s="243" t="s">
        <v>1906</v>
      </c>
      <c r="L3534" s="243" t="s">
        <v>153</v>
      </c>
    </row>
    <row r="3535" spans="1:12" ht="15.6" hidden="1">
      <c r="A3535" s="438">
        <v>45954</v>
      </c>
      <c r="B3535" s="164" t="s">
        <v>4112</v>
      </c>
      <c r="C3535" s="442" t="s">
        <v>125</v>
      </c>
      <c r="D3535" s="443" t="s">
        <v>115</v>
      </c>
      <c r="E3535" s="349">
        <v>228800</v>
      </c>
      <c r="F3535" s="407">
        <f t="shared" si="49"/>
        <v>421.02318939787062</v>
      </c>
      <c r="G3535" s="408">
        <v>543.43799999999999</v>
      </c>
      <c r="H3535" s="125" t="s">
        <v>146</v>
      </c>
      <c r="I3535" s="125" t="s">
        <v>4094</v>
      </c>
      <c r="J3535" s="243" t="s">
        <v>96</v>
      </c>
      <c r="K3535" s="243" t="s">
        <v>1906</v>
      </c>
      <c r="L3535" s="243" t="s">
        <v>153</v>
      </c>
    </row>
    <row r="3536" spans="1:12" ht="15.6" hidden="1">
      <c r="A3536" s="438">
        <v>45954</v>
      </c>
      <c r="B3536" s="164" t="s">
        <v>4113</v>
      </c>
      <c r="C3536" s="124" t="s">
        <v>125</v>
      </c>
      <c r="D3536" s="350" t="s">
        <v>115</v>
      </c>
      <c r="E3536" s="349">
        <v>228800</v>
      </c>
      <c r="F3536" s="407">
        <f t="shared" si="49"/>
        <v>421.02318939787062</v>
      </c>
      <c r="G3536" s="408">
        <v>543.43799999999999</v>
      </c>
      <c r="H3536" s="125" t="s">
        <v>146</v>
      </c>
      <c r="I3536" s="125" t="s">
        <v>4095</v>
      </c>
      <c r="J3536" s="243" t="s">
        <v>96</v>
      </c>
      <c r="K3536" s="243" t="s">
        <v>1906</v>
      </c>
      <c r="L3536" s="243" t="s">
        <v>153</v>
      </c>
    </row>
    <row r="3537" spans="1:12" ht="15.6" hidden="1">
      <c r="A3537" s="438">
        <v>45954</v>
      </c>
      <c r="B3537" s="164" t="s">
        <v>4114</v>
      </c>
      <c r="C3537" s="442" t="s">
        <v>125</v>
      </c>
      <c r="D3537" s="442" t="s">
        <v>115</v>
      </c>
      <c r="E3537" s="349">
        <v>228800</v>
      </c>
      <c r="F3537" s="407">
        <f t="shared" si="49"/>
        <v>421.02318939787062</v>
      </c>
      <c r="G3537" s="408">
        <v>543.43799999999999</v>
      </c>
      <c r="H3537" s="125" t="s">
        <v>146</v>
      </c>
      <c r="I3537" s="125" t="s">
        <v>4096</v>
      </c>
      <c r="J3537" s="243" t="s">
        <v>96</v>
      </c>
      <c r="K3537" s="243" t="s">
        <v>1906</v>
      </c>
      <c r="L3537" s="243" t="s">
        <v>153</v>
      </c>
    </row>
    <row r="3538" spans="1:12" ht="15.6" hidden="1">
      <c r="A3538" s="438">
        <v>45955</v>
      </c>
      <c r="B3538" s="239" t="s">
        <v>3244</v>
      </c>
      <c r="C3538" s="453" t="s">
        <v>2394</v>
      </c>
      <c r="D3538" s="453" t="s">
        <v>117</v>
      </c>
      <c r="E3538" s="458">
        <v>40000</v>
      </c>
      <c r="F3538" s="407">
        <f t="shared" si="49"/>
        <v>73.605452691935426</v>
      </c>
      <c r="G3538" s="408">
        <v>543.43799999999999</v>
      </c>
      <c r="H3538" s="454" t="s">
        <v>151</v>
      </c>
      <c r="I3538" s="239" t="s">
        <v>3273</v>
      </c>
      <c r="J3538" s="243" t="s">
        <v>96</v>
      </c>
      <c r="K3538" s="243" t="s">
        <v>1906</v>
      </c>
      <c r="L3538" s="243" t="s">
        <v>153</v>
      </c>
    </row>
    <row r="3539" spans="1:12" ht="15.6" hidden="1">
      <c r="A3539" s="438">
        <v>45955</v>
      </c>
      <c r="B3539" s="239" t="s">
        <v>3245</v>
      </c>
      <c r="C3539" s="453" t="s">
        <v>172</v>
      </c>
      <c r="D3539" s="453" t="s">
        <v>117</v>
      </c>
      <c r="E3539" s="458">
        <v>1000</v>
      </c>
      <c r="F3539" s="407">
        <f t="shared" si="49"/>
        <v>1.8401363172983856</v>
      </c>
      <c r="G3539" s="408">
        <v>543.43799999999999</v>
      </c>
      <c r="H3539" s="454" t="s">
        <v>151</v>
      </c>
      <c r="I3539" s="239" t="s">
        <v>3264</v>
      </c>
      <c r="J3539" s="243" t="s">
        <v>96</v>
      </c>
      <c r="K3539" s="243" t="s">
        <v>1906</v>
      </c>
      <c r="L3539" s="243" t="s">
        <v>153</v>
      </c>
    </row>
    <row r="3540" spans="1:12" ht="15.6" hidden="1">
      <c r="A3540" s="438">
        <v>45955</v>
      </c>
      <c r="B3540" s="331" t="s">
        <v>4894</v>
      </c>
      <c r="C3540" s="331" t="s">
        <v>172</v>
      </c>
      <c r="D3540" s="331" t="s">
        <v>119</v>
      </c>
      <c r="E3540" s="459">
        <v>700</v>
      </c>
      <c r="F3540" s="407">
        <f t="shared" si="49"/>
        <v>1.2880954221088698</v>
      </c>
      <c r="G3540" s="408">
        <v>543.43799999999999</v>
      </c>
      <c r="H3540" s="331" t="s">
        <v>182</v>
      </c>
      <c r="I3540" s="331" t="s">
        <v>3447</v>
      </c>
      <c r="J3540" s="243" t="s">
        <v>96</v>
      </c>
      <c r="K3540" s="243" t="s">
        <v>1906</v>
      </c>
      <c r="L3540" s="243" t="s">
        <v>153</v>
      </c>
    </row>
    <row r="3541" spans="1:12" ht="15.6" hidden="1">
      <c r="A3541" s="438">
        <v>45955</v>
      </c>
      <c r="B3541" s="331" t="s">
        <v>4886</v>
      </c>
      <c r="C3541" s="331" t="s">
        <v>172</v>
      </c>
      <c r="D3541" s="331" t="s">
        <v>119</v>
      </c>
      <c r="E3541" s="459">
        <v>700</v>
      </c>
      <c r="F3541" s="407">
        <f t="shared" si="49"/>
        <v>1.2880954221088698</v>
      </c>
      <c r="G3541" s="408">
        <v>543.43799999999999</v>
      </c>
      <c r="H3541" s="331" t="s">
        <v>182</v>
      </c>
      <c r="I3541" s="331" t="s">
        <v>3447</v>
      </c>
      <c r="J3541" s="243" t="s">
        <v>96</v>
      </c>
      <c r="K3541" s="243" t="s">
        <v>1906</v>
      </c>
      <c r="L3541" s="243" t="s">
        <v>153</v>
      </c>
    </row>
    <row r="3542" spans="1:12" ht="15.6" hidden="1">
      <c r="A3542" s="438">
        <v>45955</v>
      </c>
      <c r="B3542" s="331" t="s">
        <v>4894</v>
      </c>
      <c r="C3542" s="331" t="s">
        <v>172</v>
      </c>
      <c r="D3542" s="331" t="s">
        <v>119</v>
      </c>
      <c r="E3542" s="459">
        <v>700</v>
      </c>
      <c r="F3542" s="407">
        <f t="shared" si="49"/>
        <v>1.2880954221088698</v>
      </c>
      <c r="G3542" s="408">
        <v>543.43799999999999</v>
      </c>
      <c r="H3542" s="331" t="s">
        <v>182</v>
      </c>
      <c r="I3542" s="331" t="s">
        <v>3447</v>
      </c>
      <c r="J3542" s="243" t="s">
        <v>96</v>
      </c>
      <c r="K3542" s="243" t="s">
        <v>1906</v>
      </c>
      <c r="L3542" s="243" t="s">
        <v>153</v>
      </c>
    </row>
    <row r="3543" spans="1:12" ht="15.6" hidden="1">
      <c r="A3543" s="438">
        <v>45955</v>
      </c>
      <c r="B3543" s="331" t="s">
        <v>4886</v>
      </c>
      <c r="C3543" s="331" t="s">
        <v>172</v>
      </c>
      <c r="D3543" s="331" t="s">
        <v>119</v>
      </c>
      <c r="E3543" s="459">
        <v>700</v>
      </c>
      <c r="F3543" s="407">
        <f t="shared" si="49"/>
        <v>1.2880954221088698</v>
      </c>
      <c r="G3543" s="408">
        <v>543.43799999999999</v>
      </c>
      <c r="H3543" s="331" t="s">
        <v>182</v>
      </c>
      <c r="I3543" s="331" t="s">
        <v>3447</v>
      </c>
      <c r="J3543" s="243" t="s">
        <v>96</v>
      </c>
      <c r="K3543" s="243" t="s">
        <v>1906</v>
      </c>
      <c r="L3543" s="243" t="s">
        <v>153</v>
      </c>
    </row>
    <row r="3544" spans="1:12" ht="15.6" hidden="1">
      <c r="A3544" s="438">
        <v>45955</v>
      </c>
      <c r="B3544" s="423" t="s">
        <v>4876</v>
      </c>
      <c r="C3544" s="423" t="s">
        <v>172</v>
      </c>
      <c r="D3544" s="423" t="s">
        <v>119</v>
      </c>
      <c r="E3544" s="471">
        <v>1000</v>
      </c>
      <c r="F3544" s="407">
        <f t="shared" si="49"/>
        <v>1.8401363172983856</v>
      </c>
      <c r="G3544" s="408">
        <v>543.43799999999999</v>
      </c>
      <c r="H3544" s="423" t="s">
        <v>173</v>
      </c>
      <c r="I3544" s="423" t="s">
        <v>3484</v>
      </c>
      <c r="J3544" s="243" t="s">
        <v>96</v>
      </c>
      <c r="K3544" s="243" t="s">
        <v>1906</v>
      </c>
      <c r="L3544" s="243" t="s">
        <v>153</v>
      </c>
    </row>
    <row r="3545" spans="1:12" ht="15.6" hidden="1">
      <c r="A3545" s="438">
        <v>45955</v>
      </c>
      <c r="B3545" s="423" t="s">
        <v>4876</v>
      </c>
      <c r="C3545" s="423" t="s">
        <v>172</v>
      </c>
      <c r="D3545" s="423" t="s">
        <v>119</v>
      </c>
      <c r="E3545" s="471">
        <v>1000</v>
      </c>
      <c r="F3545" s="407">
        <f t="shared" si="49"/>
        <v>1.8401363172983856</v>
      </c>
      <c r="G3545" s="408">
        <v>543.43799999999999</v>
      </c>
      <c r="H3545" s="423" t="s">
        <v>173</v>
      </c>
      <c r="I3545" s="423" t="s">
        <v>3484</v>
      </c>
      <c r="J3545" s="243" t="s">
        <v>96</v>
      </c>
      <c r="K3545" s="243" t="s">
        <v>1906</v>
      </c>
      <c r="L3545" s="243" t="s">
        <v>153</v>
      </c>
    </row>
    <row r="3546" spans="1:12" ht="15.6" hidden="1">
      <c r="A3546" s="438">
        <v>45955</v>
      </c>
      <c r="B3546" s="423" t="s">
        <v>4876</v>
      </c>
      <c r="C3546" s="423" t="s">
        <v>172</v>
      </c>
      <c r="D3546" s="423" t="s">
        <v>119</v>
      </c>
      <c r="E3546" s="471">
        <v>1000</v>
      </c>
      <c r="F3546" s="407">
        <f t="shared" si="49"/>
        <v>1.8401363172983856</v>
      </c>
      <c r="G3546" s="408">
        <v>543.43799999999999</v>
      </c>
      <c r="H3546" s="423" t="s">
        <v>173</v>
      </c>
      <c r="I3546" s="423" t="s">
        <v>3484</v>
      </c>
      <c r="J3546" s="243" t="s">
        <v>96</v>
      </c>
      <c r="K3546" s="243" t="s">
        <v>1906</v>
      </c>
      <c r="L3546" s="243" t="s">
        <v>153</v>
      </c>
    </row>
    <row r="3547" spans="1:12" ht="15.6" hidden="1">
      <c r="A3547" s="438">
        <v>45955</v>
      </c>
      <c r="B3547" s="423" t="s">
        <v>4876</v>
      </c>
      <c r="C3547" s="423" t="s">
        <v>172</v>
      </c>
      <c r="D3547" s="423" t="s">
        <v>119</v>
      </c>
      <c r="E3547" s="471">
        <v>1000</v>
      </c>
      <c r="F3547" s="407">
        <f t="shared" si="49"/>
        <v>1.8401363172983856</v>
      </c>
      <c r="G3547" s="408">
        <v>543.43799999999999</v>
      </c>
      <c r="H3547" s="423" t="s">
        <v>173</v>
      </c>
      <c r="I3547" s="423" t="s">
        <v>3484</v>
      </c>
      <c r="J3547" s="243" t="s">
        <v>96</v>
      </c>
      <c r="K3547" s="243" t="s">
        <v>1906</v>
      </c>
      <c r="L3547" s="243" t="s">
        <v>153</v>
      </c>
    </row>
    <row r="3548" spans="1:12" ht="15.6" hidden="1">
      <c r="A3548" s="438">
        <v>45955</v>
      </c>
      <c r="B3548" s="423" t="s">
        <v>4917</v>
      </c>
      <c r="C3548" s="423" t="s">
        <v>172</v>
      </c>
      <c r="D3548" s="423" t="s">
        <v>119</v>
      </c>
      <c r="E3548" s="471">
        <v>1000</v>
      </c>
      <c r="F3548" s="407">
        <f t="shared" si="49"/>
        <v>1.8401363172983856</v>
      </c>
      <c r="G3548" s="408">
        <v>543.43799999999999</v>
      </c>
      <c r="H3548" s="423" t="s">
        <v>173</v>
      </c>
      <c r="I3548" s="423" t="s">
        <v>3484</v>
      </c>
      <c r="J3548" s="243" t="s">
        <v>96</v>
      </c>
      <c r="K3548" s="243" t="s">
        <v>1906</v>
      </c>
      <c r="L3548" s="243" t="s">
        <v>153</v>
      </c>
    </row>
    <row r="3549" spans="1:12" ht="15.6" hidden="1">
      <c r="A3549" s="438">
        <v>45955</v>
      </c>
      <c r="B3549" s="423" t="s">
        <v>4876</v>
      </c>
      <c r="C3549" s="423" t="s">
        <v>172</v>
      </c>
      <c r="D3549" s="423" t="s">
        <v>119</v>
      </c>
      <c r="E3549" s="471">
        <v>1000</v>
      </c>
      <c r="F3549" s="407">
        <f t="shared" si="49"/>
        <v>1.8401363172983856</v>
      </c>
      <c r="G3549" s="408">
        <v>543.43799999999999</v>
      </c>
      <c r="H3549" s="423" t="s">
        <v>173</v>
      </c>
      <c r="I3549" s="423" t="s">
        <v>3484</v>
      </c>
      <c r="J3549" s="243" t="s">
        <v>96</v>
      </c>
      <c r="K3549" s="243" t="s">
        <v>1906</v>
      </c>
      <c r="L3549" s="243" t="s">
        <v>153</v>
      </c>
    </row>
    <row r="3550" spans="1:12" ht="15.6" hidden="1">
      <c r="A3550" s="438">
        <v>45955</v>
      </c>
      <c r="B3550" s="423" t="s">
        <v>4876</v>
      </c>
      <c r="C3550" s="423" t="s">
        <v>172</v>
      </c>
      <c r="D3550" s="423" t="s">
        <v>119</v>
      </c>
      <c r="E3550" s="471">
        <v>1000</v>
      </c>
      <c r="F3550" s="407">
        <f t="shared" ref="F3550:F3581" si="50">E3550/G3550</f>
        <v>1.8401363172983856</v>
      </c>
      <c r="G3550" s="408">
        <v>543.43799999999999</v>
      </c>
      <c r="H3550" s="423" t="s">
        <v>173</v>
      </c>
      <c r="I3550" s="423" t="s">
        <v>3484</v>
      </c>
      <c r="J3550" s="243" t="s">
        <v>96</v>
      </c>
      <c r="K3550" s="243" t="s">
        <v>1906</v>
      </c>
      <c r="L3550" s="243" t="s">
        <v>153</v>
      </c>
    </row>
    <row r="3551" spans="1:12" ht="15.6" hidden="1">
      <c r="A3551" s="438">
        <v>45955</v>
      </c>
      <c r="B3551" s="423" t="s">
        <v>4876</v>
      </c>
      <c r="C3551" s="423" t="s">
        <v>172</v>
      </c>
      <c r="D3551" s="423" t="s">
        <v>119</v>
      </c>
      <c r="E3551" s="471">
        <v>1000</v>
      </c>
      <c r="F3551" s="407">
        <f t="shared" si="50"/>
        <v>1.8401363172983856</v>
      </c>
      <c r="G3551" s="408">
        <v>543.43799999999999</v>
      </c>
      <c r="H3551" s="423" t="s">
        <v>173</v>
      </c>
      <c r="I3551" s="423" t="s">
        <v>3484</v>
      </c>
      <c r="J3551" s="243" t="s">
        <v>96</v>
      </c>
      <c r="K3551" s="243" t="s">
        <v>1906</v>
      </c>
      <c r="L3551" s="243" t="s">
        <v>153</v>
      </c>
    </row>
    <row r="3552" spans="1:12" ht="15.6" hidden="1">
      <c r="A3552" s="438">
        <v>45955</v>
      </c>
      <c r="B3552" s="423" t="s">
        <v>3478</v>
      </c>
      <c r="C3552" s="423" t="s">
        <v>366</v>
      </c>
      <c r="D3552" s="423" t="s">
        <v>119</v>
      </c>
      <c r="E3552" s="471">
        <v>2000</v>
      </c>
      <c r="F3552" s="407">
        <f t="shared" si="50"/>
        <v>3.6802726345967711</v>
      </c>
      <c r="G3552" s="408">
        <v>543.43799999999999</v>
      </c>
      <c r="H3552" s="423" t="s">
        <v>173</v>
      </c>
      <c r="I3552" s="423" t="s">
        <v>3485</v>
      </c>
      <c r="J3552" s="243" t="s">
        <v>96</v>
      </c>
      <c r="K3552" s="243" t="s">
        <v>1906</v>
      </c>
      <c r="L3552" s="243" t="s">
        <v>153</v>
      </c>
    </row>
    <row r="3553" spans="1:12" ht="15.6" hidden="1">
      <c r="A3553" s="438">
        <v>45955</v>
      </c>
      <c r="B3553" s="243" t="s">
        <v>4876</v>
      </c>
      <c r="C3553" s="243" t="s">
        <v>172</v>
      </c>
      <c r="D3553" s="243" t="s">
        <v>119</v>
      </c>
      <c r="E3553" s="460">
        <v>1000</v>
      </c>
      <c r="F3553" s="407">
        <f t="shared" si="50"/>
        <v>1.8401363172983856</v>
      </c>
      <c r="G3553" s="408">
        <v>543.43799999999999</v>
      </c>
      <c r="H3553" s="243" t="s">
        <v>315</v>
      </c>
      <c r="I3553" s="243" t="s">
        <v>3510</v>
      </c>
      <c r="J3553" s="243" t="s">
        <v>96</v>
      </c>
      <c r="K3553" s="243" t="s">
        <v>1906</v>
      </c>
      <c r="L3553" s="243" t="s">
        <v>153</v>
      </c>
    </row>
    <row r="3554" spans="1:12" ht="15.6" hidden="1">
      <c r="A3554" s="438">
        <v>45955</v>
      </c>
      <c r="B3554" s="243" t="s">
        <v>4876</v>
      </c>
      <c r="C3554" s="243" t="s">
        <v>172</v>
      </c>
      <c r="D3554" s="243" t="s">
        <v>119</v>
      </c>
      <c r="E3554" s="460">
        <v>1000</v>
      </c>
      <c r="F3554" s="407">
        <f t="shared" si="50"/>
        <v>1.8401363172983856</v>
      </c>
      <c r="G3554" s="408">
        <v>543.43799999999999</v>
      </c>
      <c r="H3554" s="243" t="s">
        <v>315</v>
      </c>
      <c r="I3554" s="243" t="s">
        <v>3510</v>
      </c>
      <c r="J3554" s="243" t="s">
        <v>96</v>
      </c>
      <c r="K3554" s="243" t="s">
        <v>1906</v>
      </c>
      <c r="L3554" s="243" t="s">
        <v>153</v>
      </c>
    </row>
    <row r="3555" spans="1:12" ht="15.6" hidden="1">
      <c r="A3555" s="438">
        <v>45955</v>
      </c>
      <c r="B3555" s="243" t="s">
        <v>3575</v>
      </c>
      <c r="C3555" s="243" t="s">
        <v>2394</v>
      </c>
      <c r="D3555" s="243" t="s">
        <v>115</v>
      </c>
      <c r="E3555" s="463">
        <v>30000</v>
      </c>
      <c r="F3555" s="407">
        <f t="shared" si="50"/>
        <v>55.204089518951562</v>
      </c>
      <c r="G3555" s="408">
        <v>543.43799999999999</v>
      </c>
      <c r="H3555" s="243" t="s">
        <v>188</v>
      </c>
      <c r="I3555" s="243" t="s">
        <v>3606</v>
      </c>
      <c r="J3555" s="243" t="s">
        <v>96</v>
      </c>
      <c r="K3555" s="243" t="s">
        <v>1906</v>
      </c>
      <c r="L3555" s="243" t="s">
        <v>153</v>
      </c>
    </row>
    <row r="3556" spans="1:12" ht="15.6" hidden="1">
      <c r="A3556" s="438">
        <v>45955</v>
      </c>
      <c r="B3556" s="243" t="s">
        <v>3576</v>
      </c>
      <c r="C3556" s="243" t="s">
        <v>172</v>
      </c>
      <c r="D3556" s="243" t="s">
        <v>115</v>
      </c>
      <c r="E3556" s="463">
        <v>1000</v>
      </c>
      <c r="F3556" s="407">
        <f t="shared" si="50"/>
        <v>1.8401363172983856</v>
      </c>
      <c r="G3556" s="408">
        <v>543.43799999999999</v>
      </c>
      <c r="H3556" s="243" t="s">
        <v>188</v>
      </c>
      <c r="I3556" s="243" t="s">
        <v>3594</v>
      </c>
      <c r="J3556" s="243" t="s">
        <v>96</v>
      </c>
      <c r="K3556" s="243" t="s">
        <v>1906</v>
      </c>
      <c r="L3556" s="243" t="s">
        <v>153</v>
      </c>
    </row>
    <row r="3557" spans="1:12" ht="15.6" hidden="1">
      <c r="A3557" s="438">
        <v>45955</v>
      </c>
      <c r="B3557" s="243" t="s">
        <v>3577</v>
      </c>
      <c r="C3557" s="243" t="s">
        <v>172</v>
      </c>
      <c r="D3557" s="243" t="s">
        <v>115</v>
      </c>
      <c r="E3557" s="463">
        <v>500</v>
      </c>
      <c r="F3557" s="407">
        <f t="shared" si="50"/>
        <v>0.92006815864919278</v>
      </c>
      <c r="G3557" s="408">
        <v>543.43799999999999</v>
      </c>
      <c r="H3557" s="243" t="s">
        <v>188</v>
      </c>
      <c r="I3557" s="243" t="s">
        <v>3594</v>
      </c>
      <c r="J3557" s="243" t="s">
        <v>96</v>
      </c>
      <c r="K3557" s="243" t="s">
        <v>1906</v>
      </c>
      <c r="L3557" s="243" t="s">
        <v>153</v>
      </c>
    </row>
    <row r="3558" spans="1:12" ht="15.6" hidden="1">
      <c r="A3558" s="438">
        <v>45956</v>
      </c>
      <c r="B3558" s="331" t="s">
        <v>4944</v>
      </c>
      <c r="C3558" s="331" t="s">
        <v>172</v>
      </c>
      <c r="D3558" s="331" t="s">
        <v>119</v>
      </c>
      <c r="E3558" s="459">
        <v>1000</v>
      </c>
      <c r="F3558" s="407">
        <f t="shared" si="50"/>
        <v>1.8401363172983856</v>
      </c>
      <c r="G3558" s="408">
        <v>543.43799999999999</v>
      </c>
      <c r="H3558" s="331" t="s">
        <v>182</v>
      </c>
      <c r="I3558" s="331" t="s">
        <v>3447</v>
      </c>
      <c r="J3558" s="243" t="s">
        <v>96</v>
      </c>
      <c r="K3558" s="243" t="s">
        <v>1906</v>
      </c>
      <c r="L3558" s="243" t="s">
        <v>153</v>
      </c>
    </row>
    <row r="3559" spans="1:12" ht="15.6" hidden="1">
      <c r="A3559" s="438">
        <v>45956</v>
      </c>
      <c r="B3559" s="331" t="s">
        <v>4938</v>
      </c>
      <c r="C3559" s="331" t="s">
        <v>172</v>
      </c>
      <c r="D3559" s="331" t="s">
        <v>119</v>
      </c>
      <c r="E3559" s="459">
        <v>1000</v>
      </c>
      <c r="F3559" s="407">
        <f t="shared" si="50"/>
        <v>1.8401363172983856</v>
      </c>
      <c r="G3559" s="408">
        <v>543.43799999999999</v>
      </c>
      <c r="H3559" s="331" t="s">
        <v>182</v>
      </c>
      <c r="I3559" s="331" t="s">
        <v>3447</v>
      </c>
      <c r="J3559" s="243" t="s">
        <v>96</v>
      </c>
      <c r="K3559" s="243" t="s">
        <v>1906</v>
      </c>
      <c r="L3559" s="243" t="s">
        <v>153</v>
      </c>
    </row>
    <row r="3560" spans="1:12" ht="15.6" hidden="1">
      <c r="A3560" s="438">
        <v>45956</v>
      </c>
      <c r="B3560" s="331" t="s">
        <v>4917</v>
      </c>
      <c r="C3560" s="331" t="s">
        <v>172</v>
      </c>
      <c r="D3560" s="331" t="s">
        <v>119</v>
      </c>
      <c r="E3560" s="459">
        <v>1000</v>
      </c>
      <c r="F3560" s="407">
        <f t="shared" si="50"/>
        <v>1.8401363172983856</v>
      </c>
      <c r="G3560" s="408">
        <v>543.43799999999999</v>
      </c>
      <c r="H3560" s="331" t="s">
        <v>182</v>
      </c>
      <c r="I3560" s="331" t="s">
        <v>3447</v>
      </c>
      <c r="J3560" s="243" t="s">
        <v>96</v>
      </c>
      <c r="K3560" s="243" t="s">
        <v>1906</v>
      </c>
      <c r="L3560" s="243" t="s">
        <v>153</v>
      </c>
    </row>
    <row r="3561" spans="1:12" ht="15.6" hidden="1">
      <c r="A3561" s="438">
        <v>45956</v>
      </c>
      <c r="B3561" s="331" t="s">
        <v>4954</v>
      </c>
      <c r="C3561" s="331" t="s">
        <v>172</v>
      </c>
      <c r="D3561" s="331" t="s">
        <v>119</v>
      </c>
      <c r="E3561" s="459">
        <v>1000</v>
      </c>
      <c r="F3561" s="407">
        <f t="shared" si="50"/>
        <v>1.8401363172983856</v>
      </c>
      <c r="G3561" s="408">
        <v>543.43799999999999</v>
      </c>
      <c r="H3561" s="331" t="s">
        <v>182</v>
      </c>
      <c r="I3561" s="331" t="s">
        <v>3447</v>
      </c>
      <c r="J3561" s="243" t="s">
        <v>96</v>
      </c>
      <c r="K3561" s="243" t="s">
        <v>1906</v>
      </c>
      <c r="L3561" s="243" t="s">
        <v>153</v>
      </c>
    </row>
    <row r="3562" spans="1:12" ht="15.6" hidden="1">
      <c r="A3562" s="438">
        <v>45956</v>
      </c>
      <c r="B3562" s="331" t="s">
        <v>4954</v>
      </c>
      <c r="C3562" s="331" t="s">
        <v>172</v>
      </c>
      <c r="D3562" s="331" t="s">
        <v>119</v>
      </c>
      <c r="E3562" s="459">
        <v>1000</v>
      </c>
      <c r="F3562" s="407">
        <f t="shared" si="50"/>
        <v>1.8401363172983856</v>
      </c>
      <c r="G3562" s="408">
        <v>543.43799999999999</v>
      </c>
      <c r="H3562" s="331" t="s">
        <v>182</v>
      </c>
      <c r="I3562" s="331" t="s">
        <v>3447</v>
      </c>
      <c r="J3562" s="243" t="s">
        <v>96</v>
      </c>
      <c r="K3562" s="243" t="s">
        <v>1906</v>
      </c>
      <c r="L3562" s="243" t="s">
        <v>153</v>
      </c>
    </row>
    <row r="3563" spans="1:12" ht="15.6" hidden="1">
      <c r="A3563" s="438">
        <v>45956</v>
      </c>
      <c r="B3563" s="331" t="s">
        <v>4954</v>
      </c>
      <c r="C3563" s="331" t="s">
        <v>172</v>
      </c>
      <c r="D3563" s="331" t="s">
        <v>119</v>
      </c>
      <c r="E3563" s="459">
        <v>1000</v>
      </c>
      <c r="F3563" s="407">
        <f t="shared" si="50"/>
        <v>1.8401363172983856</v>
      </c>
      <c r="G3563" s="408">
        <v>543.43799999999999</v>
      </c>
      <c r="H3563" s="331" t="s">
        <v>182</v>
      </c>
      <c r="I3563" s="331" t="s">
        <v>3447</v>
      </c>
      <c r="J3563" s="243" t="s">
        <v>96</v>
      </c>
      <c r="K3563" s="243" t="s">
        <v>1906</v>
      </c>
      <c r="L3563" s="243" t="s">
        <v>153</v>
      </c>
    </row>
    <row r="3564" spans="1:12" ht="15.6" hidden="1">
      <c r="A3564" s="438">
        <v>45956</v>
      </c>
      <c r="B3564" s="331" t="s">
        <v>4917</v>
      </c>
      <c r="C3564" s="331" t="s">
        <v>172</v>
      </c>
      <c r="D3564" s="331" t="s">
        <v>119</v>
      </c>
      <c r="E3564" s="459">
        <v>1000</v>
      </c>
      <c r="F3564" s="407">
        <f t="shared" si="50"/>
        <v>1.8401363172983856</v>
      </c>
      <c r="G3564" s="408">
        <v>543.43799999999999</v>
      </c>
      <c r="H3564" s="331" t="s">
        <v>182</v>
      </c>
      <c r="I3564" s="331" t="s">
        <v>3447</v>
      </c>
      <c r="J3564" s="243" t="s">
        <v>96</v>
      </c>
      <c r="K3564" s="243" t="s">
        <v>1906</v>
      </c>
      <c r="L3564" s="243" t="s">
        <v>153</v>
      </c>
    </row>
    <row r="3565" spans="1:12" ht="15.6" hidden="1">
      <c r="A3565" s="438">
        <v>45956</v>
      </c>
      <c r="B3565" s="331" t="s">
        <v>4912</v>
      </c>
      <c r="C3565" s="331" t="s">
        <v>172</v>
      </c>
      <c r="D3565" s="331" t="s">
        <v>119</v>
      </c>
      <c r="E3565" s="459">
        <v>1000</v>
      </c>
      <c r="F3565" s="407">
        <f t="shared" si="50"/>
        <v>1.8401363172983856</v>
      </c>
      <c r="G3565" s="408">
        <v>543.43799999999999</v>
      </c>
      <c r="H3565" s="331" t="s">
        <v>182</v>
      </c>
      <c r="I3565" s="331" t="s">
        <v>3447</v>
      </c>
      <c r="J3565" s="243" t="s">
        <v>96</v>
      </c>
      <c r="K3565" s="243" t="s">
        <v>1906</v>
      </c>
      <c r="L3565" s="243" t="s">
        <v>153</v>
      </c>
    </row>
    <row r="3566" spans="1:12" ht="15.6" hidden="1">
      <c r="A3566" s="438">
        <v>45956</v>
      </c>
      <c r="B3566" s="423" t="s">
        <v>4833</v>
      </c>
      <c r="C3566" s="423" t="s">
        <v>172</v>
      </c>
      <c r="D3566" s="423" t="s">
        <v>119</v>
      </c>
      <c r="E3566" s="471">
        <v>12000</v>
      </c>
      <c r="F3566" s="407">
        <f t="shared" si="50"/>
        <v>22.081635807580625</v>
      </c>
      <c r="G3566" s="408">
        <v>543.43799999999999</v>
      </c>
      <c r="H3566" s="423" t="s">
        <v>173</v>
      </c>
      <c r="I3566" s="423" t="s">
        <v>3502</v>
      </c>
      <c r="J3566" s="243" t="s">
        <v>96</v>
      </c>
      <c r="K3566" s="243" t="s">
        <v>1906</v>
      </c>
      <c r="L3566" s="243" t="s">
        <v>153</v>
      </c>
    </row>
    <row r="3567" spans="1:12" ht="15.6" hidden="1">
      <c r="A3567" s="438">
        <v>45956</v>
      </c>
      <c r="B3567" s="243" t="s">
        <v>4754</v>
      </c>
      <c r="C3567" s="423" t="s">
        <v>2394</v>
      </c>
      <c r="D3567" s="423" t="s">
        <v>119</v>
      </c>
      <c r="E3567" s="471">
        <v>60000</v>
      </c>
      <c r="F3567" s="407">
        <f t="shared" si="50"/>
        <v>110.40817903790312</v>
      </c>
      <c r="G3567" s="408">
        <v>543.43799999999999</v>
      </c>
      <c r="H3567" s="423" t="s">
        <v>173</v>
      </c>
      <c r="I3567" s="423" t="s">
        <v>3503</v>
      </c>
      <c r="J3567" s="243" t="s">
        <v>96</v>
      </c>
      <c r="K3567" s="243" t="s">
        <v>1906</v>
      </c>
      <c r="L3567" s="243" t="s">
        <v>153</v>
      </c>
    </row>
    <row r="3568" spans="1:12" ht="15.6" hidden="1">
      <c r="A3568" s="438">
        <v>45956</v>
      </c>
      <c r="B3568" s="423" t="s">
        <v>4917</v>
      </c>
      <c r="C3568" s="423" t="s">
        <v>172</v>
      </c>
      <c r="D3568" s="423" t="s">
        <v>119</v>
      </c>
      <c r="E3568" s="471">
        <v>1000</v>
      </c>
      <c r="F3568" s="407">
        <f t="shared" si="50"/>
        <v>1.8401363172983856</v>
      </c>
      <c r="G3568" s="408">
        <v>543.43799999999999</v>
      </c>
      <c r="H3568" s="423" t="s">
        <v>173</v>
      </c>
      <c r="I3568" s="423" t="s">
        <v>3484</v>
      </c>
      <c r="J3568" s="243" t="s">
        <v>96</v>
      </c>
      <c r="K3568" s="243" t="s">
        <v>1906</v>
      </c>
      <c r="L3568" s="243" t="s">
        <v>153</v>
      </c>
    </row>
    <row r="3569" spans="1:12" ht="15.6" hidden="1">
      <c r="A3569" s="438">
        <v>45956</v>
      </c>
      <c r="B3569" s="423" t="s">
        <v>4876</v>
      </c>
      <c r="C3569" s="423" t="s">
        <v>172</v>
      </c>
      <c r="D3569" s="423" t="s">
        <v>119</v>
      </c>
      <c r="E3569" s="471">
        <v>1000</v>
      </c>
      <c r="F3569" s="407">
        <f t="shared" si="50"/>
        <v>1.8401363172983856</v>
      </c>
      <c r="G3569" s="408">
        <v>543.43799999999999</v>
      </c>
      <c r="H3569" s="423" t="s">
        <v>173</v>
      </c>
      <c r="I3569" s="423" t="s">
        <v>3484</v>
      </c>
      <c r="J3569" s="243" t="s">
        <v>96</v>
      </c>
      <c r="K3569" s="243" t="s">
        <v>1906</v>
      </c>
      <c r="L3569" s="243" t="s">
        <v>153</v>
      </c>
    </row>
    <row r="3570" spans="1:12" ht="15.6" hidden="1">
      <c r="A3570" s="438">
        <v>45956</v>
      </c>
      <c r="B3570" s="243" t="s">
        <v>4940</v>
      </c>
      <c r="C3570" s="243" t="s">
        <v>172</v>
      </c>
      <c r="D3570" s="243" t="s">
        <v>119</v>
      </c>
      <c r="E3570" s="460">
        <v>700</v>
      </c>
      <c r="F3570" s="407">
        <f t="shared" si="50"/>
        <v>1.2880954221088698</v>
      </c>
      <c r="G3570" s="408">
        <v>543.43799999999999</v>
      </c>
      <c r="H3570" s="243" t="s">
        <v>315</v>
      </c>
      <c r="I3570" s="243" t="s">
        <v>3510</v>
      </c>
      <c r="J3570" s="243" t="s">
        <v>96</v>
      </c>
      <c r="K3570" s="243" t="s">
        <v>1906</v>
      </c>
      <c r="L3570" s="243" t="s">
        <v>153</v>
      </c>
    </row>
    <row r="3571" spans="1:12" ht="15.6" hidden="1">
      <c r="A3571" s="438">
        <v>45956</v>
      </c>
      <c r="B3571" s="243" t="s">
        <v>4876</v>
      </c>
      <c r="C3571" s="243" t="s">
        <v>172</v>
      </c>
      <c r="D3571" s="243" t="s">
        <v>119</v>
      </c>
      <c r="E3571" s="460">
        <v>1000</v>
      </c>
      <c r="F3571" s="407">
        <f t="shared" si="50"/>
        <v>1.8401363172983856</v>
      </c>
      <c r="G3571" s="408">
        <v>543.43799999999999</v>
      </c>
      <c r="H3571" s="243" t="s">
        <v>315</v>
      </c>
      <c r="I3571" s="243" t="s">
        <v>3510</v>
      </c>
      <c r="J3571" s="243" t="s">
        <v>96</v>
      </c>
      <c r="K3571" s="243" t="s">
        <v>1906</v>
      </c>
      <c r="L3571" s="243" t="s">
        <v>153</v>
      </c>
    </row>
    <row r="3572" spans="1:12" ht="15.6" hidden="1">
      <c r="A3572" s="438">
        <v>45956</v>
      </c>
      <c r="B3572" s="423" t="s">
        <v>3979</v>
      </c>
      <c r="C3572" s="423" t="s">
        <v>172</v>
      </c>
      <c r="D3572" s="423" t="s">
        <v>115</v>
      </c>
      <c r="E3572" s="471">
        <v>3500</v>
      </c>
      <c r="F3572" s="407">
        <f t="shared" si="50"/>
        <v>6.4404771105443492</v>
      </c>
      <c r="G3572" s="408">
        <v>543.43799999999999</v>
      </c>
      <c r="H3572" s="423" t="s">
        <v>185</v>
      </c>
      <c r="I3572" s="423" t="s">
        <v>4008</v>
      </c>
      <c r="J3572" s="243" t="s">
        <v>96</v>
      </c>
      <c r="K3572" s="243" t="s">
        <v>1906</v>
      </c>
      <c r="L3572" s="243" t="s">
        <v>153</v>
      </c>
    </row>
    <row r="3573" spans="1:12" ht="15.6" hidden="1">
      <c r="A3573" s="438">
        <v>45956</v>
      </c>
      <c r="B3573" s="423" t="s">
        <v>3980</v>
      </c>
      <c r="C3573" s="423" t="s">
        <v>172</v>
      </c>
      <c r="D3573" s="423" t="s">
        <v>115</v>
      </c>
      <c r="E3573" s="471">
        <v>1000</v>
      </c>
      <c r="F3573" s="407">
        <f t="shared" si="50"/>
        <v>1.8401363172983856</v>
      </c>
      <c r="G3573" s="408">
        <v>543.43799999999999</v>
      </c>
      <c r="H3573" s="423" t="s">
        <v>185</v>
      </c>
      <c r="I3573" s="423" t="s">
        <v>4008</v>
      </c>
      <c r="J3573" s="243" t="s">
        <v>96</v>
      </c>
      <c r="K3573" s="243" t="s">
        <v>1906</v>
      </c>
      <c r="L3573" s="243" t="s">
        <v>153</v>
      </c>
    </row>
    <row r="3574" spans="1:12" ht="15.6" hidden="1">
      <c r="A3574" s="438">
        <v>45956</v>
      </c>
      <c r="B3574" s="423" t="s">
        <v>3981</v>
      </c>
      <c r="C3574" s="423" t="s">
        <v>175</v>
      </c>
      <c r="D3574" s="423" t="s">
        <v>115</v>
      </c>
      <c r="E3574" s="471">
        <v>100000</v>
      </c>
      <c r="F3574" s="407">
        <f t="shared" si="50"/>
        <v>184.01363172983855</v>
      </c>
      <c r="G3574" s="408">
        <v>543.43799999999999</v>
      </c>
      <c r="H3574" s="423" t="s">
        <v>185</v>
      </c>
      <c r="I3574" s="423" t="s">
        <v>4027</v>
      </c>
      <c r="J3574" s="243" t="s">
        <v>96</v>
      </c>
      <c r="K3574" s="243" t="s">
        <v>1906</v>
      </c>
      <c r="L3574" s="243" t="s">
        <v>153</v>
      </c>
    </row>
    <row r="3575" spans="1:12" ht="15.6" hidden="1">
      <c r="A3575" s="438">
        <v>45957</v>
      </c>
      <c r="B3575" s="239" t="s">
        <v>3246</v>
      </c>
      <c r="C3575" s="453" t="s">
        <v>2394</v>
      </c>
      <c r="D3575" s="453" t="s">
        <v>117</v>
      </c>
      <c r="E3575" s="458">
        <v>14600</v>
      </c>
      <c r="F3575" s="407">
        <f t="shared" si="50"/>
        <v>26.865990232556427</v>
      </c>
      <c r="G3575" s="408">
        <v>543.43799999999999</v>
      </c>
      <c r="H3575" s="454" t="s">
        <v>151</v>
      </c>
      <c r="I3575" s="239" t="s">
        <v>3274</v>
      </c>
      <c r="J3575" s="243" t="s">
        <v>96</v>
      </c>
      <c r="K3575" s="243" t="s">
        <v>1906</v>
      </c>
      <c r="L3575" s="243" t="s">
        <v>153</v>
      </c>
    </row>
    <row r="3576" spans="1:12" ht="15.6" hidden="1">
      <c r="A3576" s="438">
        <v>45957</v>
      </c>
      <c r="B3576" s="239" t="s">
        <v>3247</v>
      </c>
      <c r="C3576" s="239" t="s">
        <v>172</v>
      </c>
      <c r="D3576" s="453" t="s">
        <v>2417</v>
      </c>
      <c r="E3576" s="458">
        <v>10000</v>
      </c>
      <c r="F3576" s="407">
        <f t="shared" si="50"/>
        <v>18.401363172983856</v>
      </c>
      <c r="G3576" s="408">
        <v>543.43799999999999</v>
      </c>
      <c r="H3576" s="454" t="s">
        <v>151</v>
      </c>
      <c r="I3576" s="239" t="s">
        <v>3275</v>
      </c>
      <c r="J3576" s="243" t="s">
        <v>96</v>
      </c>
      <c r="K3576" s="243" t="s">
        <v>1906</v>
      </c>
      <c r="L3576" s="243" t="s">
        <v>153</v>
      </c>
    </row>
    <row r="3577" spans="1:12" ht="15.6" hidden="1">
      <c r="A3577" s="438">
        <v>45957</v>
      </c>
      <c r="B3577" s="239" t="s">
        <v>3248</v>
      </c>
      <c r="C3577" s="453" t="s">
        <v>150</v>
      </c>
      <c r="D3577" s="453" t="s">
        <v>117</v>
      </c>
      <c r="E3577" s="458">
        <v>12500</v>
      </c>
      <c r="F3577" s="407">
        <f t="shared" si="50"/>
        <v>23.001703966229819</v>
      </c>
      <c r="G3577" s="408">
        <v>543.43799999999999</v>
      </c>
      <c r="H3577" s="454" t="s">
        <v>151</v>
      </c>
      <c r="I3577" s="239" t="s">
        <v>3276</v>
      </c>
      <c r="J3577" s="243" t="s">
        <v>96</v>
      </c>
      <c r="K3577" s="243" t="s">
        <v>1906</v>
      </c>
      <c r="L3577" s="243" t="s">
        <v>153</v>
      </c>
    </row>
    <row r="3578" spans="1:12" ht="15.6" hidden="1">
      <c r="A3578" s="438">
        <v>45957</v>
      </c>
      <c r="B3578" s="329" t="s">
        <v>3296</v>
      </c>
      <c r="C3578" s="329" t="s">
        <v>2394</v>
      </c>
      <c r="D3578" s="329" t="s">
        <v>115</v>
      </c>
      <c r="E3578" s="451">
        <v>45000</v>
      </c>
      <c r="F3578" s="407">
        <f t="shared" si="50"/>
        <v>82.806134278427351</v>
      </c>
      <c r="G3578" s="408">
        <v>543.43799999999999</v>
      </c>
      <c r="H3578" s="329" t="s">
        <v>198</v>
      </c>
      <c r="I3578" s="329" t="s">
        <v>3365</v>
      </c>
      <c r="J3578" s="243" t="s">
        <v>96</v>
      </c>
      <c r="K3578" s="243" t="s">
        <v>1906</v>
      </c>
      <c r="L3578" s="243" t="s">
        <v>153</v>
      </c>
    </row>
    <row r="3579" spans="1:12" ht="15.6" hidden="1">
      <c r="A3579" s="438">
        <v>45957</v>
      </c>
      <c r="B3579" s="329" t="s">
        <v>3339</v>
      </c>
      <c r="C3579" s="329" t="s">
        <v>172</v>
      </c>
      <c r="D3579" s="329" t="s">
        <v>115</v>
      </c>
      <c r="E3579" s="451">
        <v>500</v>
      </c>
      <c r="F3579" s="407">
        <f t="shared" si="50"/>
        <v>0.92006815864919278</v>
      </c>
      <c r="G3579" s="408">
        <v>543.43799999999999</v>
      </c>
      <c r="H3579" s="329" t="s">
        <v>198</v>
      </c>
      <c r="I3579" s="329" t="s">
        <v>3349</v>
      </c>
      <c r="J3579" s="243" t="s">
        <v>96</v>
      </c>
      <c r="K3579" s="243" t="s">
        <v>1906</v>
      </c>
      <c r="L3579" s="243" t="s">
        <v>153</v>
      </c>
    </row>
    <row r="3580" spans="1:12" ht="15.6" hidden="1">
      <c r="A3580" s="438">
        <v>45957</v>
      </c>
      <c r="B3580" s="329" t="s">
        <v>3340</v>
      </c>
      <c r="C3580" s="329" t="s">
        <v>172</v>
      </c>
      <c r="D3580" s="329" t="s">
        <v>115</v>
      </c>
      <c r="E3580" s="451">
        <v>1000</v>
      </c>
      <c r="F3580" s="407">
        <f t="shared" si="50"/>
        <v>1.8401363172983856</v>
      </c>
      <c r="G3580" s="408">
        <v>543.43799999999999</v>
      </c>
      <c r="H3580" s="329" t="s">
        <v>198</v>
      </c>
      <c r="I3580" s="329" t="s">
        <v>3349</v>
      </c>
      <c r="J3580" s="243" t="s">
        <v>96</v>
      </c>
      <c r="K3580" s="243" t="s">
        <v>1906</v>
      </c>
      <c r="L3580" s="243" t="s">
        <v>153</v>
      </c>
    </row>
    <row r="3581" spans="1:12" ht="15.6" hidden="1">
      <c r="A3581" s="438">
        <v>45957</v>
      </c>
      <c r="B3581" s="329" t="s">
        <v>3341</v>
      </c>
      <c r="C3581" s="329" t="s">
        <v>172</v>
      </c>
      <c r="D3581" s="329" t="s">
        <v>115</v>
      </c>
      <c r="E3581" s="451">
        <v>500</v>
      </c>
      <c r="F3581" s="407">
        <f t="shared" si="50"/>
        <v>0.92006815864919278</v>
      </c>
      <c r="G3581" s="408">
        <v>543.43799999999999</v>
      </c>
      <c r="H3581" s="329" t="s">
        <v>198</v>
      </c>
      <c r="I3581" s="329" t="s">
        <v>3349</v>
      </c>
      <c r="J3581" s="243" t="s">
        <v>96</v>
      </c>
      <c r="K3581" s="243" t="s">
        <v>1906</v>
      </c>
      <c r="L3581" s="243" t="s">
        <v>153</v>
      </c>
    </row>
    <row r="3582" spans="1:12" ht="15.6" hidden="1">
      <c r="A3582" s="438">
        <v>45957</v>
      </c>
      <c r="B3582" s="439" t="s">
        <v>3297</v>
      </c>
      <c r="C3582" s="439" t="s">
        <v>150</v>
      </c>
      <c r="D3582" s="439" t="s">
        <v>115</v>
      </c>
      <c r="E3582" s="451">
        <v>10000</v>
      </c>
      <c r="F3582" s="407">
        <f t="shared" ref="F3582:F3613" si="51">E3582/G3582</f>
        <v>18.401363172983856</v>
      </c>
      <c r="G3582" s="408">
        <v>543.43799999999999</v>
      </c>
      <c r="H3582" s="329" t="s">
        <v>198</v>
      </c>
      <c r="I3582" s="329" t="s">
        <v>3366</v>
      </c>
      <c r="J3582" s="243" t="s">
        <v>96</v>
      </c>
      <c r="K3582" s="243" t="s">
        <v>1906</v>
      </c>
      <c r="L3582" s="243" t="s">
        <v>153</v>
      </c>
    </row>
    <row r="3583" spans="1:12" ht="15.6" hidden="1">
      <c r="A3583" s="438">
        <v>45957</v>
      </c>
      <c r="B3583" s="243" t="s">
        <v>3403</v>
      </c>
      <c r="C3583" s="423" t="s">
        <v>172</v>
      </c>
      <c r="D3583" s="423" t="s">
        <v>116</v>
      </c>
      <c r="E3583" s="464">
        <v>500</v>
      </c>
      <c r="F3583" s="407">
        <f t="shared" si="51"/>
        <v>0.92006815864919278</v>
      </c>
      <c r="G3583" s="408">
        <v>543.43799999999999</v>
      </c>
      <c r="H3583" s="423" t="s">
        <v>581</v>
      </c>
      <c r="I3583" s="423" t="s">
        <v>3419</v>
      </c>
      <c r="J3583" s="243" t="s">
        <v>96</v>
      </c>
      <c r="K3583" s="243" t="s">
        <v>1906</v>
      </c>
      <c r="L3583" s="243" t="s">
        <v>153</v>
      </c>
    </row>
    <row r="3584" spans="1:12" ht="15.6" hidden="1">
      <c r="A3584" s="438">
        <v>45957</v>
      </c>
      <c r="B3584" s="243" t="s">
        <v>3404</v>
      </c>
      <c r="C3584" s="423" t="s">
        <v>172</v>
      </c>
      <c r="D3584" s="423" t="s">
        <v>116</v>
      </c>
      <c r="E3584" s="464">
        <v>1000</v>
      </c>
      <c r="F3584" s="407">
        <f t="shared" si="51"/>
        <v>1.8401363172983856</v>
      </c>
      <c r="G3584" s="408">
        <v>543.43799999999999</v>
      </c>
      <c r="H3584" s="423" t="s">
        <v>581</v>
      </c>
      <c r="I3584" s="423" t="s">
        <v>3419</v>
      </c>
      <c r="J3584" s="243" t="s">
        <v>96</v>
      </c>
      <c r="K3584" s="243" t="s">
        <v>1906</v>
      </c>
      <c r="L3584" s="243" t="s">
        <v>153</v>
      </c>
    </row>
    <row r="3585" spans="1:12" ht="15.6" hidden="1">
      <c r="A3585" s="438">
        <v>45957</v>
      </c>
      <c r="B3585" s="243" t="s">
        <v>3405</v>
      </c>
      <c r="C3585" s="423" t="s">
        <v>172</v>
      </c>
      <c r="D3585" s="423" t="s">
        <v>116</v>
      </c>
      <c r="E3585" s="464">
        <v>500</v>
      </c>
      <c r="F3585" s="407">
        <f t="shared" si="51"/>
        <v>0.92006815864919278</v>
      </c>
      <c r="G3585" s="408">
        <v>543.43799999999999</v>
      </c>
      <c r="H3585" s="423" t="s">
        <v>581</v>
      </c>
      <c r="I3585" s="423" t="s">
        <v>3419</v>
      </c>
      <c r="J3585" s="243" t="s">
        <v>96</v>
      </c>
      <c r="K3585" s="243" t="s">
        <v>1906</v>
      </c>
      <c r="L3585" s="243" t="s">
        <v>153</v>
      </c>
    </row>
    <row r="3586" spans="1:12" ht="15.6" hidden="1">
      <c r="A3586" s="438">
        <v>45957</v>
      </c>
      <c r="B3586" s="243" t="s">
        <v>3406</v>
      </c>
      <c r="C3586" s="423" t="s">
        <v>172</v>
      </c>
      <c r="D3586" s="423" t="s">
        <v>116</v>
      </c>
      <c r="E3586" s="464">
        <v>1000</v>
      </c>
      <c r="F3586" s="407">
        <f t="shared" si="51"/>
        <v>1.8401363172983856</v>
      </c>
      <c r="G3586" s="408">
        <v>543.43799999999999</v>
      </c>
      <c r="H3586" s="423" t="s">
        <v>581</v>
      </c>
      <c r="I3586" s="423" t="s">
        <v>3419</v>
      </c>
      <c r="J3586" s="243" t="s">
        <v>96</v>
      </c>
      <c r="K3586" s="243" t="s">
        <v>1906</v>
      </c>
      <c r="L3586" s="243" t="s">
        <v>153</v>
      </c>
    </row>
    <row r="3587" spans="1:12" ht="15.6" hidden="1">
      <c r="A3587" s="438">
        <v>45957</v>
      </c>
      <c r="B3587" s="243" t="s">
        <v>3407</v>
      </c>
      <c r="C3587" s="422" t="s">
        <v>150</v>
      </c>
      <c r="D3587" s="243" t="s">
        <v>117</v>
      </c>
      <c r="E3587" s="464">
        <v>7500</v>
      </c>
      <c r="F3587" s="407">
        <f t="shared" si="51"/>
        <v>13.801022379737891</v>
      </c>
      <c r="G3587" s="408">
        <v>543.43799999999999</v>
      </c>
      <c r="H3587" s="423" t="s">
        <v>581</v>
      </c>
      <c r="I3587" s="423" t="s">
        <v>3431</v>
      </c>
      <c r="J3587" s="243" t="s">
        <v>96</v>
      </c>
      <c r="K3587" s="243" t="s">
        <v>1906</v>
      </c>
      <c r="L3587" s="243" t="s">
        <v>153</v>
      </c>
    </row>
    <row r="3588" spans="1:12" ht="15.6" hidden="1">
      <c r="A3588" s="438">
        <v>45957</v>
      </c>
      <c r="B3588" s="423" t="s">
        <v>3408</v>
      </c>
      <c r="C3588" s="423" t="s">
        <v>180</v>
      </c>
      <c r="D3588" s="423" t="s">
        <v>116</v>
      </c>
      <c r="E3588" s="465">
        <v>26770</v>
      </c>
      <c r="F3588" s="407">
        <f t="shared" si="51"/>
        <v>49.260449214077781</v>
      </c>
      <c r="G3588" s="408">
        <v>543.43799999999999</v>
      </c>
      <c r="H3588" s="423" t="s">
        <v>581</v>
      </c>
      <c r="I3588" s="456" t="s">
        <v>3432</v>
      </c>
      <c r="J3588" s="243" t="s">
        <v>96</v>
      </c>
      <c r="K3588" s="243" t="s">
        <v>1906</v>
      </c>
      <c r="L3588" s="243" t="s">
        <v>153</v>
      </c>
    </row>
    <row r="3589" spans="1:12" ht="15.6" hidden="1">
      <c r="A3589" s="438">
        <v>45957</v>
      </c>
      <c r="B3589" s="423" t="s">
        <v>3409</v>
      </c>
      <c r="C3589" s="423" t="s">
        <v>302</v>
      </c>
      <c r="D3589" s="423" t="s">
        <v>116</v>
      </c>
      <c r="E3589" s="464">
        <v>80000</v>
      </c>
      <c r="F3589" s="407">
        <f t="shared" si="51"/>
        <v>147.21090538387085</v>
      </c>
      <c r="G3589" s="408">
        <v>543.43799999999999</v>
      </c>
      <c r="H3589" s="423" t="s">
        <v>581</v>
      </c>
      <c r="I3589" s="456" t="s">
        <v>3433</v>
      </c>
      <c r="J3589" s="243" t="s">
        <v>96</v>
      </c>
      <c r="K3589" s="243" t="s">
        <v>1906</v>
      </c>
      <c r="L3589" s="243" t="s">
        <v>153</v>
      </c>
    </row>
    <row r="3590" spans="1:12" ht="15.6" hidden="1">
      <c r="A3590" s="438">
        <v>45957</v>
      </c>
      <c r="B3590" s="331" t="s">
        <v>4759</v>
      </c>
      <c r="C3590" s="331" t="s">
        <v>175</v>
      </c>
      <c r="D3590" s="331" t="s">
        <v>119</v>
      </c>
      <c r="E3590" s="459">
        <v>90000</v>
      </c>
      <c r="F3590" s="407">
        <f t="shared" si="51"/>
        <v>165.6122685568547</v>
      </c>
      <c r="G3590" s="408">
        <v>543.43799999999999</v>
      </c>
      <c r="H3590" s="331" t="s">
        <v>182</v>
      </c>
      <c r="I3590" s="331" t="s">
        <v>3465</v>
      </c>
      <c r="J3590" s="243" t="s">
        <v>96</v>
      </c>
      <c r="K3590" s="243" t="s">
        <v>1906</v>
      </c>
      <c r="L3590" s="243" t="s">
        <v>153</v>
      </c>
    </row>
    <row r="3591" spans="1:12" ht="15.6" hidden="1">
      <c r="A3591" s="438">
        <v>45957</v>
      </c>
      <c r="B3591" s="331" t="s">
        <v>3442</v>
      </c>
      <c r="C3591" s="331" t="s">
        <v>150</v>
      </c>
      <c r="D3591" s="331" t="s">
        <v>2472</v>
      </c>
      <c r="E3591" s="459">
        <v>10000</v>
      </c>
      <c r="F3591" s="407">
        <f t="shared" si="51"/>
        <v>18.401363172983856</v>
      </c>
      <c r="G3591" s="408">
        <v>543.43799999999999</v>
      </c>
      <c r="H3591" s="331" t="s">
        <v>182</v>
      </c>
      <c r="I3591" s="331" t="s">
        <v>3466</v>
      </c>
      <c r="J3591" s="243" t="s">
        <v>96</v>
      </c>
      <c r="K3591" s="243" t="s">
        <v>1906</v>
      </c>
      <c r="L3591" s="243" t="s">
        <v>153</v>
      </c>
    </row>
    <row r="3592" spans="1:12" ht="15.6" hidden="1">
      <c r="A3592" s="438">
        <v>45957</v>
      </c>
      <c r="B3592" s="331" t="s">
        <v>4917</v>
      </c>
      <c r="C3592" s="331" t="s">
        <v>172</v>
      </c>
      <c r="D3592" s="331" t="s">
        <v>119</v>
      </c>
      <c r="E3592" s="459">
        <v>1000</v>
      </c>
      <c r="F3592" s="407">
        <f t="shared" si="51"/>
        <v>1.8401363172983856</v>
      </c>
      <c r="G3592" s="408">
        <v>543.43799999999999</v>
      </c>
      <c r="H3592" s="331" t="s">
        <v>182</v>
      </c>
      <c r="I3592" s="331" t="s">
        <v>3447</v>
      </c>
      <c r="J3592" s="243" t="s">
        <v>96</v>
      </c>
      <c r="K3592" s="243" t="s">
        <v>1906</v>
      </c>
      <c r="L3592" s="243" t="s">
        <v>153</v>
      </c>
    </row>
    <row r="3593" spans="1:12" ht="15.6" hidden="1">
      <c r="A3593" s="438">
        <v>45957</v>
      </c>
      <c r="B3593" s="331" t="s">
        <v>4880</v>
      </c>
      <c r="C3593" s="331" t="s">
        <v>172</v>
      </c>
      <c r="D3593" s="331" t="s">
        <v>119</v>
      </c>
      <c r="E3593" s="459">
        <v>1000</v>
      </c>
      <c r="F3593" s="407">
        <f t="shared" si="51"/>
        <v>1.8401363172983856</v>
      </c>
      <c r="G3593" s="408">
        <v>543.43799999999999</v>
      </c>
      <c r="H3593" s="331" t="s">
        <v>182</v>
      </c>
      <c r="I3593" s="331" t="s">
        <v>3447</v>
      </c>
      <c r="J3593" s="243" t="s">
        <v>96</v>
      </c>
      <c r="K3593" s="243" t="s">
        <v>1906</v>
      </c>
      <c r="L3593" s="243" t="s">
        <v>153</v>
      </c>
    </row>
    <row r="3594" spans="1:12" ht="15.6" hidden="1">
      <c r="A3594" s="438">
        <v>45957</v>
      </c>
      <c r="B3594" s="331" t="s">
        <v>4917</v>
      </c>
      <c r="C3594" s="331" t="s">
        <v>172</v>
      </c>
      <c r="D3594" s="331" t="s">
        <v>119</v>
      </c>
      <c r="E3594" s="459">
        <v>1000</v>
      </c>
      <c r="F3594" s="407">
        <f t="shared" si="51"/>
        <v>1.8401363172983856</v>
      </c>
      <c r="G3594" s="408">
        <v>543.43799999999999</v>
      </c>
      <c r="H3594" s="331" t="s">
        <v>182</v>
      </c>
      <c r="I3594" s="331" t="s">
        <v>3447</v>
      </c>
      <c r="J3594" s="243" t="s">
        <v>96</v>
      </c>
      <c r="K3594" s="243" t="s">
        <v>1906</v>
      </c>
      <c r="L3594" s="243" t="s">
        <v>153</v>
      </c>
    </row>
    <row r="3595" spans="1:12" ht="15.6" hidden="1">
      <c r="A3595" s="438">
        <v>45957</v>
      </c>
      <c r="B3595" s="331" t="s">
        <v>4917</v>
      </c>
      <c r="C3595" s="331" t="s">
        <v>172</v>
      </c>
      <c r="D3595" s="331" t="s">
        <v>119</v>
      </c>
      <c r="E3595" s="459">
        <v>1000</v>
      </c>
      <c r="F3595" s="407">
        <f t="shared" si="51"/>
        <v>1.8401363172983856</v>
      </c>
      <c r="G3595" s="408">
        <v>543.43799999999999</v>
      </c>
      <c r="H3595" s="331" t="s">
        <v>182</v>
      </c>
      <c r="I3595" s="331" t="s">
        <v>3447</v>
      </c>
      <c r="J3595" s="243" t="s">
        <v>96</v>
      </c>
      <c r="K3595" s="243" t="s">
        <v>1906</v>
      </c>
      <c r="L3595" s="243" t="s">
        <v>153</v>
      </c>
    </row>
    <row r="3596" spans="1:12" ht="15.6" hidden="1">
      <c r="A3596" s="438">
        <v>45957</v>
      </c>
      <c r="B3596" s="331" t="s">
        <v>4944</v>
      </c>
      <c r="C3596" s="331" t="s">
        <v>172</v>
      </c>
      <c r="D3596" s="331" t="s">
        <v>119</v>
      </c>
      <c r="E3596" s="459">
        <v>500</v>
      </c>
      <c r="F3596" s="407">
        <f t="shared" si="51"/>
        <v>0.92006815864919278</v>
      </c>
      <c r="G3596" s="408">
        <v>543.43799999999999</v>
      </c>
      <c r="H3596" s="331" t="s">
        <v>182</v>
      </c>
      <c r="I3596" s="331" t="s">
        <v>3447</v>
      </c>
      <c r="J3596" s="243" t="s">
        <v>96</v>
      </c>
      <c r="K3596" s="243" t="s">
        <v>1906</v>
      </c>
      <c r="L3596" s="243" t="s">
        <v>153</v>
      </c>
    </row>
    <row r="3597" spans="1:12" ht="15.6" hidden="1">
      <c r="A3597" s="438">
        <v>45957</v>
      </c>
      <c r="B3597" s="331" t="s">
        <v>4938</v>
      </c>
      <c r="C3597" s="331" t="s">
        <v>172</v>
      </c>
      <c r="D3597" s="331" t="s">
        <v>119</v>
      </c>
      <c r="E3597" s="459">
        <v>700</v>
      </c>
      <c r="F3597" s="407">
        <f t="shared" si="51"/>
        <v>1.2880954221088698</v>
      </c>
      <c r="G3597" s="408">
        <v>543.43799999999999</v>
      </c>
      <c r="H3597" s="331" t="s">
        <v>182</v>
      </c>
      <c r="I3597" s="331" t="s">
        <v>3447</v>
      </c>
      <c r="J3597" s="243" t="s">
        <v>96</v>
      </c>
      <c r="K3597" s="243" t="s">
        <v>1906</v>
      </c>
      <c r="L3597" s="243" t="s">
        <v>153</v>
      </c>
    </row>
    <row r="3598" spans="1:12" ht="15.6" hidden="1">
      <c r="A3598" s="438">
        <v>45957</v>
      </c>
      <c r="B3598" s="331" t="s">
        <v>4917</v>
      </c>
      <c r="C3598" s="331" t="s">
        <v>172</v>
      </c>
      <c r="D3598" s="331" t="s">
        <v>119</v>
      </c>
      <c r="E3598" s="459">
        <v>1000</v>
      </c>
      <c r="F3598" s="407">
        <f t="shared" si="51"/>
        <v>1.8401363172983856</v>
      </c>
      <c r="G3598" s="408">
        <v>543.43799999999999</v>
      </c>
      <c r="H3598" s="331" t="s">
        <v>182</v>
      </c>
      <c r="I3598" s="331" t="s">
        <v>3447</v>
      </c>
      <c r="J3598" s="243" t="s">
        <v>96</v>
      </c>
      <c r="K3598" s="243" t="s">
        <v>1906</v>
      </c>
      <c r="L3598" s="243" t="s">
        <v>153</v>
      </c>
    </row>
    <row r="3599" spans="1:12" ht="15.6" hidden="1">
      <c r="A3599" s="438">
        <v>45957</v>
      </c>
      <c r="B3599" s="331" t="s">
        <v>4938</v>
      </c>
      <c r="C3599" s="331" t="s">
        <v>172</v>
      </c>
      <c r="D3599" s="331" t="s">
        <v>119</v>
      </c>
      <c r="E3599" s="459">
        <v>500</v>
      </c>
      <c r="F3599" s="407">
        <f t="shared" si="51"/>
        <v>0.92006815864919278</v>
      </c>
      <c r="G3599" s="408">
        <v>543.43799999999999</v>
      </c>
      <c r="H3599" s="331" t="s">
        <v>182</v>
      </c>
      <c r="I3599" s="331" t="s">
        <v>3447</v>
      </c>
      <c r="J3599" s="243" t="s">
        <v>96</v>
      </c>
      <c r="K3599" s="243" t="s">
        <v>1906</v>
      </c>
      <c r="L3599" s="243" t="s">
        <v>153</v>
      </c>
    </row>
    <row r="3600" spans="1:12" ht="15.6" hidden="1">
      <c r="A3600" s="438">
        <v>45957</v>
      </c>
      <c r="B3600" s="331" t="s">
        <v>4938</v>
      </c>
      <c r="C3600" s="331" t="s">
        <v>172</v>
      </c>
      <c r="D3600" s="331" t="s">
        <v>119</v>
      </c>
      <c r="E3600" s="459">
        <v>500</v>
      </c>
      <c r="F3600" s="407">
        <f t="shared" si="51"/>
        <v>0.92006815864919278</v>
      </c>
      <c r="G3600" s="408">
        <v>543.43799999999999</v>
      </c>
      <c r="H3600" s="331" t="s">
        <v>182</v>
      </c>
      <c r="I3600" s="331" t="s">
        <v>3447</v>
      </c>
      <c r="J3600" s="243" t="s">
        <v>96</v>
      </c>
      <c r="K3600" s="243" t="s">
        <v>1906</v>
      </c>
      <c r="L3600" s="243" t="s">
        <v>153</v>
      </c>
    </row>
    <row r="3601" spans="1:12" ht="15.6" hidden="1">
      <c r="A3601" s="438">
        <v>45957</v>
      </c>
      <c r="B3601" s="331" t="s">
        <v>4973</v>
      </c>
      <c r="C3601" s="331" t="s">
        <v>172</v>
      </c>
      <c r="D3601" s="331" t="s">
        <v>119</v>
      </c>
      <c r="E3601" s="459">
        <v>1000</v>
      </c>
      <c r="F3601" s="407">
        <f t="shared" si="51"/>
        <v>1.8401363172983856</v>
      </c>
      <c r="G3601" s="408">
        <v>543.43799999999999</v>
      </c>
      <c r="H3601" s="331" t="s">
        <v>182</v>
      </c>
      <c r="I3601" s="331" t="s">
        <v>3447</v>
      </c>
      <c r="J3601" s="243" t="s">
        <v>96</v>
      </c>
      <c r="K3601" s="243" t="s">
        <v>1906</v>
      </c>
      <c r="L3601" s="243" t="s">
        <v>153</v>
      </c>
    </row>
    <row r="3602" spans="1:12" ht="15.6" hidden="1">
      <c r="A3602" s="438">
        <v>45957</v>
      </c>
      <c r="B3602" s="331" t="s">
        <v>4917</v>
      </c>
      <c r="C3602" s="331" t="s">
        <v>172</v>
      </c>
      <c r="D3602" s="331" t="s">
        <v>119</v>
      </c>
      <c r="E3602" s="459">
        <v>1000</v>
      </c>
      <c r="F3602" s="407">
        <f t="shared" si="51"/>
        <v>1.8401363172983856</v>
      </c>
      <c r="G3602" s="408">
        <v>543.43799999999999</v>
      </c>
      <c r="H3602" s="331" t="s">
        <v>182</v>
      </c>
      <c r="I3602" s="331" t="s">
        <v>3447</v>
      </c>
      <c r="J3602" s="243" t="s">
        <v>96</v>
      </c>
      <c r="K3602" s="243" t="s">
        <v>1906</v>
      </c>
      <c r="L3602" s="243" t="s">
        <v>153</v>
      </c>
    </row>
    <row r="3603" spans="1:12" ht="15.6" hidden="1">
      <c r="A3603" s="438">
        <v>45957</v>
      </c>
      <c r="B3603" s="331" t="s">
        <v>4917</v>
      </c>
      <c r="C3603" s="331" t="s">
        <v>172</v>
      </c>
      <c r="D3603" s="331" t="s">
        <v>119</v>
      </c>
      <c r="E3603" s="459">
        <v>1000</v>
      </c>
      <c r="F3603" s="407">
        <f t="shared" si="51"/>
        <v>1.8401363172983856</v>
      </c>
      <c r="G3603" s="408">
        <v>543.43799999999999</v>
      </c>
      <c r="H3603" s="331" t="s">
        <v>182</v>
      </c>
      <c r="I3603" s="331" t="s">
        <v>3447</v>
      </c>
      <c r="J3603" s="243" t="s">
        <v>96</v>
      </c>
      <c r="K3603" s="243" t="s">
        <v>1906</v>
      </c>
      <c r="L3603" s="243" t="s">
        <v>153</v>
      </c>
    </row>
    <row r="3604" spans="1:12" ht="15.6" hidden="1">
      <c r="A3604" s="438">
        <v>45957</v>
      </c>
      <c r="B3604" s="331" t="s">
        <v>4917</v>
      </c>
      <c r="C3604" s="331" t="s">
        <v>172</v>
      </c>
      <c r="D3604" s="331" t="s">
        <v>119</v>
      </c>
      <c r="E3604" s="459">
        <v>1000</v>
      </c>
      <c r="F3604" s="407">
        <f t="shared" si="51"/>
        <v>1.8401363172983856</v>
      </c>
      <c r="G3604" s="408">
        <v>543.43799999999999</v>
      </c>
      <c r="H3604" s="331" t="s">
        <v>182</v>
      </c>
      <c r="I3604" s="331" t="s">
        <v>3447</v>
      </c>
      <c r="J3604" s="243" t="s">
        <v>96</v>
      </c>
      <c r="K3604" s="243" t="s">
        <v>1906</v>
      </c>
      <c r="L3604" s="243" t="s">
        <v>153</v>
      </c>
    </row>
    <row r="3605" spans="1:12" ht="15.6" hidden="1">
      <c r="A3605" s="438">
        <v>45957</v>
      </c>
      <c r="B3605" s="331" t="s">
        <v>4938</v>
      </c>
      <c r="C3605" s="331" t="s">
        <v>172</v>
      </c>
      <c r="D3605" s="331" t="s">
        <v>119</v>
      </c>
      <c r="E3605" s="459">
        <v>500</v>
      </c>
      <c r="F3605" s="407">
        <f t="shared" si="51"/>
        <v>0.92006815864919278</v>
      </c>
      <c r="G3605" s="408">
        <v>543.43799999999999</v>
      </c>
      <c r="H3605" s="331" t="s">
        <v>182</v>
      </c>
      <c r="I3605" s="331" t="s">
        <v>3447</v>
      </c>
      <c r="J3605" s="243" t="s">
        <v>96</v>
      </c>
      <c r="K3605" s="243" t="s">
        <v>1906</v>
      </c>
      <c r="L3605" s="243" t="s">
        <v>153</v>
      </c>
    </row>
    <row r="3606" spans="1:12" ht="15.6" hidden="1">
      <c r="A3606" s="438">
        <v>45957</v>
      </c>
      <c r="B3606" s="331" t="s">
        <v>3443</v>
      </c>
      <c r="C3606" s="331" t="s">
        <v>3444</v>
      </c>
      <c r="D3606" s="331" t="s">
        <v>2417</v>
      </c>
      <c r="E3606" s="459">
        <v>25000</v>
      </c>
      <c r="F3606" s="407">
        <f t="shared" si="51"/>
        <v>46.003407932459638</v>
      </c>
      <c r="G3606" s="408">
        <v>543.43799999999999</v>
      </c>
      <c r="H3606" s="331" t="s">
        <v>182</v>
      </c>
      <c r="I3606" s="331" t="s">
        <v>3467</v>
      </c>
      <c r="J3606" s="243" t="s">
        <v>96</v>
      </c>
      <c r="K3606" s="243" t="s">
        <v>1906</v>
      </c>
      <c r="L3606" s="243" t="s">
        <v>153</v>
      </c>
    </row>
    <row r="3607" spans="1:12" ht="15.6" hidden="1">
      <c r="A3607" s="438">
        <v>45957</v>
      </c>
      <c r="B3607" s="331" t="s">
        <v>3445</v>
      </c>
      <c r="C3607" s="331" t="s">
        <v>366</v>
      </c>
      <c r="D3607" s="331" t="s">
        <v>119</v>
      </c>
      <c r="E3607" s="459">
        <v>19400</v>
      </c>
      <c r="F3607" s="407">
        <f t="shared" si="51"/>
        <v>35.698644555588679</v>
      </c>
      <c r="G3607" s="408">
        <v>543.43799999999999</v>
      </c>
      <c r="H3607" s="331" t="s">
        <v>182</v>
      </c>
      <c r="I3607" s="331" t="s">
        <v>3456</v>
      </c>
      <c r="J3607" s="243" t="s">
        <v>96</v>
      </c>
      <c r="K3607" s="243" t="s">
        <v>1906</v>
      </c>
      <c r="L3607" s="243" t="s">
        <v>153</v>
      </c>
    </row>
    <row r="3608" spans="1:12" ht="15.6" hidden="1">
      <c r="A3608" s="438">
        <v>45957</v>
      </c>
      <c r="B3608" s="331" t="s">
        <v>4917</v>
      </c>
      <c r="C3608" s="331" t="s">
        <v>172</v>
      </c>
      <c r="D3608" s="331" t="s">
        <v>119</v>
      </c>
      <c r="E3608" s="459">
        <v>1000</v>
      </c>
      <c r="F3608" s="407">
        <f t="shared" si="51"/>
        <v>1.8401363172983856</v>
      </c>
      <c r="G3608" s="408">
        <v>543.43799999999999</v>
      </c>
      <c r="H3608" s="331" t="s">
        <v>182</v>
      </c>
      <c r="I3608" s="331" t="s">
        <v>3447</v>
      </c>
      <c r="J3608" s="243" t="s">
        <v>96</v>
      </c>
      <c r="K3608" s="243" t="s">
        <v>1906</v>
      </c>
      <c r="L3608" s="243" t="s">
        <v>153</v>
      </c>
    </row>
    <row r="3609" spans="1:12" ht="15.6" hidden="1">
      <c r="A3609" s="438">
        <v>45957</v>
      </c>
      <c r="B3609" s="331" t="s">
        <v>4974</v>
      </c>
      <c r="C3609" s="331" t="s">
        <v>172</v>
      </c>
      <c r="D3609" s="331" t="s">
        <v>119</v>
      </c>
      <c r="E3609" s="459">
        <v>1000</v>
      </c>
      <c r="F3609" s="407">
        <f t="shared" si="51"/>
        <v>1.8401363172983856</v>
      </c>
      <c r="G3609" s="408">
        <v>543.43799999999999</v>
      </c>
      <c r="H3609" s="331" t="s">
        <v>182</v>
      </c>
      <c r="I3609" s="331" t="s">
        <v>3447</v>
      </c>
      <c r="J3609" s="243" t="s">
        <v>96</v>
      </c>
      <c r="K3609" s="243" t="s">
        <v>1906</v>
      </c>
      <c r="L3609" s="243" t="s">
        <v>153</v>
      </c>
    </row>
    <row r="3610" spans="1:12" ht="15.6" hidden="1">
      <c r="A3610" s="438">
        <v>45957</v>
      </c>
      <c r="B3610" s="331" t="s">
        <v>4917</v>
      </c>
      <c r="C3610" s="331" t="s">
        <v>172</v>
      </c>
      <c r="D3610" s="331" t="s">
        <v>119</v>
      </c>
      <c r="E3610" s="459">
        <v>1000</v>
      </c>
      <c r="F3610" s="407">
        <f t="shared" si="51"/>
        <v>1.8401363172983856</v>
      </c>
      <c r="G3610" s="408">
        <v>543.43799999999999</v>
      </c>
      <c r="H3610" s="331" t="s">
        <v>182</v>
      </c>
      <c r="I3610" s="331" t="s">
        <v>3447</v>
      </c>
      <c r="J3610" s="243" t="s">
        <v>96</v>
      </c>
      <c r="K3610" s="243" t="s">
        <v>1906</v>
      </c>
      <c r="L3610" s="243" t="s">
        <v>153</v>
      </c>
    </row>
    <row r="3611" spans="1:12" ht="15.6" hidden="1">
      <c r="A3611" s="438">
        <v>45957</v>
      </c>
      <c r="B3611" s="331" t="s">
        <v>4917</v>
      </c>
      <c r="C3611" s="331" t="s">
        <v>172</v>
      </c>
      <c r="D3611" s="331" t="s">
        <v>119</v>
      </c>
      <c r="E3611" s="459">
        <v>1500</v>
      </c>
      <c r="F3611" s="407">
        <f t="shared" si="51"/>
        <v>2.7602044759475781</v>
      </c>
      <c r="G3611" s="408">
        <v>543.43799999999999</v>
      </c>
      <c r="H3611" s="331" t="s">
        <v>182</v>
      </c>
      <c r="I3611" s="331" t="s">
        <v>3447</v>
      </c>
      <c r="J3611" s="243" t="s">
        <v>96</v>
      </c>
      <c r="K3611" s="243" t="s">
        <v>1906</v>
      </c>
      <c r="L3611" s="243" t="s">
        <v>153</v>
      </c>
    </row>
    <row r="3612" spans="1:12" ht="15.6" hidden="1">
      <c r="A3612" s="438">
        <v>45957</v>
      </c>
      <c r="B3612" s="331" t="s">
        <v>4938</v>
      </c>
      <c r="C3612" s="331" t="s">
        <v>172</v>
      </c>
      <c r="D3612" s="331" t="s">
        <v>119</v>
      </c>
      <c r="E3612" s="459">
        <v>500</v>
      </c>
      <c r="F3612" s="407">
        <f t="shared" si="51"/>
        <v>0.92006815864919278</v>
      </c>
      <c r="G3612" s="408">
        <v>543.43799999999999</v>
      </c>
      <c r="H3612" s="331" t="s">
        <v>182</v>
      </c>
      <c r="I3612" s="331" t="s">
        <v>3447</v>
      </c>
      <c r="J3612" s="243" t="s">
        <v>96</v>
      </c>
      <c r="K3612" s="243" t="s">
        <v>1906</v>
      </c>
      <c r="L3612" s="243" t="s">
        <v>153</v>
      </c>
    </row>
    <row r="3613" spans="1:12" ht="15.6" hidden="1">
      <c r="A3613" s="438">
        <v>45957</v>
      </c>
      <c r="B3613" s="331" t="s">
        <v>3479</v>
      </c>
      <c r="C3613" s="331" t="s">
        <v>150</v>
      </c>
      <c r="D3613" s="243" t="s">
        <v>119</v>
      </c>
      <c r="E3613" s="471">
        <v>10000</v>
      </c>
      <c r="F3613" s="407">
        <f t="shared" si="51"/>
        <v>18.401363172983856</v>
      </c>
      <c r="G3613" s="408">
        <v>543.43799999999999</v>
      </c>
      <c r="H3613" s="423" t="s">
        <v>173</v>
      </c>
      <c r="I3613" s="423" t="s">
        <v>3504</v>
      </c>
      <c r="J3613" s="243" t="s">
        <v>96</v>
      </c>
      <c r="K3613" s="243" t="s">
        <v>1906</v>
      </c>
      <c r="L3613" s="243" t="s">
        <v>153</v>
      </c>
    </row>
    <row r="3614" spans="1:12" ht="15.6" hidden="1">
      <c r="A3614" s="438">
        <v>45957</v>
      </c>
      <c r="B3614" s="423" t="s">
        <v>3480</v>
      </c>
      <c r="C3614" s="423" t="s">
        <v>170</v>
      </c>
      <c r="D3614" s="423" t="s">
        <v>2245</v>
      </c>
      <c r="E3614" s="471">
        <v>20000</v>
      </c>
      <c r="F3614" s="407">
        <f t="shared" ref="F3614:F3622" si="52">E3614/G3614</f>
        <v>36.802726345967713</v>
      </c>
      <c r="G3614" s="408">
        <v>543.43799999999999</v>
      </c>
      <c r="H3614" s="423" t="s">
        <v>173</v>
      </c>
      <c r="I3614" s="456" t="s">
        <v>3505</v>
      </c>
      <c r="J3614" s="243" t="s">
        <v>96</v>
      </c>
      <c r="K3614" s="243" t="s">
        <v>1906</v>
      </c>
      <c r="L3614" s="243" t="s">
        <v>153</v>
      </c>
    </row>
    <row r="3615" spans="1:12" ht="15.6" hidden="1">
      <c r="A3615" s="438">
        <v>45957</v>
      </c>
      <c r="B3615" s="243" t="s">
        <v>4940</v>
      </c>
      <c r="C3615" s="243" t="s">
        <v>172</v>
      </c>
      <c r="D3615" s="243" t="s">
        <v>119</v>
      </c>
      <c r="E3615" s="460">
        <v>700</v>
      </c>
      <c r="F3615" s="407">
        <f t="shared" si="52"/>
        <v>1.2880954221088698</v>
      </c>
      <c r="G3615" s="408">
        <v>543.43799999999999</v>
      </c>
      <c r="H3615" s="243" t="s">
        <v>315</v>
      </c>
      <c r="I3615" s="243" t="s">
        <v>3510</v>
      </c>
      <c r="J3615" s="243" t="s">
        <v>96</v>
      </c>
      <c r="K3615" s="243" t="s">
        <v>1906</v>
      </c>
      <c r="L3615" s="243" t="s">
        <v>153</v>
      </c>
    </row>
    <row r="3616" spans="1:12" ht="15.6" hidden="1">
      <c r="A3616" s="438">
        <v>45957</v>
      </c>
      <c r="B3616" s="243" t="s">
        <v>3508</v>
      </c>
      <c r="C3616" s="243" t="s">
        <v>150</v>
      </c>
      <c r="D3616" s="243" t="s">
        <v>119</v>
      </c>
      <c r="E3616" s="460">
        <v>10000</v>
      </c>
      <c r="F3616" s="407">
        <f t="shared" si="52"/>
        <v>18.401363172983856</v>
      </c>
      <c r="G3616" s="408">
        <v>543.43799999999999</v>
      </c>
      <c r="H3616" s="243" t="s">
        <v>315</v>
      </c>
      <c r="I3616" s="243" t="s">
        <v>3522</v>
      </c>
      <c r="J3616" s="243" t="s">
        <v>96</v>
      </c>
      <c r="K3616" s="243" t="s">
        <v>1906</v>
      </c>
      <c r="L3616" s="243" t="s">
        <v>153</v>
      </c>
    </row>
    <row r="3617" spans="1:12" ht="15.6" hidden="1">
      <c r="A3617" s="438">
        <v>45957</v>
      </c>
      <c r="B3617" s="243" t="s">
        <v>4940</v>
      </c>
      <c r="C3617" s="243" t="s">
        <v>172</v>
      </c>
      <c r="D3617" s="243" t="s">
        <v>119</v>
      </c>
      <c r="E3617" s="460">
        <v>700</v>
      </c>
      <c r="F3617" s="407">
        <f t="shared" si="52"/>
        <v>1.2880954221088698</v>
      </c>
      <c r="G3617" s="408">
        <v>543.43799999999999</v>
      </c>
      <c r="H3617" s="243" t="s">
        <v>315</v>
      </c>
      <c r="I3617" s="243" t="s">
        <v>3510</v>
      </c>
      <c r="J3617" s="243" t="s">
        <v>96</v>
      </c>
      <c r="K3617" s="243" t="s">
        <v>1906</v>
      </c>
      <c r="L3617" s="243" t="s">
        <v>153</v>
      </c>
    </row>
    <row r="3618" spans="1:12" ht="15.6" hidden="1">
      <c r="A3618" s="438">
        <v>45957</v>
      </c>
      <c r="B3618" s="243" t="s">
        <v>4876</v>
      </c>
      <c r="C3618" s="243" t="s">
        <v>172</v>
      </c>
      <c r="D3618" s="243" t="s">
        <v>119</v>
      </c>
      <c r="E3618" s="460">
        <v>700</v>
      </c>
      <c r="F3618" s="407">
        <f t="shared" si="52"/>
        <v>1.2880954221088698</v>
      </c>
      <c r="G3618" s="408">
        <v>543.43799999999999</v>
      </c>
      <c r="H3618" s="243" t="s">
        <v>315</v>
      </c>
      <c r="I3618" s="243" t="s">
        <v>3510</v>
      </c>
      <c r="J3618" s="243" t="s">
        <v>96</v>
      </c>
      <c r="K3618" s="243" t="s">
        <v>1906</v>
      </c>
      <c r="L3618" s="243" t="s">
        <v>153</v>
      </c>
    </row>
    <row r="3619" spans="1:12" ht="15.6" hidden="1">
      <c r="A3619" s="438">
        <v>45957</v>
      </c>
      <c r="B3619" s="243" t="s">
        <v>4876</v>
      </c>
      <c r="C3619" s="243" t="s">
        <v>172</v>
      </c>
      <c r="D3619" s="243" t="s">
        <v>119</v>
      </c>
      <c r="E3619" s="460">
        <v>1000</v>
      </c>
      <c r="F3619" s="407">
        <f t="shared" si="52"/>
        <v>1.8401363172983856</v>
      </c>
      <c r="G3619" s="408">
        <v>543.43799999999999</v>
      </c>
      <c r="H3619" s="243" t="s">
        <v>315</v>
      </c>
      <c r="I3619" s="243" t="s">
        <v>3510</v>
      </c>
      <c r="J3619" s="243" t="s">
        <v>96</v>
      </c>
      <c r="K3619" s="243" t="s">
        <v>1906</v>
      </c>
      <c r="L3619" s="243" t="s">
        <v>153</v>
      </c>
    </row>
    <row r="3620" spans="1:12" ht="15.6" hidden="1">
      <c r="A3620" s="438">
        <v>45957</v>
      </c>
      <c r="B3620" s="243" t="s">
        <v>4917</v>
      </c>
      <c r="C3620" s="243" t="s">
        <v>172</v>
      </c>
      <c r="D3620" s="243" t="s">
        <v>119</v>
      </c>
      <c r="E3620" s="460">
        <v>1000</v>
      </c>
      <c r="F3620" s="407">
        <f t="shared" si="52"/>
        <v>1.8401363172983856</v>
      </c>
      <c r="G3620" s="408">
        <v>543.43799999999999</v>
      </c>
      <c r="H3620" s="243" t="s">
        <v>315</v>
      </c>
      <c r="I3620" s="243" t="s">
        <v>3510</v>
      </c>
      <c r="J3620" s="243" t="s">
        <v>96</v>
      </c>
      <c r="K3620" s="243" t="s">
        <v>1906</v>
      </c>
      <c r="L3620" s="243" t="s">
        <v>153</v>
      </c>
    </row>
    <row r="3621" spans="1:12" ht="15.6" hidden="1">
      <c r="A3621" s="438">
        <v>45957</v>
      </c>
      <c r="B3621" s="243" t="s">
        <v>4876</v>
      </c>
      <c r="C3621" s="243" t="s">
        <v>172</v>
      </c>
      <c r="D3621" s="243" t="s">
        <v>119</v>
      </c>
      <c r="E3621" s="460">
        <v>1000</v>
      </c>
      <c r="F3621" s="407">
        <f t="shared" si="52"/>
        <v>1.8401363172983856</v>
      </c>
      <c r="G3621" s="408">
        <v>543.43799999999999</v>
      </c>
      <c r="H3621" s="243" t="s">
        <v>315</v>
      </c>
      <c r="I3621" s="243" t="s">
        <v>3510</v>
      </c>
      <c r="J3621" s="243" t="s">
        <v>96</v>
      </c>
      <c r="K3621" s="243" t="s">
        <v>1906</v>
      </c>
      <c r="L3621" s="243" t="s">
        <v>153</v>
      </c>
    </row>
    <row r="3622" spans="1:12" ht="15.6" hidden="1">
      <c r="A3622" s="438">
        <v>45957</v>
      </c>
      <c r="B3622" s="243" t="s">
        <v>4876</v>
      </c>
      <c r="C3622" s="243" t="s">
        <v>172</v>
      </c>
      <c r="D3622" s="243" t="s">
        <v>119</v>
      </c>
      <c r="E3622" s="460">
        <v>1000</v>
      </c>
      <c r="F3622" s="407">
        <f t="shared" si="52"/>
        <v>1.8401363172983856</v>
      </c>
      <c r="G3622" s="408">
        <v>543.43799999999999</v>
      </c>
      <c r="H3622" s="243" t="s">
        <v>315</v>
      </c>
      <c r="I3622" s="243" t="s">
        <v>3510</v>
      </c>
      <c r="J3622" s="243" t="s">
        <v>96</v>
      </c>
      <c r="K3622" s="243" t="s">
        <v>1906</v>
      </c>
      <c r="L3622" s="243" t="s">
        <v>153</v>
      </c>
    </row>
    <row r="3623" spans="1:12" ht="15.6" hidden="1">
      <c r="A3623" s="438">
        <v>45957</v>
      </c>
      <c r="B3623" s="243" t="s">
        <v>4940</v>
      </c>
      <c r="C3623" s="243" t="s">
        <v>172</v>
      </c>
      <c r="D3623" s="243" t="s">
        <v>119</v>
      </c>
      <c r="E3623" s="460">
        <v>500</v>
      </c>
      <c r="F3623" s="407"/>
      <c r="G3623" s="408">
        <v>543.43799999999999</v>
      </c>
      <c r="H3623" s="243" t="s">
        <v>315</v>
      </c>
      <c r="I3623" s="243" t="s">
        <v>3510</v>
      </c>
      <c r="J3623" s="243" t="s">
        <v>96</v>
      </c>
      <c r="K3623" s="243" t="s">
        <v>1906</v>
      </c>
      <c r="L3623" s="243" t="s">
        <v>153</v>
      </c>
    </row>
    <row r="3624" spans="1:12" ht="15.6" hidden="1">
      <c r="A3624" s="438">
        <v>45957</v>
      </c>
      <c r="B3624" s="243" t="s">
        <v>4917</v>
      </c>
      <c r="C3624" s="243" t="s">
        <v>172</v>
      </c>
      <c r="D3624" s="243" t="s">
        <v>119</v>
      </c>
      <c r="E3624" s="460">
        <v>1000</v>
      </c>
      <c r="F3624" s="407">
        <f t="shared" ref="F3624:F3655" si="53">E3624/G3624</f>
        <v>1.8401363172983856</v>
      </c>
      <c r="G3624" s="408">
        <v>543.43799999999999</v>
      </c>
      <c r="H3624" s="243" t="s">
        <v>315</v>
      </c>
      <c r="I3624" s="243" t="s">
        <v>3510</v>
      </c>
      <c r="J3624" s="243" t="s">
        <v>96</v>
      </c>
      <c r="K3624" s="243" t="s">
        <v>1906</v>
      </c>
      <c r="L3624" s="243" t="s">
        <v>153</v>
      </c>
    </row>
    <row r="3625" spans="1:12" ht="15.6" hidden="1">
      <c r="A3625" s="438">
        <v>45957</v>
      </c>
      <c r="B3625" s="243" t="s">
        <v>4876</v>
      </c>
      <c r="C3625" s="243" t="s">
        <v>172</v>
      </c>
      <c r="D3625" s="243" t="s">
        <v>119</v>
      </c>
      <c r="E3625" s="460">
        <v>1000</v>
      </c>
      <c r="F3625" s="407">
        <f t="shared" si="53"/>
        <v>1.8401363172983856</v>
      </c>
      <c r="G3625" s="408">
        <v>543.43799999999999</v>
      </c>
      <c r="H3625" s="243" t="s">
        <v>315</v>
      </c>
      <c r="I3625" s="243" t="s">
        <v>3510</v>
      </c>
      <c r="J3625" s="243" t="s">
        <v>96</v>
      </c>
      <c r="K3625" s="243" t="s">
        <v>1906</v>
      </c>
      <c r="L3625" s="243" t="s">
        <v>153</v>
      </c>
    </row>
    <row r="3626" spans="1:12" ht="15.6" hidden="1">
      <c r="A3626" s="438">
        <v>45957</v>
      </c>
      <c r="B3626" s="243" t="s">
        <v>3530</v>
      </c>
      <c r="C3626" s="243" t="s">
        <v>150</v>
      </c>
      <c r="D3626" s="243" t="s">
        <v>119</v>
      </c>
      <c r="E3626" s="457">
        <v>10000</v>
      </c>
      <c r="F3626" s="407">
        <f t="shared" si="53"/>
        <v>18.401363172983856</v>
      </c>
      <c r="G3626" s="408">
        <v>543.43799999999999</v>
      </c>
      <c r="H3626" s="243" t="s">
        <v>321</v>
      </c>
      <c r="I3626" s="243" t="s">
        <v>3547</v>
      </c>
      <c r="J3626" s="243" t="s">
        <v>96</v>
      </c>
      <c r="K3626" s="243" t="s">
        <v>1906</v>
      </c>
      <c r="L3626" s="243" t="s">
        <v>153</v>
      </c>
    </row>
    <row r="3627" spans="1:12" ht="15.6" hidden="1">
      <c r="A3627" s="438">
        <v>45957</v>
      </c>
      <c r="B3627" s="243" t="s">
        <v>3578</v>
      </c>
      <c r="C3627" s="243" t="s">
        <v>172</v>
      </c>
      <c r="D3627" s="243" t="s">
        <v>115</v>
      </c>
      <c r="E3627" s="463">
        <v>600</v>
      </c>
      <c r="F3627" s="407">
        <f t="shared" si="53"/>
        <v>1.1040817903790312</v>
      </c>
      <c r="G3627" s="408">
        <v>543.43799999999999</v>
      </c>
      <c r="H3627" s="243" t="s">
        <v>188</v>
      </c>
      <c r="I3627" s="243" t="s">
        <v>3594</v>
      </c>
      <c r="J3627" s="243" t="s">
        <v>96</v>
      </c>
      <c r="K3627" s="243" t="s">
        <v>1906</v>
      </c>
      <c r="L3627" s="243" t="s">
        <v>153</v>
      </c>
    </row>
    <row r="3628" spans="1:12" ht="15.6" hidden="1">
      <c r="A3628" s="438">
        <v>45957</v>
      </c>
      <c r="B3628" s="243" t="s">
        <v>3579</v>
      </c>
      <c r="C3628" s="243" t="s">
        <v>172</v>
      </c>
      <c r="D3628" s="243" t="s">
        <v>115</v>
      </c>
      <c r="E3628" s="463">
        <v>800</v>
      </c>
      <c r="F3628" s="407">
        <f t="shared" si="53"/>
        <v>1.4721090538387085</v>
      </c>
      <c r="G3628" s="408">
        <v>543.43799999999999</v>
      </c>
      <c r="H3628" s="243" t="s">
        <v>188</v>
      </c>
      <c r="I3628" s="243" t="s">
        <v>3594</v>
      </c>
      <c r="J3628" s="243" t="s">
        <v>96</v>
      </c>
      <c r="K3628" s="243" t="s">
        <v>1906</v>
      </c>
      <c r="L3628" s="243" t="s">
        <v>153</v>
      </c>
    </row>
    <row r="3629" spans="1:12" ht="15.6" hidden="1">
      <c r="A3629" s="438">
        <v>45957</v>
      </c>
      <c r="B3629" s="243" t="s">
        <v>3580</v>
      </c>
      <c r="C3629" s="243" t="s">
        <v>150</v>
      </c>
      <c r="D3629" s="243" t="s">
        <v>115</v>
      </c>
      <c r="E3629" s="463">
        <v>7500</v>
      </c>
      <c r="F3629" s="407">
        <f t="shared" si="53"/>
        <v>13.801022379737891</v>
      </c>
      <c r="G3629" s="408">
        <v>543.43799999999999</v>
      </c>
      <c r="H3629" s="243" t="s">
        <v>188</v>
      </c>
      <c r="I3629" s="243" t="s">
        <v>3607</v>
      </c>
      <c r="J3629" s="243" t="s">
        <v>96</v>
      </c>
      <c r="K3629" s="243" t="s">
        <v>1906</v>
      </c>
      <c r="L3629" s="243" t="s">
        <v>153</v>
      </c>
    </row>
    <row r="3630" spans="1:12" ht="15.6" hidden="1">
      <c r="A3630" s="438">
        <v>45957</v>
      </c>
      <c r="B3630" s="243" t="s">
        <v>3638</v>
      </c>
      <c r="C3630" s="243" t="s">
        <v>172</v>
      </c>
      <c r="D3630" s="243" t="s">
        <v>115</v>
      </c>
      <c r="E3630" s="463">
        <v>800</v>
      </c>
      <c r="F3630" s="407">
        <f t="shared" si="53"/>
        <v>1.4721090538387085</v>
      </c>
      <c r="G3630" s="408">
        <v>543.43799999999999</v>
      </c>
      <c r="H3630" s="243" t="s">
        <v>191</v>
      </c>
      <c r="I3630" s="243" t="s">
        <v>3665</v>
      </c>
      <c r="J3630" s="243" t="s">
        <v>96</v>
      </c>
      <c r="K3630" s="243" t="s">
        <v>1906</v>
      </c>
      <c r="L3630" s="243" t="s">
        <v>153</v>
      </c>
    </row>
    <row r="3631" spans="1:12" ht="15.6" hidden="1">
      <c r="A3631" s="438">
        <v>45957</v>
      </c>
      <c r="B3631" s="243" t="s">
        <v>3639</v>
      </c>
      <c r="C3631" s="243" t="s">
        <v>172</v>
      </c>
      <c r="D3631" s="243" t="s">
        <v>115</v>
      </c>
      <c r="E3631" s="463">
        <v>500</v>
      </c>
      <c r="F3631" s="407">
        <f t="shared" si="53"/>
        <v>0.92006815864919278</v>
      </c>
      <c r="G3631" s="408">
        <v>543.43799999999999</v>
      </c>
      <c r="H3631" s="243" t="s">
        <v>191</v>
      </c>
      <c r="I3631" s="243" t="s">
        <v>3665</v>
      </c>
      <c r="J3631" s="243" t="s">
        <v>96</v>
      </c>
      <c r="K3631" s="243" t="s">
        <v>1906</v>
      </c>
      <c r="L3631" s="243" t="s">
        <v>153</v>
      </c>
    </row>
    <row r="3632" spans="1:12" ht="15.6" hidden="1">
      <c r="A3632" s="438">
        <v>45957</v>
      </c>
      <c r="B3632" s="243" t="s">
        <v>3640</v>
      </c>
      <c r="C3632" s="243" t="s">
        <v>172</v>
      </c>
      <c r="D3632" s="243" t="s">
        <v>115</v>
      </c>
      <c r="E3632" s="463">
        <v>500</v>
      </c>
      <c r="F3632" s="407">
        <f t="shared" si="53"/>
        <v>0.92006815864919278</v>
      </c>
      <c r="G3632" s="408">
        <v>543.43799999999999</v>
      </c>
      <c r="H3632" s="243" t="s">
        <v>191</v>
      </c>
      <c r="I3632" s="243" t="s">
        <v>3665</v>
      </c>
      <c r="J3632" s="243" t="s">
        <v>96</v>
      </c>
      <c r="K3632" s="243" t="s">
        <v>1906</v>
      </c>
      <c r="L3632" s="243" t="s">
        <v>153</v>
      </c>
    </row>
    <row r="3633" spans="1:12" ht="15.6" hidden="1">
      <c r="A3633" s="438">
        <v>45957</v>
      </c>
      <c r="B3633" s="243" t="s">
        <v>3641</v>
      </c>
      <c r="C3633" s="243" t="s">
        <v>172</v>
      </c>
      <c r="D3633" s="243" t="s">
        <v>115</v>
      </c>
      <c r="E3633" s="463">
        <v>500</v>
      </c>
      <c r="F3633" s="407">
        <f t="shared" si="53"/>
        <v>0.92006815864919278</v>
      </c>
      <c r="G3633" s="408">
        <v>543.43799999999999</v>
      </c>
      <c r="H3633" s="243" t="s">
        <v>191</v>
      </c>
      <c r="I3633" s="243" t="s">
        <v>3665</v>
      </c>
      <c r="J3633" s="243" t="s">
        <v>96</v>
      </c>
      <c r="K3633" s="243" t="s">
        <v>1906</v>
      </c>
      <c r="L3633" s="243" t="s">
        <v>153</v>
      </c>
    </row>
    <row r="3634" spans="1:12" ht="15.6" hidden="1">
      <c r="A3634" s="438">
        <v>45957</v>
      </c>
      <c r="B3634" s="243" t="s">
        <v>3642</v>
      </c>
      <c r="C3634" s="243" t="s">
        <v>150</v>
      </c>
      <c r="D3634" s="243" t="s">
        <v>115</v>
      </c>
      <c r="E3634" s="463">
        <v>7500</v>
      </c>
      <c r="F3634" s="407">
        <f t="shared" si="53"/>
        <v>13.801022379737891</v>
      </c>
      <c r="G3634" s="408">
        <v>543.43799999999999</v>
      </c>
      <c r="H3634" s="243" t="s">
        <v>191</v>
      </c>
      <c r="I3634" s="243" t="s">
        <v>3679</v>
      </c>
      <c r="J3634" s="243" t="s">
        <v>96</v>
      </c>
      <c r="K3634" s="243" t="s">
        <v>1906</v>
      </c>
      <c r="L3634" s="243" t="s">
        <v>153</v>
      </c>
    </row>
    <row r="3635" spans="1:12" ht="15.6" hidden="1">
      <c r="A3635" s="438">
        <v>45957</v>
      </c>
      <c r="B3635" s="243" t="s">
        <v>3744</v>
      </c>
      <c r="C3635" s="239" t="s">
        <v>150</v>
      </c>
      <c r="D3635" s="239" t="s">
        <v>115</v>
      </c>
      <c r="E3635" s="457">
        <v>10000</v>
      </c>
      <c r="F3635" s="407">
        <f t="shared" si="53"/>
        <v>18.401363172983856</v>
      </c>
      <c r="G3635" s="408">
        <v>543.43799999999999</v>
      </c>
      <c r="H3635" s="239" t="s">
        <v>195</v>
      </c>
      <c r="I3635" s="243" t="s">
        <v>3760</v>
      </c>
      <c r="J3635" s="243" t="s">
        <v>96</v>
      </c>
      <c r="K3635" s="243" t="s">
        <v>1906</v>
      </c>
      <c r="L3635" s="243" t="s">
        <v>153</v>
      </c>
    </row>
    <row r="3636" spans="1:12" ht="15.6" hidden="1">
      <c r="A3636" s="438">
        <v>45957</v>
      </c>
      <c r="B3636" s="461" t="s">
        <v>3890</v>
      </c>
      <c r="C3636" s="439" t="s">
        <v>172</v>
      </c>
      <c r="D3636" s="461" t="s">
        <v>118</v>
      </c>
      <c r="E3636" s="464">
        <v>500</v>
      </c>
      <c r="F3636" s="407">
        <f t="shared" si="53"/>
        <v>0.92006815864919278</v>
      </c>
      <c r="G3636" s="408">
        <v>543.43799999999999</v>
      </c>
      <c r="H3636" s="461" t="s">
        <v>211</v>
      </c>
      <c r="I3636" s="461" t="s">
        <v>3910</v>
      </c>
      <c r="J3636" s="243" t="s">
        <v>96</v>
      </c>
      <c r="K3636" s="243" t="s">
        <v>1906</v>
      </c>
      <c r="L3636" s="243" t="s">
        <v>153</v>
      </c>
    </row>
    <row r="3637" spans="1:12" ht="15.6" hidden="1">
      <c r="A3637" s="438">
        <v>45957</v>
      </c>
      <c r="B3637" s="439" t="s">
        <v>3891</v>
      </c>
      <c r="C3637" s="439" t="s">
        <v>150</v>
      </c>
      <c r="D3637" s="439" t="s">
        <v>118</v>
      </c>
      <c r="E3637" s="464">
        <v>10000</v>
      </c>
      <c r="F3637" s="407">
        <f t="shared" si="53"/>
        <v>18.401363172983856</v>
      </c>
      <c r="G3637" s="408">
        <v>543.43799999999999</v>
      </c>
      <c r="H3637" s="461" t="s">
        <v>211</v>
      </c>
      <c r="I3637" s="461" t="s">
        <v>3932</v>
      </c>
      <c r="J3637" s="243" t="s">
        <v>96</v>
      </c>
      <c r="K3637" s="243" t="s">
        <v>1906</v>
      </c>
      <c r="L3637" s="243" t="s">
        <v>153</v>
      </c>
    </row>
    <row r="3638" spans="1:12" ht="15.6" hidden="1">
      <c r="A3638" s="438">
        <v>45957</v>
      </c>
      <c r="B3638" s="423" t="s">
        <v>3982</v>
      </c>
      <c r="C3638" s="423" t="s">
        <v>175</v>
      </c>
      <c r="D3638" s="423" t="s">
        <v>115</v>
      </c>
      <c r="E3638" s="471">
        <v>15000</v>
      </c>
      <c r="F3638" s="407">
        <f t="shared" si="53"/>
        <v>27.602044759475781</v>
      </c>
      <c r="G3638" s="408">
        <v>543.43799999999999</v>
      </c>
      <c r="H3638" s="423" t="s">
        <v>185</v>
      </c>
      <c r="I3638" s="423" t="s">
        <v>4028</v>
      </c>
      <c r="J3638" s="243" t="s">
        <v>96</v>
      </c>
      <c r="K3638" s="243" t="s">
        <v>1906</v>
      </c>
      <c r="L3638" s="243" t="s">
        <v>153</v>
      </c>
    </row>
    <row r="3639" spans="1:12" ht="15.6" hidden="1">
      <c r="A3639" s="438">
        <v>45957</v>
      </c>
      <c r="B3639" s="423" t="s">
        <v>3983</v>
      </c>
      <c r="C3639" s="423" t="s">
        <v>172</v>
      </c>
      <c r="D3639" s="423" t="s">
        <v>115</v>
      </c>
      <c r="E3639" s="471">
        <v>1000</v>
      </c>
      <c r="F3639" s="407">
        <f t="shared" si="53"/>
        <v>1.8401363172983856</v>
      </c>
      <c r="G3639" s="408">
        <v>543.43799999999999</v>
      </c>
      <c r="H3639" s="423" t="s">
        <v>185</v>
      </c>
      <c r="I3639" s="423" t="s">
        <v>4008</v>
      </c>
      <c r="J3639" s="243" t="s">
        <v>96</v>
      </c>
      <c r="K3639" s="243" t="s">
        <v>1906</v>
      </c>
      <c r="L3639" s="243" t="s">
        <v>153</v>
      </c>
    </row>
    <row r="3640" spans="1:12" ht="15.6" hidden="1">
      <c r="A3640" s="438">
        <v>45957</v>
      </c>
      <c r="B3640" s="423" t="s">
        <v>3984</v>
      </c>
      <c r="C3640" s="423" t="s">
        <v>172</v>
      </c>
      <c r="D3640" s="423" t="s">
        <v>115</v>
      </c>
      <c r="E3640" s="471">
        <v>300</v>
      </c>
      <c r="F3640" s="407">
        <f t="shared" si="53"/>
        <v>0.5520408951895156</v>
      </c>
      <c r="G3640" s="408">
        <v>543.43799999999999</v>
      </c>
      <c r="H3640" s="423" t="s">
        <v>185</v>
      </c>
      <c r="I3640" s="423" t="s">
        <v>4008</v>
      </c>
      <c r="J3640" s="243" t="s">
        <v>96</v>
      </c>
      <c r="K3640" s="243" t="s">
        <v>1906</v>
      </c>
      <c r="L3640" s="243" t="s">
        <v>153</v>
      </c>
    </row>
    <row r="3641" spans="1:12" ht="15.6" hidden="1">
      <c r="A3641" s="438">
        <v>45957</v>
      </c>
      <c r="B3641" s="423" t="s">
        <v>3985</v>
      </c>
      <c r="C3641" s="423" t="s">
        <v>175</v>
      </c>
      <c r="D3641" s="423" t="s">
        <v>115</v>
      </c>
      <c r="E3641" s="471">
        <v>15000</v>
      </c>
      <c r="F3641" s="407">
        <f t="shared" si="53"/>
        <v>27.602044759475781</v>
      </c>
      <c r="G3641" s="408">
        <v>543.43799999999999</v>
      </c>
      <c r="H3641" s="423" t="s">
        <v>185</v>
      </c>
      <c r="I3641" s="423" t="s">
        <v>4029</v>
      </c>
      <c r="J3641" s="243" t="s">
        <v>96</v>
      </c>
      <c r="K3641" s="243" t="s">
        <v>1906</v>
      </c>
      <c r="L3641" s="243" t="s">
        <v>153</v>
      </c>
    </row>
    <row r="3642" spans="1:12" ht="15.6" hidden="1">
      <c r="A3642" s="438">
        <v>45957</v>
      </c>
      <c r="B3642" s="423" t="s">
        <v>3986</v>
      </c>
      <c r="C3642" s="423" t="s">
        <v>150</v>
      </c>
      <c r="D3642" s="423" t="s">
        <v>115</v>
      </c>
      <c r="E3642" s="471">
        <v>7500</v>
      </c>
      <c r="F3642" s="407">
        <f t="shared" si="53"/>
        <v>13.801022379737891</v>
      </c>
      <c r="G3642" s="408">
        <v>543.43799999999999</v>
      </c>
      <c r="H3642" s="423" t="s">
        <v>185</v>
      </c>
      <c r="I3642" s="423" t="s">
        <v>4030</v>
      </c>
      <c r="J3642" s="243" t="s">
        <v>96</v>
      </c>
      <c r="K3642" s="243" t="s">
        <v>1906</v>
      </c>
      <c r="L3642" s="243" t="s">
        <v>153</v>
      </c>
    </row>
    <row r="3643" spans="1:12" ht="15.6" hidden="1">
      <c r="A3643" s="438">
        <v>45957</v>
      </c>
      <c r="B3643" s="164" t="s">
        <v>4058</v>
      </c>
      <c r="C3643" s="442" t="s">
        <v>126</v>
      </c>
      <c r="D3643" s="124" t="s">
        <v>116</v>
      </c>
      <c r="E3643" s="349">
        <v>10665</v>
      </c>
      <c r="F3643" s="407">
        <f t="shared" si="53"/>
        <v>19.625053823987283</v>
      </c>
      <c r="G3643" s="408">
        <v>543.43799999999999</v>
      </c>
      <c r="H3643" s="125" t="s">
        <v>146</v>
      </c>
      <c r="I3643" s="125" t="s">
        <v>4097</v>
      </c>
      <c r="J3643" s="243" t="s">
        <v>96</v>
      </c>
      <c r="K3643" s="243" t="s">
        <v>1906</v>
      </c>
      <c r="L3643" s="243" t="s">
        <v>153</v>
      </c>
    </row>
    <row r="3644" spans="1:12" ht="15.6" hidden="1">
      <c r="A3644" s="438">
        <v>45958</v>
      </c>
      <c r="B3644" s="239" t="s">
        <v>3249</v>
      </c>
      <c r="C3644" s="239" t="s">
        <v>172</v>
      </c>
      <c r="D3644" s="453" t="s">
        <v>117</v>
      </c>
      <c r="E3644" s="458">
        <v>500</v>
      </c>
      <c r="F3644" s="407">
        <f t="shared" si="53"/>
        <v>0.92006815864919278</v>
      </c>
      <c r="G3644" s="408">
        <v>543.43799999999999</v>
      </c>
      <c r="H3644" s="454" t="s">
        <v>151</v>
      </c>
      <c r="I3644" s="239" t="s">
        <v>3264</v>
      </c>
      <c r="J3644" s="243" t="s">
        <v>96</v>
      </c>
      <c r="K3644" s="243" t="s">
        <v>1906</v>
      </c>
      <c r="L3644" s="243" t="s">
        <v>153</v>
      </c>
    </row>
    <row r="3645" spans="1:12" ht="15.6" hidden="1">
      <c r="A3645" s="438">
        <v>45958</v>
      </c>
      <c r="B3645" s="239" t="s">
        <v>3250</v>
      </c>
      <c r="C3645" s="239" t="s">
        <v>172</v>
      </c>
      <c r="D3645" s="453" t="s">
        <v>117</v>
      </c>
      <c r="E3645" s="458">
        <v>400</v>
      </c>
      <c r="F3645" s="407">
        <f t="shared" si="53"/>
        <v>0.73605452691935425</v>
      </c>
      <c r="G3645" s="408">
        <v>543.43799999999999</v>
      </c>
      <c r="H3645" s="454" t="s">
        <v>151</v>
      </c>
      <c r="I3645" s="239" t="s">
        <v>3264</v>
      </c>
      <c r="J3645" s="243" t="s">
        <v>96</v>
      </c>
      <c r="K3645" s="243" t="s">
        <v>1906</v>
      </c>
      <c r="L3645" s="243" t="s">
        <v>153</v>
      </c>
    </row>
    <row r="3646" spans="1:12" ht="15.6" hidden="1">
      <c r="A3646" s="438">
        <v>45958</v>
      </c>
      <c r="B3646" s="239" t="s">
        <v>3251</v>
      </c>
      <c r="C3646" s="239" t="s">
        <v>172</v>
      </c>
      <c r="D3646" s="453" t="s">
        <v>117</v>
      </c>
      <c r="E3646" s="458">
        <v>400</v>
      </c>
      <c r="F3646" s="407">
        <f t="shared" si="53"/>
        <v>0.73605452691935425</v>
      </c>
      <c r="G3646" s="408">
        <v>543.43799999999999</v>
      </c>
      <c r="H3646" s="454" t="s">
        <v>151</v>
      </c>
      <c r="I3646" s="239" t="s">
        <v>3264</v>
      </c>
      <c r="J3646" s="243" t="s">
        <v>96</v>
      </c>
      <c r="K3646" s="243" t="s">
        <v>1906</v>
      </c>
      <c r="L3646" s="243" t="s">
        <v>153</v>
      </c>
    </row>
    <row r="3647" spans="1:12" ht="15.6" hidden="1">
      <c r="A3647" s="438">
        <v>45958</v>
      </c>
      <c r="B3647" s="239" t="s">
        <v>3252</v>
      </c>
      <c r="C3647" s="239" t="s">
        <v>172</v>
      </c>
      <c r="D3647" s="453" t="s">
        <v>117</v>
      </c>
      <c r="E3647" s="458">
        <v>400</v>
      </c>
      <c r="F3647" s="407">
        <f t="shared" si="53"/>
        <v>0.73605452691935425</v>
      </c>
      <c r="G3647" s="408">
        <v>543.43799999999999</v>
      </c>
      <c r="H3647" s="454" t="s">
        <v>151</v>
      </c>
      <c r="I3647" s="239" t="s">
        <v>3264</v>
      </c>
      <c r="J3647" s="243" t="s">
        <v>96</v>
      </c>
      <c r="K3647" s="243" t="s">
        <v>1906</v>
      </c>
      <c r="L3647" s="243" t="s">
        <v>153</v>
      </c>
    </row>
    <row r="3648" spans="1:12" ht="15.6" hidden="1">
      <c r="A3648" s="438">
        <v>45958</v>
      </c>
      <c r="B3648" s="239" t="s">
        <v>3250</v>
      </c>
      <c r="C3648" s="239" t="s">
        <v>172</v>
      </c>
      <c r="D3648" s="453" t="s">
        <v>117</v>
      </c>
      <c r="E3648" s="458">
        <v>400</v>
      </c>
      <c r="F3648" s="407">
        <f t="shared" si="53"/>
        <v>0.73605452691935425</v>
      </c>
      <c r="G3648" s="408">
        <v>543.43799999999999</v>
      </c>
      <c r="H3648" s="454" t="s">
        <v>151</v>
      </c>
      <c r="I3648" s="239" t="s">
        <v>3264</v>
      </c>
      <c r="J3648" s="243" t="s">
        <v>96</v>
      </c>
      <c r="K3648" s="243" t="s">
        <v>1906</v>
      </c>
      <c r="L3648" s="243" t="s">
        <v>153</v>
      </c>
    </row>
    <row r="3649" spans="1:12" ht="15.6" hidden="1">
      <c r="A3649" s="438">
        <v>45958</v>
      </c>
      <c r="B3649" s="239" t="s">
        <v>3253</v>
      </c>
      <c r="C3649" s="239" t="s">
        <v>125</v>
      </c>
      <c r="D3649" s="453" t="s">
        <v>2417</v>
      </c>
      <c r="E3649" s="458">
        <v>2500</v>
      </c>
      <c r="F3649" s="407">
        <f t="shared" si="53"/>
        <v>4.6003407932459641</v>
      </c>
      <c r="G3649" s="408">
        <v>543.43799999999999</v>
      </c>
      <c r="H3649" s="454" t="s">
        <v>151</v>
      </c>
      <c r="I3649" s="239" t="s">
        <v>3277</v>
      </c>
      <c r="J3649" s="243" t="s">
        <v>96</v>
      </c>
      <c r="K3649" s="243" t="s">
        <v>1906</v>
      </c>
      <c r="L3649" s="243" t="s">
        <v>153</v>
      </c>
    </row>
    <row r="3650" spans="1:12" ht="15.6" hidden="1">
      <c r="A3650" s="438">
        <v>45958</v>
      </c>
      <c r="B3650" s="239" t="s">
        <v>3254</v>
      </c>
      <c r="C3650" s="239" t="s">
        <v>125</v>
      </c>
      <c r="D3650" s="453" t="s">
        <v>2417</v>
      </c>
      <c r="E3650" s="458">
        <v>4990</v>
      </c>
      <c r="F3650" s="407">
        <f t="shared" si="53"/>
        <v>9.1822802233189442</v>
      </c>
      <c r="G3650" s="408">
        <v>543.43799999999999</v>
      </c>
      <c r="H3650" s="454" t="s">
        <v>151</v>
      </c>
      <c r="I3650" s="239" t="s">
        <v>3277</v>
      </c>
      <c r="J3650" s="243" t="s">
        <v>96</v>
      </c>
      <c r="K3650" s="243" t="s">
        <v>1906</v>
      </c>
      <c r="L3650" s="243" t="s">
        <v>153</v>
      </c>
    </row>
    <row r="3651" spans="1:12" ht="15.6" hidden="1">
      <c r="A3651" s="438">
        <v>45958</v>
      </c>
      <c r="B3651" s="239" t="s">
        <v>3255</v>
      </c>
      <c r="C3651" s="239" t="s">
        <v>125</v>
      </c>
      <c r="D3651" s="453" t="s">
        <v>2417</v>
      </c>
      <c r="E3651" s="458">
        <v>8250</v>
      </c>
      <c r="F3651" s="407">
        <f t="shared" si="53"/>
        <v>15.18112461771168</v>
      </c>
      <c r="G3651" s="408">
        <v>543.43799999999999</v>
      </c>
      <c r="H3651" s="454" t="s">
        <v>151</v>
      </c>
      <c r="I3651" s="239" t="s">
        <v>3277</v>
      </c>
      <c r="J3651" s="243" t="s">
        <v>96</v>
      </c>
      <c r="K3651" s="243" t="s">
        <v>1906</v>
      </c>
      <c r="L3651" s="243" t="s">
        <v>153</v>
      </c>
    </row>
    <row r="3652" spans="1:12" ht="15.6" hidden="1">
      <c r="A3652" s="438">
        <v>45958</v>
      </c>
      <c r="B3652" s="239" t="s">
        <v>3256</v>
      </c>
      <c r="C3652" s="239" t="s">
        <v>172</v>
      </c>
      <c r="D3652" s="453" t="s">
        <v>117</v>
      </c>
      <c r="E3652" s="458">
        <v>300</v>
      </c>
      <c r="F3652" s="407">
        <f t="shared" si="53"/>
        <v>0.5520408951895156</v>
      </c>
      <c r="G3652" s="408">
        <v>543.43799999999999</v>
      </c>
      <c r="H3652" s="454" t="s">
        <v>151</v>
      </c>
      <c r="I3652" s="239" t="s">
        <v>3264</v>
      </c>
      <c r="J3652" s="243" t="s">
        <v>96</v>
      </c>
      <c r="K3652" s="243" t="s">
        <v>1906</v>
      </c>
      <c r="L3652" s="243" t="s">
        <v>153</v>
      </c>
    </row>
    <row r="3653" spans="1:12" ht="15.6" hidden="1">
      <c r="A3653" s="438">
        <v>45958</v>
      </c>
      <c r="B3653" s="239" t="s">
        <v>4117</v>
      </c>
      <c r="C3653" s="239" t="s">
        <v>172</v>
      </c>
      <c r="D3653" s="453" t="s">
        <v>117</v>
      </c>
      <c r="E3653" s="458">
        <v>2000</v>
      </c>
      <c r="F3653" s="407">
        <f t="shared" si="53"/>
        <v>3.6802726345967711</v>
      </c>
      <c r="G3653" s="408">
        <v>543.43799999999999</v>
      </c>
      <c r="H3653" s="454" t="s">
        <v>151</v>
      </c>
      <c r="I3653" s="239" t="s">
        <v>3264</v>
      </c>
      <c r="J3653" s="243" t="s">
        <v>96</v>
      </c>
      <c r="K3653" s="243" t="s">
        <v>1906</v>
      </c>
      <c r="L3653" s="243" t="s">
        <v>153</v>
      </c>
    </row>
    <row r="3654" spans="1:12" ht="15.6" hidden="1">
      <c r="A3654" s="438">
        <v>45958</v>
      </c>
      <c r="B3654" s="239" t="s">
        <v>3257</v>
      </c>
      <c r="C3654" s="239" t="s">
        <v>172</v>
      </c>
      <c r="D3654" s="453" t="s">
        <v>117</v>
      </c>
      <c r="E3654" s="458">
        <v>7000</v>
      </c>
      <c r="F3654" s="407">
        <f t="shared" si="53"/>
        <v>12.880954221088698</v>
      </c>
      <c r="G3654" s="408">
        <v>543.43799999999999</v>
      </c>
      <c r="H3654" s="454" t="s">
        <v>151</v>
      </c>
      <c r="I3654" s="239" t="s">
        <v>3278</v>
      </c>
      <c r="J3654" s="243" t="s">
        <v>96</v>
      </c>
      <c r="K3654" s="243" t="s">
        <v>1906</v>
      </c>
      <c r="L3654" s="243" t="s">
        <v>153</v>
      </c>
    </row>
    <row r="3655" spans="1:12" ht="15.6" hidden="1">
      <c r="A3655" s="438">
        <v>45958</v>
      </c>
      <c r="B3655" s="329" t="s">
        <v>3342</v>
      </c>
      <c r="C3655" s="329" t="s">
        <v>172</v>
      </c>
      <c r="D3655" s="329" t="s">
        <v>115</v>
      </c>
      <c r="E3655" s="451">
        <v>500</v>
      </c>
      <c r="F3655" s="407">
        <f t="shared" si="53"/>
        <v>0.92006815864919278</v>
      </c>
      <c r="G3655" s="408">
        <v>543.43799999999999</v>
      </c>
      <c r="H3655" s="329" t="s">
        <v>198</v>
      </c>
      <c r="I3655" s="329" t="s">
        <v>3349</v>
      </c>
      <c r="J3655" s="243" t="s">
        <v>96</v>
      </c>
      <c r="K3655" s="243" t="s">
        <v>1906</v>
      </c>
      <c r="L3655" s="243" t="s">
        <v>153</v>
      </c>
    </row>
    <row r="3656" spans="1:12" ht="15.6" hidden="1">
      <c r="A3656" s="438">
        <v>45958</v>
      </c>
      <c r="B3656" s="329" t="s">
        <v>3343</v>
      </c>
      <c r="C3656" s="329" t="s">
        <v>172</v>
      </c>
      <c r="D3656" s="329" t="s">
        <v>115</v>
      </c>
      <c r="E3656" s="451">
        <v>500</v>
      </c>
      <c r="F3656" s="407">
        <f t="shared" ref="F3656:F3687" si="54">E3656/G3656</f>
        <v>0.92006815864919278</v>
      </c>
      <c r="G3656" s="408">
        <v>543.43799999999999</v>
      </c>
      <c r="H3656" s="329" t="s">
        <v>198</v>
      </c>
      <c r="I3656" s="329" t="s">
        <v>3349</v>
      </c>
      <c r="J3656" s="243" t="s">
        <v>96</v>
      </c>
      <c r="K3656" s="243" t="s">
        <v>1906</v>
      </c>
      <c r="L3656" s="243" t="s">
        <v>153</v>
      </c>
    </row>
    <row r="3657" spans="1:12" ht="15.6" hidden="1">
      <c r="A3657" s="438">
        <v>45958</v>
      </c>
      <c r="B3657" s="329" t="s">
        <v>3344</v>
      </c>
      <c r="C3657" s="329" t="s">
        <v>172</v>
      </c>
      <c r="D3657" s="329" t="s">
        <v>115</v>
      </c>
      <c r="E3657" s="451">
        <v>750</v>
      </c>
      <c r="F3657" s="407">
        <f t="shared" si="54"/>
        <v>1.3801022379737891</v>
      </c>
      <c r="G3657" s="408">
        <v>543.43799999999999</v>
      </c>
      <c r="H3657" s="329" t="s">
        <v>198</v>
      </c>
      <c r="I3657" s="329" t="s">
        <v>3349</v>
      </c>
      <c r="J3657" s="243" t="s">
        <v>96</v>
      </c>
      <c r="K3657" s="243" t="s">
        <v>1906</v>
      </c>
      <c r="L3657" s="243" t="s">
        <v>153</v>
      </c>
    </row>
    <row r="3658" spans="1:12" ht="15.6" hidden="1">
      <c r="A3658" s="438">
        <v>45958</v>
      </c>
      <c r="B3658" s="329" t="s">
        <v>3298</v>
      </c>
      <c r="C3658" s="329" t="s">
        <v>2394</v>
      </c>
      <c r="D3658" s="329" t="s">
        <v>115</v>
      </c>
      <c r="E3658" s="451">
        <v>10100</v>
      </c>
      <c r="F3658" s="407">
        <f t="shared" si="54"/>
        <v>18.585376804713693</v>
      </c>
      <c r="G3658" s="408">
        <v>543.43799999999999</v>
      </c>
      <c r="H3658" s="329" t="s">
        <v>198</v>
      </c>
      <c r="I3658" s="329" t="s">
        <v>3367</v>
      </c>
      <c r="J3658" s="243" t="s">
        <v>96</v>
      </c>
      <c r="K3658" s="243" t="s">
        <v>1906</v>
      </c>
      <c r="L3658" s="243" t="s">
        <v>153</v>
      </c>
    </row>
    <row r="3659" spans="1:12" ht="15.6" hidden="1">
      <c r="A3659" s="438">
        <v>45958</v>
      </c>
      <c r="B3659" s="329" t="s">
        <v>3345</v>
      </c>
      <c r="C3659" s="329" t="s">
        <v>172</v>
      </c>
      <c r="D3659" s="329" t="s">
        <v>115</v>
      </c>
      <c r="E3659" s="451">
        <v>500</v>
      </c>
      <c r="F3659" s="407">
        <f t="shared" si="54"/>
        <v>0.92006815864919278</v>
      </c>
      <c r="G3659" s="408">
        <v>543.43799999999999</v>
      </c>
      <c r="H3659" s="329" t="s">
        <v>198</v>
      </c>
      <c r="I3659" s="329" t="s">
        <v>3349</v>
      </c>
      <c r="J3659" s="243" t="s">
        <v>96</v>
      </c>
      <c r="K3659" s="243" t="s">
        <v>1906</v>
      </c>
      <c r="L3659" s="243" t="s">
        <v>153</v>
      </c>
    </row>
    <row r="3660" spans="1:12" ht="15.6" hidden="1">
      <c r="A3660" s="438">
        <v>45958</v>
      </c>
      <c r="B3660" s="329" t="s">
        <v>3346</v>
      </c>
      <c r="C3660" s="329" t="s">
        <v>172</v>
      </c>
      <c r="D3660" s="329" t="s">
        <v>115</v>
      </c>
      <c r="E3660" s="451">
        <v>500</v>
      </c>
      <c r="F3660" s="407">
        <f t="shared" si="54"/>
        <v>0.92006815864919278</v>
      </c>
      <c r="G3660" s="408">
        <v>543.43799999999999</v>
      </c>
      <c r="H3660" s="329" t="s">
        <v>198</v>
      </c>
      <c r="I3660" s="329" t="s">
        <v>3349</v>
      </c>
      <c r="J3660" s="243" t="s">
        <v>96</v>
      </c>
      <c r="K3660" s="243" t="s">
        <v>1906</v>
      </c>
      <c r="L3660" s="243" t="s">
        <v>153</v>
      </c>
    </row>
    <row r="3661" spans="1:12" ht="15.6" hidden="1">
      <c r="A3661" s="438">
        <v>45958</v>
      </c>
      <c r="B3661" s="329" t="s">
        <v>3299</v>
      </c>
      <c r="C3661" s="329" t="s">
        <v>172</v>
      </c>
      <c r="D3661" s="329" t="s">
        <v>2417</v>
      </c>
      <c r="E3661" s="451">
        <v>20000</v>
      </c>
      <c r="F3661" s="407">
        <f t="shared" si="54"/>
        <v>36.802726345967713</v>
      </c>
      <c r="G3661" s="408">
        <v>543.43799999999999</v>
      </c>
      <c r="H3661" s="329" t="s">
        <v>198</v>
      </c>
      <c r="I3661" s="329" t="s">
        <v>3368</v>
      </c>
      <c r="J3661" s="243" t="s">
        <v>96</v>
      </c>
      <c r="K3661" s="243" t="s">
        <v>1906</v>
      </c>
      <c r="L3661" s="243" t="s">
        <v>153</v>
      </c>
    </row>
    <row r="3662" spans="1:12" ht="15.6" hidden="1">
      <c r="A3662" s="438">
        <v>45958</v>
      </c>
      <c r="B3662" s="329" t="s">
        <v>3300</v>
      </c>
      <c r="C3662" s="329" t="s">
        <v>172</v>
      </c>
      <c r="D3662" s="329" t="s">
        <v>2417</v>
      </c>
      <c r="E3662" s="451">
        <v>190000</v>
      </c>
      <c r="F3662" s="407">
        <f t="shared" si="54"/>
        <v>349.62590028669325</v>
      </c>
      <c r="G3662" s="408">
        <v>543.43799999999999</v>
      </c>
      <c r="H3662" s="329" t="s">
        <v>198</v>
      </c>
      <c r="I3662" s="329" t="s">
        <v>3369</v>
      </c>
      <c r="J3662" s="243" t="s">
        <v>96</v>
      </c>
      <c r="K3662" s="243" t="s">
        <v>1906</v>
      </c>
      <c r="L3662" s="243" t="s">
        <v>153</v>
      </c>
    </row>
    <row r="3663" spans="1:12" ht="15.6" hidden="1">
      <c r="A3663" s="438">
        <v>45958</v>
      </c>
      <c r="B3663" s="329" t="s">
        <v>3301</v>
      </c>
      <c r="C3663" s="329" t="s">
        <v>1815</v>
      </c>
      <c r="D3663" s="329" t="s">
        <v>2417</v>
      </c>
      <c r="E3663" s="451">
        <v>20000</v>
      </c>
      <c r="F3663" s="407">
        <f t="shared" si="54"/>
        <v>36.802726345967713</v>
      </c>
      <c r="G3663" s="408">
        <v>543.43799999999999</v>
      </c>
      <c r="H3663" s="329" t="s">
        <v>198</v>
      </c>
      <c r="I3663" s="329" t="s">
        <v>3370</v>
      </c>
      <c r="J3663" s="243" t="s">
        <v>96</v>
      </c>
      <c r="K3663" s="243" t="s">
        <v>1906</v>
      </c>
      <c r="L3663" s="243" t="s">
        <v>153</v>
      </c>
    </row>
    <row r="3664" spans="1:12" ht="15.6" hidden="1">
      <c r="A3664" s="438">
        <v>45958</v>
      </c>
      <c r="B3664" s="423" t="s">
        <v>3380</v>
      </c>
      <c r="C3664" s="423" t="s">
        <v>302</v>
      </c>
      <c r="D3664" s="423" t="s">
        <v>116</v>
      </c>
      <c r="E3664" s="464">
        <v>40000</v>
      </c>
      <c r="F3664" s="407">
        <f t="shared" si="54"/>
        <v>73.605452691935426</v>
      </c>
      <c r="G3664" s="408">
        <v>543.43799999999999</v>
      </c>
      <c r="H3664" s="423" t="s">
        <v>581</v>
      </c>
      <c r="I3664" s="456" t="s">
        <v>3434</v>
      </c>
      <c r="J3664" s="243" t="s">
        <v>96</v>
      </c>
      <c r="K3664" s="243" t="s">
        <v>1906</v>
      </c>
      <c r="L3664" s="243" t="s">
        <v>153</v>
      </c>
    </row>
    <row r="3665" spans="1:12" ht="15.6" hidden="1">
      <c r="A3665" s="438">
        <v>45958</v>
      </c>
      <c r="B3665" s="331" t="s">
        <v>4926</v>
      </c>
      <c r="C3665" s="331" t="s">
        <v>172</v>
      </c>
      <c r="D3665" s="331" t="s">
        <v>119</v>
      </c>
      <c r="E3665" s="459">
        <v>50000</v>
      </c>
      <c r="F3665" s="407">
        <f t="shared" si="54"/>
        <v>92.006815864919275</v>
      </c>
      <c r="G3665" s="408">
        <v>543.43799999999999</v>
      </c>
      <c r="H3665" s="331" t="s">
        <v>182</v>
      </c>
      <c r="I3665" s="331" t="s">
        <v>3468</v>
      </c>
      <c r="J3665" s="243" t="s">
        <v>96</v>
      </c>
      <c r="K3665" s="243" t="s">
        <v>1906</v>
      </c>
      <c r="L3665" s="243" t="s">
        <v>153</v>
      </c>
    </row>
    <row r="3666" spans="1:12" ht="15.6" hidden="1">
      <c r="A3666" s="438">
        <v>45958</v>
      </c>
      <c r="B3666" s="331" t="s">
        <v>3446</v>
      </c>
      <c r="C3666" s="331" t="s">
        <v>366</v>
      </c>
      <c r="D3666" s="331" t="s">
        <v>119</v>
      </c>
      <c r="E3666" s="459">
        <v>5300</v>
      </c>
      <c r="F3666" s="407">
        <f t="shared" si="54"/>
        <v>9.7527224816814435</v>
      </c>
      <c r="G3666" s="408">
        <v>543.43799999999999</v>
      </c>
      <c r="H3666" s="331" t="s">
        <v>182</v>
      </c>
      <c r="I3666" s="331" t="s">
        <v>3456</v>
      </c>
      <c r="J3666" s="243" t="s">
        <v>96</v>
      </c>
      <c r="K3666" s="243" t="s">
        <v>1906</v>
      </c>
      <c r="L3666" s="243" t="s">
        <v>153</v>
      </c>
    </row>
    <row r="3667" spans="1:12" ht="15.6" hidden="1">
      <c r="A3667" s="438">
        <v>45958</v>
      </c>
      <c r="B3667" s="331" t="s">
        <v>4917</v>
      </c>
      <c r="C3667" s="331" t="s">
        <v>172</v>
      </c>
      <c r="D3667" s="331" t="s">
        <v>119</v>
      </c>
      <c r="E3667" s="459">
        <v>1500</v>
      </c>
      <c r="F3667" s="407">
        <f t="shared" si="54"/>
        <v>2.7602044759475781</v>
      </c>
      <c r="G3667" s="408">
        <v>543.43799999999999</v>
      </c>
      <c r="H3667" s="331" t="s">
        <v>182</v>
      </c>
      <c r="I3667" s="331" t="s">
        <v>3447</v>
      </c>
      <c r="J3667" s="243" t="s">
        <v>96</v>
      </c>
      <c r="K3667" s="243" t="s">
        <v>1906</v>
      </c>
      <c r="L3667" s="243" t="s">
        <v>153</v>
      </c>
    </row>
    <row r="3668" spans="1:12" ht="15.6" hidden="1">
      <c r="A3668" s="438">
        <v>45958</v>
      </c>
      <c r="B3668" s="331" t="s">
        <v>4758</v>
      </c>
      <c r="C3668" s="331" t="s">
        <v>172</v>
      </c>
      <c r="D3668" s="331" t="s">
        <v>119</v>
      </c>
      <c r="E3668" s="459">
        <v>9000</v>
      </c>
      <c r="F3668" s="407">
        <f t="shared" si="54"/>
        <v>16.561226855685469</v>
      </c>
      <c r="G3668" s="408">
        <v>543.43799999999999</v>
      </c>
      <c r="H3668" s="331" t="s">
        <v>182</v>
      </c>
      <c r="I3668" s="331" t="s">
        <v>3469</v>
      </c>
      <c r="J3668" s="243" t="s">
        <v>96</v>
      </c>
      <c r="K3668" s="243" t="s">
        <v>1906</v>
      </c>
      <c r="L3668" s="243" t="s">
        <v>153</v>
      </c>
    </row>
    <row r="3669" spans="1:12" ht="15.6" hidden="1">
      <c r="A3669" s="438">
        <v>45958</v>
      </c>
      <c r="B3669" s="243" t="s">
        <v>4762</v>
      </c>
      <c r="C3669" s="243" t="s">
        <v>175</v>
      </c>
      <c r="D3669" s="243" t="s">
        <v>119</v>
      </c>
      <c r="E3669" s="462">
        <v>90000</v>
      </c>
      <c r="F3669" s="407">
        <f t="shared" si="54"/>
        <v>165.6122685568547</v>
      </c>
      <c r="G3669" s="408">
        <v>543.43799999999999</v>
      </c>
      <c r="H3669" s="243" t="s">
        <v>315</v>
      </c>
      <c r="I3669" s="243" t="s">
        <v>3523</v>
      </c>
      <c r="J3669" s="243" t="s">
        <v>96</v>
      </c>
      <c r="K3669" s="243" t="s">
        <v>1906</v>
      </c>
      <c r="L3669" s="243" t="s">
        <v>153</v>
      </c>
    </row>
    <row r="3670" spans="1:12" ht="15.6" hidden="1">
      <c r="A3670" s="438">
        <v>45958</v>
      </c>
      <c r="B3670" s="243" t="s">
        <v>4940</v>
      </c>
      <c r="C3670" s="243" t="s">
        <v>172</v>
      </c>
      <c r="D3670" s="243" t="s">
        <v>119</v>
      </c>
      <c r="E3670" s="460">
        <v>700</v>
      </c>
      <c r="F3670" s="407">
        <f t="shared" si="54"/>
        <v>1.2880954221088698</v>
      </c>
      <c r="G3670" s="408">
        <v>543.43799999999999</v>
      </c>
      <c r="H3670" s="243" t="s">
        <v>315</v>
      </c>
      <c r="I3670" s="243" t="s">
        <v>3510</v>
      </c>
      <c r="J3670" s="243" t="s">
        <v>96</v>
      </c>
      <c r="K3670" s="243" t="s">
        <v>1906</v>
      </c>
      <c r="L3670" s="243" t="s">
        <v>153</v>
      </c>
    </row>
    <row r="3671" spans="1:12" ht="15.6" hidden="1">
      <c r="A3671" s="438">
        <v>45958</v>
      </c>
      <c r="B3671" s="243" t="s">
        <v>4876</v>
      </c>
      <c r="C3671" s="243" t="s">
        <v>172</v>
      </c>
      <c r="D3671" s="243" t="s">
        <v>119</v>
      </c>
      <c r="E3671" s="460">
        <v>1000</v>
      </c>
      <c r="F3671" s="407">
        <f t="shared" si="54"/>
        <v>1.8401363172983856</v>
      </c>
      <c r="G3671" s="408">
        <v>543.43799999999999</v>
      </c>
      <c r="H3671" s="243" t="s">
        <v>315</v>
      </c>
      <c r="I3671" s="243" t="s">
        <v>3510</v>
      </c>
      <c r="J3671" s="243" t="s">
        <v>96</v>
      </c>
      <c r="K3671" s="243" t="s">
        <v>1906</v>
      </c>
      <c r="L3671" s="243" t="s">
        <v>153</v>
      </c>
    </row>
    <row r="3672" spans="1:12" ht="15.6" hidden="1">
      <c r="A3672" s="438">
        <v>45958</v>
      </c>
      <c r="B3672" s="243" t="s">
        <v>4940</v>
      </c>
      <c r="C3672" s="243" t="s">
        <v>172</v>
      </c>
      <c r="D3672" s="243" t="s">
        <v>119</v>
      </c>
      <c r="E3672" s="460">
        <v>500</v>
      </c>
      <c r="F3672" s="407">
        <f t="shared" si="54"/>
        <v>0.92006815864919278</v>
      </c>
      <c r="G3672" s="408">
        <v>543.43799999999999</v>
      </c>
      <c r="H3672" s="243" t="s">
        <v>315</v>
      </c>
      <c r="I3672" s="243" t="s">
        <v>3510</v>
      </c>
      <c r="J3672" s="243" t="s">
        <v>96</v>
      </c>
      <c r="K3672" s="243" t="s">
        <v>1906</v>
      </c>
      <c r="L3672" s="243" t="s">
        <v>153</v>
      </c>
    </row>
    <row r="3673" spans="1:12" ht="15.6" hidden="1">
      <c r="A3673" s="438">
        <v>45958</v>
      </c>
      <c r="B3673" s="243" t="s">
        <v>4876</v>
      </c>
      <c r="C3673" s="243" t="s">
        <v>172</v>
      </c>
      <c r="D3673" s="243" t="s">
        <v>119</v>
      </c>
      <c r="E3673" s="460">
        <v>1000</v>
      </c>
      <c r="F3673" s="407">
        <f t="shared" si="54"/>
        <v>1.8401363172983856</v>
      </c>
      <c r="G3673" s="408">
        <v>543.43799999999999</v>
      </c>
      <c r="H3673" s="243" t="s">
        <v>315</v>
      </c>
      <c r="I3673" s="243" t="s">
        <v>3510</v>
      </c>
      <c r="J3673" s="243" t="s">
        <v>96</v>
      </c>
      <c r="K3673" s="243" t="s">
        <v>1906</v>
      </c>
      <c r="L3673" s="243" t="s">
        <v>153</v>
      </c>
    </row>
    <row r="3674" spans="1:12" ht="15.6" hidden="1">
      <c r="A3674" s="438">
        <v>45958</v>
      </c>
      <c r="B3674" s="243" t="s">
        <v>4876</v>
      </c>
      <c r="C3674" s="243" t="s">
        <v>172</v>
      </c>
      <c r="D3674" s="243" t="s">
        <v>119</v>
      </c>
      <c r="E3674" s="460">
        <v>1000</v>
      </c>
      <c r="F3674" s="407">
        <f t="shared" si="54"/>
        <v>1.8401363172983856</v>
      </c>
      <c r="G3674" s="408">
        <v>543.43799999999999</v>
      </c>
      <c r="H3674" s="243" t="s">
        <v>315</v>
      </c>
      <c r="I3674" s="243" t="s">
        <v>3510</v>
      </c>
      <c r="J3674" s="243" t="s">
        <v>96</v>
      </c>
      <c r="K3674" s="243" t="s">
        <v>1906</v>
      </c>
      <c r="L3674" s="243" t="s">
        <v>153</v>
      </c>
    </row>
    <row r="3675" spans="1:12" ht="15.6" hidden="1">
      <c r="A3675" s="438">
        <v>45958</v>
      </c>
      <c r="B3675" s="243" t="s">
        <v>4876</v>
      </c>
      <c r="C3675" s="243" t="s">
        <v>172</v>
      </c>
      <c r="D3675" s="243" t="s">
        <v>119</v>
      </c>
      <c r="E3675" s="460">
        <v>1000</v>
      </c>
      <c r="F3675" s="407">
        <f t="shared" si="54"/>
        <v>1.8401363172983856</v>
      </c>
      <c r="G3675" s="408">
        <v>543.43799999999999</v>
      </c>
      <c r="H3675" s="243" t="s">
        <v>315</v>
      </c>
      <c r="I3675" s="243" t="s">
        <v>3510</v>
      </c>
      <c r="J3675" s="243" t="s">
        <v>96</v>
      </c>
      <c r="K3675" s="243" t="s">
        <v>1906</v>
      </c>
      <c r="L3675" s="243" t="s">
        <v>153</v>
      </c>
    </row>
    <row r="3676" spans="1:12" ht="15.6" hidden="1">
      <c r="A3676" s="438">
        <v>45958</v>
      </c>
      <c r="B3676" s="243" t="s">
        <v>4876</v>
      </c>
      <c r="C3676" s="243" t="s">
        <v>172</v>
      </c>
      <c r="D3676" s="243" t="s">
        <v>119</v>
      </c>
      <c r="E3676" s="460">
        <v>1500</v>
      </c>
      <c r="F3676" s="407">
        <f t="shared" si="54"/>
        <v>2.7602044759475781</v>
      </c>
      <c r="G3676" s="408">
        <v>543.43799999999999</v>
      </c>
      <c r="H3676" s="243" t="s">
        <v>315</v>
      </c>
      <c r="I3676" s="243" t="s">
        <v>3510</v>
      </c>
      <c r="J3676" s="243" t="s">
        <v>96</v>
      </c>
      <c r="K3676" s="243" t="s">
        <v>1906</v>
      </c>
      <c r="L3676" s="243" t="s">
        <v>153</v>
      </c>
    </row>
    <row r="3677" spans="1:12" ht="15.6" hidden="1">
      <c r="A3677" s="438">
        <v>45958</v>
      </c>
      <c r="B3677" s="243" t="s">
        <v>4876</v>
      </c>
      <c r="C3677" s="243" t="s">
        <v>172</v>
      </c>
      <c r="D3677" s="243" t="s">
        <v>119</v>
      </c>
      <c r="E3677" s="460">
        <v>1000</v>
      </c>
      <c r="F3677" s="407">
        <f t="shared" si="54"/>
        <v>1.8401363172983856</v>
      </c>
      <c r="G3677" s="408">
        <v>543.43799999999999</v>
      </c>
      <c r="H3677" s="243" t="s">
        <v>315</v>
      </c>
      <c r="I3677" s="243" t="s">
        <v>3510</v>
      </c>
      <c r="J3677" s="243" t="s">
        <v>96</v>
      </c>
      <c r="K3677" s="243" t="s">
        <v>1906</v>
      </c>
      <c r="L3677" s="243" t="s">
        <v>153</v>
      </c>
    </row>
    <row r="3678" spans="1:12" ht="15.6" hidden="1">
      <c r="A3678" s="438">
        <v>45958</v>
      </c>
      <c r="B3678" s="243" t="s">
        <v>4876</v>
      </c>
      <c r="C3678" s="243" t="s">
        <v>172</v>
      </c>
      <c r="D3678" s="243" t="s">
        <v>119</v>
      </c>
      <c r="E3678" s="460">
        <v>1000</v>
      </c>
      <c r="F3678" s="407">
        <f t="shared" si="54"/>
        <v>1.8401363172983856</v>
      </c>
      <c r="G3678" s="408">
        <v>543.43799999999999</v>
      </c>
      <c r="H3678" s="243" t="s">
        <v>315</v>
      </c>
      <c r="I3678" s="243" t="s">
        <v>3510</v>
      </c>
      <c r="J3678" s="243" t="s">
        <v>96</v>
      </c>
      <c r="K3678" s="243" t="s">
        <v>1906</v>
      </c>
      <c r="L3678" s="243" t="s">
        <v>153</v>
      </c>
    </row>
    <row r="3679" spans="1:12" ht="15.6" hidden="1">
      <c r="A3679" s="438">
        <v>45958</v>
      </c>
      <c r="B3679" s="243" t="s">
        <v>4917</v>
      </c>
      <c r="C3679" s="243" t="s">
        <v>172</v>
      </c>
      <c r="D3679" s="243" t="s">
        <v>119</v>
      </c>
      <c r="E3679" s="460">
        <v>1000</v>
      </c>
      <c r="F3679" s="407">
        <f t="shared" si="54"/>
        <v>1.8401363172983856</v>
      </c>
      <c r="G3679" s="408">
        <v>543.43799999999999</v>
      </c>
      <c r="H3679" s="243" t="s">
        <v>315</v>
      </c>
      <c r="I3679" s="243" t="s">
        <v>3510</v>
      </c>
      <c r="J3679" s="243" t="s">
        <v>96</v>
      </c>
      <c r="K3679" s="243" t="s">
        <v>1906</v>
      </c>
      <c r="L3679" s="243" t="s">
        <v>153</v>
      </c>
    </row>
    <row r="3680" spans="1:12" ht="15.6" hidden="1">
      <c r="A3680" s="438">
        <v>45958</v>
      </c>
      <c r="B3680" s="243" t="s">
        <v>3581</v>
      </c>
      <c r="C3680" s="243" t="s">
        <v>172</v>
      </c>
      <c r="D3680" s="243" t="s">
        <v>2417</v>
      </c>
      <c r="E3680" s="463">
        <v>25000</v>
      </c>
      <c r="F3680" s="407">
        <f t="shared" si="54"/>
        <v>46.003407932459638</v>
      </c>
      <c r="G3680" s="408">
        <v>543.43799999999999</v>
      </c>
      <c r="H3680" s="243" t="s">
        <v>188</v>
      </c>
      <c r="I3680" s="243" t="s">
        <v>3608</v>
      </c>
      <c r="J3680" s="243" t="s">
        <v>96</v>
      </c>
      <c r="K3680" s="243" t="s">
        <v>1906</v>
      </c>
      <c r="L3680" s="243" t="s">
        <v>153</v>
      </c>
    </row>
    <row r="3681" spans="1:12" ht="15.6" hidden="1">
      <c r="A3681" s="438">
        <v>45958</v>
      </c>
      <c r="B3681" s="243" t="s">
        <v>3582</v>
      </c>
      <c r="C3681" s="243" t="s">
        <v>2394</v>
      </c>
      <c r="D3681" s="243" t="s">
        <v>115</v>
      </c>
      <c r="E3681" s="463">
        <v>21100</v>
      </c>
      <c r="F3681" s="407">
        <f t="shared" si="54"/>
        <v>38.826876294995934</v>
      </c>
      <c r="G3681" s="408">
        <v>543.43799999999999</v>
      </c>
      <c r="H3681" s="243" t="s">
        <v>188</v>
      </c>
      <c r="I3681" s="243" t="s">
        <v>3609</v>
      </c>
      <c r="J3681" s="243" t="s">
        <v>96</v>
      </c>
      <c r="K3681" s="243" t="s">
        <v>1906</v>
      </c>
      <c r="L3681" s="243" t="s">
        <v>153</v>
      </c>
    </row>
    <row r="3682" spans="1:12" ht="15.6" hidden="1">
      <c r="A3682" s="438">
        <v>45958</v>
      </c>
      <c r="B3682" s="243" t="s">
        <v>3583</v>
      </c>
      <c r="C3682" s="243" t="s">
        <v>172</v>
      </c>
      <c r="D3682" s="243" t="s">
        <v>115</v>
      </c>
      <c r="E3682" s="463">
        <v>1000</v>
      </c>
      <c r="F3682" s="407">
        <f t="shared" si="54"/>
        <v>1.8401363172983856</v>
      </c>
      <c r="G3682" s="408">
        <v>543.43799999999999</v>
      </c>
      <c r="H3682" s="243" t="s">
        <v>188</v>
      </c>
      <c r="I3682" s="243" t="s">
        <v>3594</v>
      </c>
      <c r="J3682" s="243" t="s">
        <v>96</v>
      </c>
      <c r="K3682" s="243" t="s">
        <v>1906</v>
      </c>
      <c r="L3682" s="243" t="s">
        <v>153</v>
      </c>
    </row>
    <row r="3683" spans="1:12" ht="15.6" hidden="1">
      <c r="A3683" s="438">
        <v>45958</v>
      </c>
      <c r="B3683" s="243" t="s">
        <v>3584</v>
      </c>
      <c r="C3683" s="243" t="s">
        <v>172</v>
      </c>
      <c r="D3683" s="243" t="s">
        <v>115</v>
      </c>
      <c r="E3683" s="463">
        <v>500</v>
      </c>
      <c r="F3683" s="407">
        <f t="shared" si="54"/>
        <v>0.92006815864919278</v>
      </c>
      <c r="G3683" s="408">
        <v>543.43799999999999</v>
      </c>
      <c r="H3683" s="243" t="s">
        <v>188</v>
      </c>
      <c r="I3683" s="243" t="s">
        <v>3594</v>
      </c>
      <c r="J3683" s="243" t="s">
        <v>96</v>
      </c>
      <c r="K3683" s="243" t="s">
        <v>1906</v>
      </c>
      <c r="L3683" s="243" t="s">
        <v>153</v>
      </c>
    </row>
    <row r="3684" spans="1:12" ht="15.6" hidden="1">
      <c r="A3684" s="438">
        <v>45958</v>
      </c>
      <c r="B3684" s="243" t="s">
        <v>3585</v>
      </c>
      <c r="C3684" s="243" t="s">
        <v>172</v>
      </c>
      <c r="D3684" s="243" t="s">
        <v>115</v>
      </c>
      <c r="E3684" s="463">
        <v>7000</v>
      </c>
      <c r="F3684" s="407">
        <f t="shared" si="54"/>
        <v>12.880954221088698</v>
      </c>
      <c r="G3684" s="408">
        <v>543.43799999999999</v>
      </c>
      <c r="H3684" s="243" t="s">
        <v>188</v>
      </c>
      <c r="I3684" s="243" t="s">
        <v>3610</v>
      </c>
      <c r="J3684" s="243" t="s">
        <v>96</v>
      </c>
      <c r="K3684" s="243" t="s">
        <v>1906</v>
      </c>
      <c r="L3684" s="243" t="s">
        <v>153</v>
      </c>
    </row>
    <row r="3685" spans="1:12" ht="15.6" hidden="1">
      <c r="A3685" s="438">
        <v>45958</v>
      </c>
      <c r="B3685" s="243" t="s">
        <v>3586</v>
      </c>
      <c r="C3685" s="243" t="s">
        <v>172</v>
      </c>
      <c r="D3685" s="243" t="s">
        <v>115</v>
      </c>
      <c r="E3685" s="463">
        <v>500</v>
      </c>
      <c r="F3685" s="407">
        <f t="shared" si="54"/>
        <v>0.92006815864919278</v>
      </c>
      <c r="G3685" s="408">
        <v>543.43799999999999</v>
      </c>
      <c r="H3685" s="243" t="s">
        <v>188</v>
      </c>
      <c r="I3685" s="243" t="s">
        <v>3594</v>
      </c>
      <c r="J3685" s="243" t="s">
        <v>96</v>
      </c>
      <c r="K3685" s="243" t="s">
        <v>1906</v>
      </c>
      <c r="L3685" s="243" t="s">
        <v>153</v>
      </c>
    </row>
    <row r="3686" spans="1:12" ht="15.6" hidden="1">
      <c r="A3686" s="438">
        <v>45958</v>
      </c>
      <c r="B3686" s="243" t="s">
        <v>3587</v>
      </c>
      <c r="C3686" s="243" t="s">
        <v>2394</v>
      </c>
      <c r="D3686" s="243" t="s">
        <v>115</v>
      </c>
      <c r="E3686" s="463">
        <v>60000</v>
      </c>
      <c r="F3686" s="407">
        <f t="shared" si="54"/>
        <v>110.40817903790312</v>
      </c>
      <c r="G3686" s="408">
        <v>543.43799999999999</v>
      </c>
      <c r="H3686" s="243" t="s">
        <v>188</v>
      </c>
      <c r="I3686" s="243" t="s">
        <v>3611</v>
      </c>
      <c r="J3686" s="243" t="s">
        <v>96</v>
      </c>
      <c r="K3686" s="243" t="s">
        <v>1906</v>
      </c>
      <c r="L3686" s="243" t="s">
        <v>153</v>
      </c>
    </row>
    <row r="3687" spans="1:12" ht="15.6" hidden="1">
      <c r="A3687" s="438">
        <v>45958</v>
      </c>
      <c r="B3687" s="243" t="s">
        <v>3643</v>
      </c>
      <c r="C3687" s="243" t="s">
        <v>175</v>
      </c>
      <c r="D3687" s="243" t="s">
        <v>115</v>
      </c>
      <c r="E3687" s="463">
        <v>60000</v>
      </c>
      <c r="F3687" s="407">
        <f t="shared" si="54"/>
        <v>110.40817903790312</v>
      </c>
      <c r="G3687" s="408">
        <v>543.43799999999999</v>
      </c>
      <c r="H3687" s="243" t="s">
        <v>191</v>
      </c>
      <c r="I3687" s="243" t="s">
        <v>3680</v>
      </c>
      <c r="J3687" s="243" t="s">
        <v>96</v>
      </c>
      <c r="K3687" s="243" t="s">
        <v>1906</v>
      </c>
      <c r="L3687" s="243" t="s">
        <v>153</v>
      </c>
    </row>
    <row r="3688" spans="1:12" ht="15.6" hidden="1">
      <c r="A3688" s="438">
        <v>45958</v>
      </c>
      <c r="B3688" s="243" t="s">
        <v>3644</v>
      </c>
      <c r="C3688" s="243" t="s">
        <v>175</v>
      </c>
      <c r="D3688" s="243" t="s">
        <v>115</v>
      </c>
      <c r="E3688" s="457">
        <v>3000</v>
      </c>
      <c r="F3688" s="407">
        <f t="shared" ref="F3688:F3719" si="55">E3688/G3688</f>
        <v>5.5204089518951562</v>
      </c>
      <c r="G3688" s="408">
        <v>543.43799999999999</v>
      </c>
      <c r="H3688" s="243" t="s">
        <v>191</v>
      </c>
      <c r="I3688" s="243" t="s">
        <v>3681</v>
      </c>
      <c r="J3688" s="243" t="s">
        <v>96</v>
      </c>
      <c r="K3688" s="243" t="s">
        <v>1906</v>
      </c>
      <c r="L3688" s="243" t="s">
        <v>153</v>
      </c>
    </row>
    <row r="3689" spans="1:12" ht="15.6" hidden="1">
      <c r="A3689" s="438">
        <v>45958</v>
      </c>
      <c r="B3689" s="243" t="s">
        <v>3645</v>
      </c>
      <c r="C3689" s="243" t="s">
        <v>172</v>
      </c>
      <c r="D3689" s="243" t="s">
        <v>115</v>
      </c>
      <c r="E3689" s="457">
        <v>1000</v>
      </c>
      <c r="F3689" s="407">
        <f t="shared" si="55"/>
        <v>1.8401363172983856</v>
      </c>
      <c r="G3689" s="408">
        <v>543.43799999999999</v>
      </c>
      <c r="H3689" s="243" t="s">
        <v>191</v>
      </c>
      <c r="I3689" s="243" t="s">
        <v>3665</v>
      </c>
      <c r="J3689" s="243" t="s">
        <v>96</v>
      </c>
      <c r="K3689" s="243" t="s">
        <v>1906</v>
      </c>
      <c r="L3689" s="243" t="s">
        <v>153</v>
      </c>
    </row>
    <row r="3690" spans="1:12" ht="15.6" hidden="1">
      <c r="A3690" s="438">
        <v>45958</v>
      </c>
      <c r="B3690" s="243" t="s">
        <v>3646</v>
      </c>
      <c r="C3690" s="243" t="s">
        <v>172</v>
      </c>
      <c r="D3690" s="243" t="s">
        <v>115</v>
      </c>
      <c r="E3690" s="457">
        <v>1000</v>
      </c>
      <c r="F3690" s="407">
        <f t="shared" si="55"/>
        <v>1.8401363172983856</v>
      </c>
      <c r="G3690" s="408">
        <v>543.43799999999999</v>
      </c>
      <c r="H3690" s="243" t="s">
        <v>191</v>
      </c>
      <c r="I3690" s="243" t="s">
        <v>3665</v>
      </c>
      <c r="J3690" s="243" t="s">
        <v>96</v>
      </c>
      <c r="K3690" s="243" t="s">
        <v>1906</v>
      </c>
      <c r="L3690" s="243" t="s">
        <v>153</v>
      </c>
    </row>
    <row r="3691" spans="1:12" ht="15.6" hidden="1">
      <c r="A3691" s="438">
        <v>45958</v>
      </c>
      <c r="B3691" s="243" t="s">
        <v>3647</v>
      </c>
      <c r="C3691" s="243" t="s">
        <v>172</v>
      </c>
      <c r="D3691" s="243" t="s">
        <v>115</v>
      </c>
      <c r="E3691" s="457">
        <v>500</v>
      </c>
      <c r="F3691" s="407">
        <f t="shared" si="55"/>
        <v>0.92006815864919278</v>
      </c>
      <c r="G3691" s="408">
        <v>543.43799999999999</v>
      </c>
      <c r="H3691" s="243" t="s">
        <v>191</v>
      </c>
      <c r="I3691" s="243" t="s">
        <v>3665</v>
      </c>
      <c r="J3691" s="243" t="s">
        <v>96</v>
      </c>
      <c r="K3691" s="243" t="s">
        <v>1906</v>
      </c>
      <c r="L3691" s="243" t="s">
        <v>153</v>
      </c>
    </row>
    <row r="3692" spans="1:12" ht="15.6" hidden="1">
      <c r="A3692" s="438">
        <v>45958</v>
      </c>
      <c r="B3692" s="243" t="s">
        <v>3648</v>
      </c>
      <c r="C3692" s="243" t="s">
        <v>3317</v>
      </c>
      <c r="D3692" s="243" t="s">
        <v>115</v>
      </c>
      <c r="E3692" s="457">
        <v>1500</v>
      </c>
      <c r="F3692" s="407">
        <f t="shared" si="55"/>
        <v>2.7602044759475781</v>
      </c>
      <c r="G3692" s="408">
        <v>543.43799999999999</v>
      </c>
      <c r="H3692" s="243" t="s">
        <v>191</v>
      </c>
      <c r="I3692" s="243" t="s">
        <v>3682</v>
      </c>
      <c r="J3692" s="243" t="s">
        <v>96</v>
      </c>
      <c r="K3692" s="243" t="s">
        <v>1906</v>
      </c>
      <c r="L3692" s="243" t="s">
        <v>153</v>
      </c>
    </row>
    <row r="3693" spans="1:12" ht="15.6" hidden="1">
      <c r="A3693" s="438">
        <v>45958</v>
      </c>
      <c r="B3693" s="461" t="s">
        <v>3892</v>
      </c>
      <c r="C3693" s="439" t="s">
        <v>172</v>
      </c>
      <c r="D3693" s="461" t="s">
        <v>118</v>
      </c>
      <c r="E3693" s="464">
        <v>1000</v>
      </c>
      <c r="F3693" s="407">
        <f t="shared" si="55"/>
        <v>1.8401363172983856</v>
      </c>
      <c r="G3693" s="408">
        <v>543.43799999999999</v>
      </c>
      <c r="H3693" s="461" t="s">
        <v>211</v>
      </c>
      <c r="I3693" s="461" t="s">
        <v>3910</v>
      </c>
      <c r="J3693" s="243" t="s">
        <v>96</v>
      </c>
      <c r="K3693" s="243" t="s">
        <v>1906</v>
      </c>
      <c r="L3693" s="243" t="s">
        <v>153</v>
      </c>
    </row>
    <row r="3694" spans="1:12" ht="15.6" hidden="1">
      <c r="A3694" s="438">
        <v>45958</v>
      </c>
      <c r="B3694" s="461" t="s">
        <v>3893</v>
      </c>
      <c r="C3694" s="439" t="s">
        <v>172</v>
      </c>
      <c r="D3694" s="461" t="s">
        <v>118</v>
      </c>
      <c r="E3694" s="464">
        <v>1000</v>
      </c>
      <c r="F3694" s="407">
        <f t="shared" si="55"/>
        <v>1.8401363172983856</v>
      </c>
      <c r="G3694" s="408">
        <v>543.43799999999999</v>
      </c>
      <c r="H3694" s="461" t="s">
        <v>211</v>
      </c>
      <c r="I3694" s="461" t="s">
        <v>3910</v>
      </c>
      <c r="J3694" s="243" t="s">
        <v>96</v>
      </c>
      <c r="K3694" s="243" t="s">
        <v>1906</v>
      </c>
      <c r="L3694" s="243" t="s">
        <v>153</v>
      </c>
    </row>
    <row r="3695" spans="1:12" ht="15.6" hidden="1">
      <c r="A3695" s="438">
        <v>45958</v>
      </c>
      <c r="B3695" s="461" t="s">
        <v>3894</v>
      </c>
      <c r="C3695" s="439" t="s">
        <v>175</v>
      </c>
      <c r="D3695" s="461" t="s">
        <v>118</v>
      </c>
      <c r="E3695" s="464">
        <v>9800</v>
      </c>
      <c r="F3695" s="407">
        <f t="shared" si="55"/>
        <v>18.03333590952418</v>
      </c>
      <c r="G3695" s="408">
        <v>543.43799999999999</v>
      </c>
      <c r="H3695" s="461" t="s">
        <v>211</v>
      </c>
      <c r="I3695" s="461" t="s">
        <v>3933</v>
      </c>
      <c r="J3695" s="243" t="s">
        <v>96</v>
      </c>
      <c r="K3695" s="243" t="s">
        <v>1906</v>
      </c>
      <c r="L3695" s="243" t="s">
        <v>153</v>
      </c>
    </row>
    <row r="3696" spans="1:12" ht="15.6" hidden="1">
      <c r="A3696" s="438">
        <v>45958</v>
      </c>
      <c r="B3696" s="461" t="s">
        <v>3895</v>
      </c>
      <c r="C3696" s="439" t="s">
        <v>172</v>
      </c>
      <c r="D3696" s="461" t="s">
        <v>2417</v>
      </c>
      <c r="E3696" s="464">
        <v>11000</v>
      </c>
      <c r="F3696" s="407">
        <f t="shared" si="55"/>
        <v>20.241499490282241</v>
      </c>
      <c r="G3696" s="408">
        <v>543.43799999999999</v>
      </c>
      <c r="H3696" s="461" t="s">
        <v>211</v>
      </c>
      <c r="I3696" s="461" t="s">
        <v>3934</v>
      </c>
      <c r="J3696" s="243" t="s">
        <v>96</v>
      </c>
      <c r="K3696" s="243" t="s">
        <v>1906</v>
      </c>
      <c r="L3696" s="243" t="s">
        <v>153</v>
      </c>
    </row>
    <row r="3697" spans="1:12" ht="15.6" hidden="1">
      <c r="A3697" s="438">
        <v>45958</v>
      </c>
      <c r="B3697" s="461" t="s">
        <v>3896</v>
      </c>
      <c r="C3697" s="439" t="s">
        <v>175</v>
      </c>
      <c r="D3697" s="461" t="s">
        <v>118</v>
      </c>
      <c r="E3697" s="464">
        <v>60000</v>
      </c>
      <c r="F3697" s="407">
        <f t="shared" si="55"/>
        <v>110.40817903790312</v>
      </c>
      <c r="G3697" s="408">
        <v>543.43799999999999</v>
      </c>
      <c r="H3697" s="461" t="s">
        <v>211</v>
      </c>
      <c r="I3697" s="461" t="s">
        <v>3935</v>
      </c>
      <c r="J3697" s="243" t="s">
        <v>96</v>
      </c>
      <c r="K3697" s="243" t="s">
        <v>1906</v>
      </c>
      <c r="L3697" s="243" t="s">
        <v>153</v>
      </c>
    </row>
    <row r="3698" spans="1:12" ht="15.6" hidden="1">
      <c r="A3698" s="438">
        <v>45958</v>
      </c>
      <c r="B3698" s="461" t="s">
        <v>3897</v>
      </c>
      <c r="C3698" s="439" t="s">
        <v>172</v>
      </c>
      <c r="D3698" s="461" t="s">
        <v>118</v>
      </c>
      <c r="E3698" s="464">
        <v>500</v>
      </c>
      <c r="F3698" s="407">
        <f t="shared" si="55"/>
        <v>0.92006815864919278</v>
      </c>
      <c r="G3698" s="408">
        <v>543.43799999999999</v>
      </c>
      <c r="H3698" s="461" t="s">
        <v>211</v>
      </c>
      <c r="I3698" s="461" t="s">
        <v>3910</v>
      </c>
      <c r="J3698" s="243" t="s">
        <v>96</v>
      </c>
      <c r="K3698" s="243" t="s">
        <v>1906</v>
      </c>
      <c r="L3698" s="243" t="s">
        <v>153</v>
      </c>
    </row>
    <row r="3699" spans="1:12" ht="15.6" hidden="1">
      <c r="A3699" s="438">
        <v>45958</v>
      </c>
      <c r="B3699" s="423" t="s">
        <v>3987</v>
      </c>
      <c r="C3699" s="423" t="s">
        <v>172</v>
      </c>
      <c r="D3699" s="423" t="s">
        <v>115</v>
      </c>
      <c r="E3699" s="471">
        <v>300</v>
      </c>
      <c r="F3699" s="407">
        <f t="shared" si="55"/>
        <v>0.5520408951895156</v>
      </c>
      <c r="G3699" s="408">
        <v>543.43799999999999</v>
      </c>
      <c r="H3699" s="423" t="s">
        <v>185</v>
      </c>
      <c r="I3699" s="423" t="s">
        <v>4008</v>
      </c>
      <c r="J3699" s="243" t="s">
        <v>96</v>
      </c>
      <c r="K3699" s="243" t="s">
        <v>1906</v>
      </c>
      <c r="L3699" s="243" t="s">
        <v>153</v>
      </c>
    </row>
    <row r="3700" spans="1:12" ht="15.6" hidden="1">
      <c r="A3700" s="438">
        <v>45958</v>
      </c>
      <c r="B3700" s="423" t="s">
        <v>3988</v>
      </c>
      <c r="C3700" s="423" t="s">
        <v>172</v>
      </c>
      <c r="D3700" s="423" t="s">
        <v>115</v>
      </c>
      <c r="E3700" s="471">
        <v>500</v>
      </c>
      <c r="F3700" s="407">
        <f t="shared" si="55"/>
        <v>0.92006815864919278</v>
      </c>
      <c r="G3700" s="408">
        <v>543.43799999999999</v>
      </c>
      <c r="H3700" s="423" t="s">
        <v>185</v>
      </c>
      <c r="I3700" s="423" t="s">
        <v>4008</v>
      </c>
      <c r="J3700" s="243" t="s">
        <v>96</v>
      </c>
      <c r="K3700" s="243" t="s">
        <v>1906</v>
      </c>
      <c r="L3700" s="243" t="s">
        <v>153</v>
      </c>
    </row>
    <row r="3701" spans="1:12" ht="15.6" hidden="1">
      <c r="A3701" s="438">
        <v>45959</v>
      </c>
      <c r="B3701" s="239" t="s">
        <v>3258</v>
      </c>
      <c r="C3701" s="239" t="s">
        <v>2394</v>
      </c>
      <c r="D3701" s="453" t="s">
        <v>117</v>
      </c>
      <c r="E3701" s="458">
        <v>60000</v>
      </c>
      <c r="F3701" s="407">
        <f t="shared" si="55"/>
        <v>110.40817903790312</v>
      </c>
      <c r="G3701" s="408">
        <v>543.43799999999999</v>
      </c>
      <c r="H3701" s="454" t="s">
        <v>151</v>
      </c>
      <c r="I3701" s="239" t="s">
        <v>3279</v>
      </c>
      <c r="J3701" s="243" t="s">
        <v>96</v>
      </c>
      <c r="K3701" s="243" t="s">
        <v>1906</v>
      </c>
      <c r="L3701" s="243" t="s">
        <v>153</v>
      </c>
    </row>
    <row r="3702" spans="1:12" ht="15.6" hidden="1">
      <c r="A3702" s="438">
        <v>45959</v>
      </c>
      <c r="B3702" s="239" t="s">
        <v>3259</v>
      </c>
      <c r="C3702" s="239" t="s">
        <v>172</v>
      </c>
      <c r="D3702" s="453" t="s">
        <v>117</v>
      </c>
      <c r="E3702" s="458">
        <v>1000</v>
      </c>
      <c r="F3702" s="407">
        <f t="shared" si="55"/>
        <v>1.8401363172983856</v>
      </c>
      <c r="G3702" s="408">
        <v>543.43799999999999</v>
      </c>
      <c r="H3702" s="454" t="s">
        <v>151</v>
      </c>
      <c r="I3702" s="239" t="s">
        <v>3264</v>
      </c>
      <c r="J3702" s="243" t="s">
        <v>96</v>
      </c>
      <c r="K3702" s="243" t="s">
        <v>1906</v>
      </c>
      <c r="L3702" s="243" t="s">
        <v>153</v>
      </c>
    </row>
    <row r="3703" spans="1:12" ht="15.6" hidden="1">
      <c r="A3703" s="438">
        <v>45959</v>
      </c>
      <c r="B3703" s="239" t="s">
        <v>2106</v>
      </c>
      <c r="C3703" s="239" t="s">
        <v>172</v>
      </c>
      <c r="D3703" s="453" t="s">
        <v>117</v>
      </c>
      <c r="E3703" s="458">
        <v>1000</v>
      </c>
      <c r="F3703" s="407">
        <f t="shared" si="55"/>
        <v>1.8401363172983856</v>
      </c>
      <c r="G3703" s="408">
        <v>543.43799999999999</v>
      </c>
      <c r="H3703" s="454" t="s">
        <v>151</v>
      </c>
      <c r="I3703" s="239" t="s">
        <v>3264</v>
      </c>
      <c r="J3703" s="243" t="s">
        <v>96</v>
      </c>
      <c r="K3703" s="243" t="s">
        <v>1906</v>
      </c>
      <c r="L3703" s="243" t="s">
        <v>153</v>
      </c>
    </row>
    <row r="3704" spans="1:12" ht="15.6" hidden="1">
      <c r="A3704" s="438">
        <v>45959</v>
      </c>
      <c r="B3704" s="239" t="s">
        <v>2104</v>
      </c>
      <c r="C3704" s="239" t="s">
        <v>172</v>
      </c>
      <c r="D3704" s="453" t="s">
        <v>117</v>
      </c>
      <c r="E3704" s="458">
        <v>1000</v>
      </c>
      <c r="F3704" s="407">
        <f t="shared" si="55"/>
        <v>1.8401363172983856</v>
      </c>
      <c r="G3704" s="408">
        <v>543.43799999999999</v>
      </c>
      <c r="H3704" s="454" t="s">
        <v>151</v>
      </c>
      <c r="I3704" s="239" t="s">
        <v>3264</v>
      </c>
      <c r="J3704" s="243" t="s">
        <v>96</v>
      </c>
      <c r="K3704" s="243" t="s">
        <v>1906</v>
      </c>
      <c r="L3704" s="243" t="s">
        <v>153</v>
      </c>
    </row>
    <row r="3705" spans="1:12" ht="15.6" hidden="1">
      <c r="A3705" s="438">
        <v>45959</v>
      </c>
      <c r="B3705" s="329" t="s">
        <v>2421</v>
      </c>
      <c r="C3705" s="329" t="s">
        <v>172</v>
      </c>
      <c r="D3705" s="329" t="s">
        <v>115</v>
      </c>
      <c r="E3705" s="451">
        <v>500</v>
      </c>
      <c r="F3705" s="407">
        <f t="shared" si="55"/>
        <v>0.92006815864919278</v>
      </c>
      <c r="G3705" s="408">
        <v>543.43799999999999</v>
      </c>
      <c r="H3705" s="329" t="s">
        <v>198</v>
      </c>
      <c r="I3705" s="329" t="s">
        <v>3349</v>
      </c>
      <c r="J3705" s="243" t="s">
        <v>96</v>
      </c>
      <c r="K3705" s="243" t="s">
        <v>1906</v>
      </c>
      <c r="L3705" s="243" t="s">
        <v>153</v>
      </c>
    </row>
    <row r="3706" spans="1:12" ht="15.6" hidden="1">
      <c r="A3706" s="438">
        <v>45959</v>
      </c>
      <c r="B3706" s="243" t="s">
        <v>3410</v>
      </c>
      <c r="C3706" s="423" t="s">
        <v>172</v>
      </c>
      <c r="D3706" s="423" t="s">
        <v>116</v>
      </c>
      <c r="E3706" s="464">
        <v>500</v>
      </c>
      <c r="F3706" s="407">
        <f t="shared" si="55"/>
        <v>0.92006815864919278</v>
      </c>
      <c r="G3706" s="408">
        <v>543.43799999999999</v>
      </c>
      <c r="H3706" s="423" t="s">
        <v>581</v>
      </c>
      <c r="I3706" s="423" t="s">
        <v>3419</v>
      </c>
      <c r="J3706" s="243" t="s">
        <v>96</v>
      </c>
      <c r="K3706" s="243" t="s">
        <v>1906</v>
      </c>
      <c r="L3706" s="243" t="s">
        <v>153</v>
      </c>
    </row>
    <row r="3707" spans="1:12" ht="15.6" hidden="1">
      <c r="A3707" s="438">
        <v>45959</v>
      </c>
      <c r="B3707" s="243" t="s">
        <v>2717</v>
      </c>
      <c r="C3707" s="423" t="s">
        <v>172</v>
      </c>
      <c r="D3707" s="423" t="s">
        <v>116</v>
      </c>
      <c r="E3707" s="464">
        <v>500</v>
      </c>
      <c r="F3707" s="407">
        <f t="shared" si="55"/>
        <v>0.92006815864919278</v>
      </c>
      <c r="G3707" s="408">
        <v>543.43799999999999</v>
      </c>
      <c r="H3707" s="423" t="s">
        <v>581</v>
      </c>
      <c r="I3707" s="423" t="s">
        <v>3419</v>
      </c>
      <c r="J3707" s="243" t="s">
        <v>96</v>
      </c>
      <c r="K3707" s="243" t="s">
        <v>1906</v>
      </c>
      <c r="L3707" s="243" t="s">
        <v>153</v>
      </c>
    </row>
    <row r="3708" spans="1:12" ht="15.6" hidden="1">
      <c r="A3708" s="438">
        <v>45959</v>
      </c>
      <c r="B3708" s="423" t="s">
        <v>3411</v>
      </c>
      <c r="C3708" s="423" t="s">
        <v>180</v>
      </c>
      <c r="D3708" s="423" t="s">
        <v>116</v>
      </c>
      <c r="E3708" s="464">
        <v>11200</v>
      </c>
      <c r="F3708" s="407">
        <f t="shared" si="55"/>
        <v>20.609526753741918</v>
      </c>
      <c r="G3708" s="408">
        <v>543.43799999999999</v>
      </c>
      <c r="H3708" s="423" t="s">
        <v>581</v>
      </c>
      <c r="I3708" s="456" t="s">
        <v>3435</v>
      </c>
      <c r="J3708" s="243" t="s">
        <v>96</v>
      </c>
      <c r="K3708" s="243" t="s">
        <v>1906</v>
      </c>
      <c r="L3708" s="243" t="s">
        <v>153</v>
      </c>
    </row>
    <row r="3709" spans="1:12" ht="15.6" hidden="1">
      <c r="A3709" s="438">
        <v>45959</v>
      </c>
      <c r="B3709" s="331" t="s">
        <v>4759</v>
      </c>
      <c r="C3709" s="331" t="s">
        <v>175</v>
      </c>
      <c r="D3709" s="331" t="s">
        <v>119</v>
      </c>
      <c r="E3709" s="459">
        <v>40000</v>
      </c>
      <c r="F3709" s="407">
        <f t="shared" si="55"/>
        <v>73.605452691935426</v>
      </c>
      <c r="G3709" s="408">
        <v>543.43799999999999</v>
      </c>
      <c r="H3709" s="331" t="s">
        <v>182</v>
      </c>
      <c r="I3709" s="331" t="s">
        <v>3470</v>
      </c>
      <c r="J3709" s="243" t="s">
        <v>96</v>
      </c>
      <c r="K3709" s="243" t="s">
        <v>1906</v>
      </c>
      <c r="L3709" s="243" t="s">
        <v>153</v>
      </c>
    </row>
    <row r="3710" spans="1:12" ht="15.6" hidden="1">
      <c r="A3710" s="438">
        <v>45959</v>
      </c>
      <c r="B3710" s="331" t="s">
        <v>4759</v>
      </c>
      <c r="C3710" s="331" t="s">
        <v>175</v>
      </c>
      <c r="D3710" s="331" t="s">
        <v>119</v>
      </c>
      <c r="E3710" s="459">
        <v>40000</v>
      </c>
      <c r="F3710" s="407">
        <f t="shared" si="55"/>
        <v>73.605452691935426</v>
      </c>
      <c r="G3710" s="408">
        <v>543.43799999999999</v>
      </c>
      <c r="H3710" s="331" t="s">
        <v>182</v>
      </c>
      <c r="I3710" s="331" t="s">
        <v>3471</v>
      </c>
      <c r="J3710" s="243" t="s">
        <v>96</v>
      </c>
      <c r="K3710" s="243" t="s">
        <v>1906</v>
      </c>
      <c r="L3710" s="243" t="s">
        <v>153</v>
      </c>
    </row>
    <row r="3711" spans="1:12" ht="15.6" hidden="1">
      <c r="A3711" s="438">
        <v>45959</v>
      </c>
      <c r="B3711" s="331" t="s">
        <v>4917</v>
      </c>
      <c r="C3711" s="331" t="s">
        <v>172</v>
      </c>
      <c r="D3711" s="331" t="s">
        <v>119</v>
      </c>
      <c r="E3711" s="459">
        <v>1000</v>
      </c>
      <c r="F3711" s="407">
        <f t="shared" si="55"/>
        <v>1.8401363172983856</v>
      </c>
      <c r="G3711" s="408">
        <v>543.43799999999999</v>
      </c>
      <c r="H3711" s="331" t="s">
        <v>182</v>
      </c>
      <c r="I3711" s="331" t="s">
        <v>3447</v>
      </c>
      <c r="J3711" s="243" t="s">
        <v>96</v>
      </c>
      <c r="K3711" s="243" t="s">
        <v>1906</v>
      </c>
      <c r="L3711" s="243" t="s">
        <v>153</v>
      </c>
    </row>
    <row r="3712" spans="1:12" ht="15.6" hidden="1">
      <c r="A3712" s="438">
        <v>45959</v>
      </c>
      <c r="B3712" s="331" t="s">
        <v>4917</v>
      </c>
      <c r="C3712" s="331" t="s">
        <v>172</v>
      </c>
      <c r="D3712" s="331" t="s">
        <v>119</v>
      </c>
      <c r="E3712" s="459">
        <v>1000</v>
      </c>
      <c r="F3712" s="407">
        <f t="shared" si="55"/>
        <v>1.8401363172983856</v>
      </c>
      <c r="G3712" s="408">
        <v>543.43799999999999</v>
      </c>
      <c r="H3712" s="331" t="s">
        <v>182</v>
      </c>
      <c r="I3712" s="331" t="s">
        <v>3447</v>
      </c>
      <c r="J3712" s="243" t="s">
        <v>96</v>
      </c>
      <c r="K3712" s="243" t="s">
        <v>1906</v>
      </c>
      <c r="L3712" s="243" t="s">
        <v>153</v>
      </c>
    </row>
    <row r="3713" spans="1:12" ht="15.6" hidden="1">
      <c r="A3713" s="438">
        <v>45959</v>
      </c>
      <c r="B3713" s="331" t="s">
        <v>4917</v>
      </c>
      <c r="C3713" s="331" t="s">
        <v>172</v>
      </c>
      <c r="D3713" s="331" t="s">
        <v>119</v>
      </c>
      <c r="E3713" s="459">
        <v>1000</v>
      </c>
      <c r="F3713" s="407">
        <f t="shared" si="55"/>
        <v>1.8401363172983856</v>
      </c>
      <c r="G3713" s="408">
        <v>543.43799999999999</v>
      </c>
      <c r="H3713" s="331" t="s">
        <v>182</v>
      </c>
      <c r="I3713" s="331" t="s">
        <v>3447</v>
      </c>
      <c r="J3713" s="243" t="s">
        <v>96</v>
      </c>
      <c r="K3713" s="243" t="s">
        <v>1906</v>
      </c>
      <c r="L3713" s="243" t="s">
        <v>153</v>
      </c>
    </row>
    <row r="3714" spans="1:12" ht="15.6" hidden="1">
      <c r="A3714" s="438">
        <v>45959</v>
      </c>
      <c r="B3714" s="331" t="s">
        <v>4917</v>
      </c>
      <c r="C3714" s="331" t="s">
        <v>172</v>
      </c>
      <c r="D3714" s="331" t="s">
        <v>119</v>
      </c>
      <c r="E3714" s="459">
        <v>1000</v>
      </c>
      <c r="F3714" s="407">
        <f t="shared" si="55"/>
        <v>1.8401363172983856</v>
      </c>
      <c r="G3714" s="408">
        <v>543.43799999999999</v>
      </c>
      <c r="H3714" s="331" t="s">
        <v>182</v>
      </c>
      <c r="I3714" s="331" t="s">
        <v>3447</v>
      </c>
      <c r="J3714" s="243" t="s">
        <v>96</v>
      </c>
      <c r="K3714" s="243" t="s">
        <v>1906</v>
      </c>
      <c r="L3714" s="243" t="s">
        <v>153</v>
      </c>
    </row>
    <row r="3715" spans="1:12" ht="15.6" hidden="1">
      <c r="A3715" s="438">
        <v>45959</v>
      </c>
      <c r="B3715" s="331" t="s">
        <v>4917</v>
      </c>
      <c r="C3715" s="331" t="s">
        <v>172</v>
      </c>
      <c r="D3715" s="331" t="s">
        <v>119</v>
      </c>
      <c r="E3715" s="459">
        <v>1500</v>
      </c>
      <c r="F3715" s="407">
        <f t="shared" si="55"/>
        <v>2.7602044759475781</v>
      </c>
      <c r="G3715" s="408">
        <v>543.43799999999999</v>
      </c>
      <c r="H3715" s="331" t="s">
        <v>182</v>
      </c>
      <c r="I3715" s="331" t="s">
        <v>3447</v>
      </c>
      <c r="J3715" s="243" t="s">
        <v>96</v>
      </c>
      <c r="K3715" s="243" t="s">
        <v>1906</v>
      </c>
      <c r="L3715" s="243" t="s">
        <v>153</v>
      </c>
    </row>
    <row r="3716" spans="1:12" ht="15.6" hidden="1">
      <c r="A3716" s="438">
        <v>45959</v>
      </c>
      <c r="B3716" s="331" t="s">
        <v>4917</v>
      </c>
      <c r="C3716" s="331" t="s">
        <v>172</v>
      </c>
      <c r="D3716" s="331" t="s">
        <v>119</v>
      </c>
      <c r="E3716" s="459">
        <v>1500</v>
      </c>
      <c r="F3716" s="407">
        <f t="shared" si="55"/>
        <v>2.7602044759475781</v>
      </c>
      <c r="G3716" s="408">
        <v>543.43799999999999</v>
      </c>
      <c r="H3716" s="331" t="s">
        <v>182</v>
      </c>
      <c r="I3716" s="331" t="s">
        <v>3447</v>
      </c>
      <c r="J3716" s="243" t="s">
        <v>96</v>
      </c>
      <c r="K3716" s="243" t="s">
        <v>1906</v>
      </c>
      <c r="L3716" s="243" t="s">
        <v>153</v>
      </c>
    </row>
    <row r="3717" spans="1:12" ht="15.6" hidden="1">
      <c r="A3717" s="438">
        <v>45959</v>
      </c>
      <c r="B3717" s="331" t="s">
        <v>2932</v>
      </c>
      <c r="C3717" s="331" t="s">
        <v>366</v>
      </c>
      <c r="D3717" s="331" t="s">
        <v>119</v>
      </c>
      <c r="E3717" s="459">
        <v>2000</v>
      </c>
      <c r="F3717" s="407">
        <f t="shared" si="55"/>
        <v>3.6802726345967711</v>
      </c>
      <c r="G3717" s="408">
        <v>543.43799999999999</v>
      </c>
      <c r="H3717" s="331" t="s">
        <v>182</v>
      </c>
      <c r="I3717" s="331" t="s">
        <v>3456</v>
      </c>
      <c r="J3717" s="243" t="s">
        <v>96</v>
      </c>
      <c r="K3717" s="243" t="s">
        <v>1906</v>
      </c>
      <c r="L3717" s="243" t="s">
        <v>153</v>
      </c>
    </row>
    <row r="3718" spans="1:12" ht="15.6" hidden="1">
      <c r="A3718" s="438">
        <v>45959</v>
      </c>
      <c r="B3718" s="423" t="s">
        <v>4876</v>
      </c>
      <c r="C3718" s="423" t="s">
        <v>1011</v>
      </c>
      <c r="D3718" s="423" t="s">
        <v>119</v>
      </c>
      <c r="E3718" s="471">
        <v>1000</v>
      </c>
      <c r="F3718" s="407">
        <f t="shared" si="55"/>
        <v>1.8401363172983856</v>
      </c>
      <c r="G3718" s="408">
        <v>543.43799999999999</v>
      </c>
      <c r="H3718" s="423" t="s">
        <v>173</v>
      </c>
      <c r="I3718" s="423" t="s">
        <v>3484</v>
      </c>
      <c r="J3718" s="243" t="s">
        <v>96</v>
      </c>
      <c r="K3718" s="243" t="s">
        <v>1906</v>
      </c>
      <c r="L3718" s="243" t="s">
        <v>153</v>
      </c>
    </row>
    <row r="3719" spans="1:12" ht="15.6" hidden="1">
      <c r="A3719" s="438">
        <v>45959</v>
      </c>
      <c r="B3719" s="423" t="s">
        <v>4876</v>
      </c>
      <c r="C3719" s="423" t="s">
        <v>1011</v>
      </c>
      <c r="D3719" s="423" t="s">
        <v>119</v>
      </c>
      <c r="E3719" s="471">
        <v>1000</v>
      </c>
      <c r="F3719" s="407">
        <f t="shared" si="55"/>
        <v>1.8401363172983856</v>
      </c>
      <c r="G3719" s="408">
        <v>543.43799999999999</v>
      </c>
      <c r="H3719" s="423" t="s">
        <v>173</v>
      </c>
      <c r="I3719" s="423" t="s">
        <v>3484</v>
      </c>
      <c r="J3719" s="243" t="s">
        <v>96</v>
      </c>
      <c r="K3719" s="243" t="s">
        <v>1906</v>
      </c>
      <c r="L3719" s="243" t="s">
        <v>153</v>
      </c>
    </row>
    <row r="3720" spans="1:12" ht="15.6" hidden="1">
      <c r="A3720" s="438">
        <v>45959</v>
      </c>
      <c r="B3720" s="423" t="s">
        <v>4917</v>
      </c>
      <c r="C3720" s="423" t="s">
        <v>1011</v>
      </c>
      <c r="D3720" s="423" t="s">
        <v>119</v>
      </c>
      <c r="E3720" s="471">
        <v>1000</v>
      </c>
      <c r="F3720" s="407">
        <f t="shared" ref="F3720:F3751" si="56">E3720/G3720</f>
        <v>1.8401363172983856</v>
      </c>
      <c r="G3720" s="408">
        <v>543.43799999999999</v>
      </c>
      <c r="H3720" s="423" t="s">
        <v>173</v>
      </c>
      <c r="I3720" s="423" t="s">
        <v>3484</v>
      </c>
      <c r="J3720" s="243" t="s">
        <v>96</v>
      </c>
      <c r="K3720" s="243" t="s">
        <v>1906</v>
      </c>
      <c r="L3720" s="243" t="s">
        <v>153</v>
      </c>
    </row>
    <row r="3721" spans="1:12" ht="15.6" hidden="1">
      <c r="A3721" s="438">
        <v>45959</v>
      </c>
      <c r="B3721" s="423" t="s">
        <v>4876</v>
      </c>
      <c r="C3721" s="423" t="s">
        <v>1011</v>
      </c>
      <c r="D3721" s="423" t="s">
        <v>119</v>
      </c>
      <c r="E3721" s="471">
        <v>1000</v>
      </c>
      <c r="F3721" s="407">
        <f t="shared" si="56"/>
        <v>1.8401363172983856</v>
      </c>
      <c r="G3721" s="408">
        <v>543.43799999999999</v>
      </c>
      <c r="H3721" s="423" t="s">
        <v>173</v>
      </c>
      <c r="I3721" s="423" t="s">
        <v>3484</v>
      </c>
      <c r="J3721" s="243" t="s">
        <v>96</v>
      </c>
      <c r="K3721" s="243" t="s">
        <v>1906</v>
      </c>
      <c r="L3721" s="243" t="s">
        <v>153</v>
      </c>
    </row>
    <row r="3722" spans="1:12" ht="15.6" hidden="1">
      <c r="A3722" s="438">
        <v>45959</v>
      </c>
      <c r="B3722" s="423" t="s">
        <v>4876</v>
      </c>
      <c r="C3722" s="423" t="s">
        <v>1011</v>
      </c>
      <c r="D3722" s="423" t="s">
        <v>119</v>
      </c>
      <c r="E3722" s="471">
        <v>1000</v>
      </c>
      <c r="F3722" s="407">
        <f t="shared" si="56"/>
        <v>1.8401363172983856</v>
      </c>
      <c r="G3722" s="408">
        <v>543.43799999999999</v>
      </c>
      <c r="H3722" s="423" t="s">
        <v>173</v>
      </c>
      <c r="I3722" s="423" t="s">
        <v>3484</v>
      </c>
      <c r="J3722" s="243" t="s">
        <v>96</v>
      </c>
      <c r="K3722" s="243" t="s">
        <v>1906</v>
      </c>
      <c r="L3722" s="243" t="s">
        <v>153</v>
      </c>
    </row>
    <row r="3723" spans="1:12" ht="15.6" hidden="1">
      <c r="A3723" s="438">
        <v>45959</v>
      </c>
      <c r="B3723" s="423" t="s">
        <v>3481</v>
      </c>
      <c r="C3723" s="423" t="s">
        <v>3482</v>
      </c>
      <c r="D3723" s="423" t="s">
        <v>119</v>
      </c>
      <c r="E3723" s="471">
        <v>2000</v>
      </c>
      <c r="F3723" s="407">
        <f t="shared" si="56"/>
        <v>3.6802726345967711</v>
      </c>
      <c r="G3723" s="408">
        <v>543.43799999999999</v>
      </c>
      <c r="H3723" s="423" t="s">
        <v>173</v>
      </c>
      <c r="I3723" s="423" t="s">
        <v>3485</v>
      </c>
      <c r="J3723" s="243" t="s">
        <v>96</v>
      </c>
      <c r="K3723" s="243" t="s">
        <v>1906</v>
      </c>
      <c r="L3723" s="243" t="s">
        <v>153</v>
      </c>
    </row>
    <row r="3724" spans="1:12" ht="15.6" hidden="1">
      <c r="A3724" s="438">
        <v>45959</v>
      </c>
      <c r="B3724" s="243" t="s">
        <v>4876</v>
      </c>
      <c r="C3724" s="243" t="s">
        <v>172</v>
      </c>
      <c r="D3724" s="243" t="s">
        <v>119</v>
      </c>
      <c r="E3724" s="460">
        <v>1000</v>
      </c>
      <c r="F3724" s="407">
        <f t="shared" si="56"/>
        <v>1.8401363172983856</v>
      </c>
      <c r="G3724" s="408">
        <v>543.43799999999999</v>
      </c>
      <c r="H3724" s="243" t="s">
        <v>315</v>
      </c>
      <c r="I3724" s="243" t="s">
        <v>3510</v>
      </c>
      <c r="J3724" s="243" t="s">
        <v>96</v>
      </c>
      <c r="K3724" s="243" t="s">
        <v>1906</v>
      </c>
      <c r="L3724" s="243" t="s">
        <v>153</v>
      </c>
    </row>
    <row r="3725" spans="1:12" ht="15.6" hidden="1">
      <c r="A3725" s="438">
        <v>45959</v>
      </c>
      <c r="B3725" s="243" t="s">
        <v>4876</v>
      </c>
      <c r="C3725" s="243" t="s">
        <v>172</v>
      </c>
      <c r="D3725" s="243" t="s">
        <v>119</v>
      </c>
      <c r="E3725" s="460">
        <v>1000</v>
      </c>
      <c r="F3725" s="407">
        <f t="shared" si="56"/>
        <v>1.8401363172983856</v>
      </c>
      <c r="G3725" s="408">
        <v>543.43799999999999</v>
      </c>
      <c r="H3725" s="243" t="s">
        <v>315</v>
      </c>
      <c r="I3725" s="243" t="s">
        <v>3510</v>
      </c>
      <c r="J3725" s="243" t="s">
        <v>96</v>
      </c>
      <c r="K3725" s="243" t="s">
        <v>1906</v>
      </c>
      <c r="L3725" s="243" t="s">
        <v>153</v>
      </c>
    </row>
    <row r="3726" spans="1:12" ht="15.6" hidden="1">
      <c r="A3726" s="438">
        <v>45959</v>
      </c>
      <c r="B3726" s="243" t="s">
        <v>4876</v>
      </c>
      <c r="C3726" s="243" t="s">
        <v>172</v>
      </c>
      <c r="D3726" s="243" t="s">
        <v>119</v>
      </c>
      <c r="E3726" s="460">
        <v>1000</v>
      </c>
      <c r="F3726" s="407">
        <f t="shared" si="56"/>
        <v>1.8401363172983856</v>
      </c>
      <c r="G3726" s="408">
        <v>543.43799999999999</v>
      </c>
      <c r="H3726" s="243" t="s">
        <v>315</v>
      </c>
      <c r="I3726" s="243" t="s">
        <v>3510</v>
      </c>
      <c r="J3726" s="243" t="s">
        <v>96</v>
      </c>
      <c r="K3726" s="243" t="s">
        <v>1906</v>
      </c>
      <c r="L3726" s="243" t="s">
        <v>153</v>
      </c>
    </row>
    <row r="3727" spans="1:12" ht="15.6" hidden="1">
      <c r="A3727" s="438">
        <v>45959</v>
      </c>
      <c r="B3727" s="243" t="s">
        <v>4876</v>
      </c>
      <c r="C3727" s="243" t="s">
        <v>172</v>
      </c>
      <c r="D3727" s="243" t="s">
        <v>119</v>
      </c>
      <c r="E3727" s="460">
        <v>1000</v>
      </c>
      <c r="F3727" s="407">
        <f t="shared" si="56"/>
        <v>1.8401363172983856</v>
      </c>
      <c r="G3727" s="408">
        <v>543.43799999999999</v>
      </c>
      <c r="H3727" s="243" t="s">
        <v>315</v>
      </c>
      <c r="I3727" s="243" t="s">
        <v>3510</v>
      </c>
      <c r="J3727" s="243" t="s">
        <v>96</v>
      </c>
      <c r="K3727" s="243" t="s">
        <v>1906</v>
      </c>
      <c r="L3727" s="243" t="s">
        <v>153</v>
      </c>
    </row>
    <row r="3728" spans="1:12" ht="15.6" hidden="1">
      <c r="A3728" s="438">
        <v>45959</v>
      </c>
      <c r="B3728" s="243" t="s">
        <v>4907</v>
      </c>
      <c r="C3728" s="243" t="s">
        <v>172</v>
      </c>
      <c r="D3728" s="243" t="s">
        <v>119</v>
      </c>
      <c r="E3728" s="457">
        <v>1000</v>
      </c>
      <c r="F3728" s="407">
        <f t="shared" si="56"/>
        <v>1.8401363172983856</v>
      </c>
      <c r="G3728" s="408">
        <v>543.43799999999999</v>
      </c>
      <c r="H3728" s="243" t="s">
        <v>321</v>
      </c>
      <c r="I3728" s="243" t="s">
        <v>3533</v>
      </c>
      <c r="J3728" s="243" t="s">
        <v>96</v>
      </c>
      <c r="K3728" s="243" t="s">
        <v>1906</v>
      </c>
      <c r="L3728" s="243" t="s">
        <v>153</v>
      </c>
    </row>
    <row r="3729" spans="1:12" ht="15.6" hidden="1">
      <c r="A3729" s="438">
        <v>45959</v>
      </c>
      <c r="B3729" s="243" t="s">
        <v>4907</v>
      </c>
      <c r="C3729" s="243" t="s">
        <v>172</v>
      </c>
      <c r="D3729" s="243" t="s">
        <v>119</v>
      </c>
      <c r="E3729" s="457">
        <v>1000</v>
      </c>
      <c r="F3729" s="407">
        <f t="shared" si="56"/>
        <v>1.8401363172983856</v>
      </c>
      <c r="G3729" s="408">
        <v>543.43799999999999</v>
      </c>
      <c r="H3729" s="243" t="s">
        <v>321</v>
      </c>
      <c r="I3729" s="243" t="s">
        <v>3533</v>
      </c>
      <c r="J3729" s="243" t="s">
        <v>96</v>
      </c>
      <c r="K3729" s="243" t="s">
        <v>1906</v>
      </c>
      <c r="L3729" s="243" t="s">
        <v>153</v>
      </c>
    </row>
    <row r="3730" spans="1:12" ht="15.6" hidden="1">
      <c r="A3730" s="438">
        <v>45959</v>
      </c>
      <c r="B3730" s="243" t="s">
        <v>4876</v>
      </c>
      <c r="C3730" s="243" t="s">
        <v>172</v>
      </c>
      <c r="D3730" s="243" t="s">
        <v>119</v>
      </c>
      <c r="E3730" s="457">
        <v>1000</v>
      </c>
      <c r="F3730" s="407">
        <f t="shared" si="56"/>
        <v>1.8401363172983856</v>
      </c>
      <c r="G3730" s="408">
        <v>543.43799999999999</v>
      </c>
      <c r="H3730" s="243" t="s">
        <v>321</v>
      </c>
      <c r="I3730" s="243" t="s">
        <v>3533</v>
      </c>
      <c r="J3730" s="243" t="s">
        <v>96</v>
      </c>
      <c r="K3730" s="243" t="s">
        <v>1906</v>
      </c>
      <c r="L3730" s="243" t="s">
        <v>153</v>
      </c>
    </row>
    <row r="3731" spans="1:12" ht="15.6" hidden="1">
      <c r="A3731" s="438">
        <v>45959</v>
      </c>
      <c r="B3731" s="243" t="s">
        <v>3584</v>
      </c>
      <c r="C3731" s="243" t="s">
        <v>172</v>
      </c>
      <c r="D3731" s="243" t="s">
        <v>115</v>
      </c>
      <c r="E3731" s="463">
        <v>500</v>
      </c>
      <c r="F3731" s="407">
        <f t="shared" si="56"/>
        <v>0.92006815864919278</v>
      </c>
      <c r="G3731" s="408">
        <v>543.43799999999999</v>
      </c>
      <c r="H3731" s="243" t="s">
        <v>188</v>
      </c>
      <c r="I3731" s="243" t="s">
        <v>3594</v>
      </c>
      <c r="J3731" s="243" t="s">
        <v>96</v>
      </c>
      <c r="K3731" s="243" t="s">
        <v>1906</v>
      </c>
      <c r="L3731" s="243" t="s">
        <v>153</v>
      </c>
    </row>
    <row r="3732" spans="1:12" ht="15.6" hidden="1">
      <c r="A3732" s="438">
        <v>45959</v>
      </c>
      <c r="B3732" s="243" t="s">
        <v>3588</v>
      </c>
      <c r="C3732" s="243" t="s">
        <v>172</v>
      </c>
      <c r="D3732" s="243" t="s">
        <v>115</v>
      </c>
      <c r="E3732" s="463">
        <v>1000</v>
      </c>
      <c r="F3732" s="407">
        <f t="shared" si="56"/>
        <v>1.8401363172983856</v>
      </c>
      <c r="G3732" s="408">
        <v>543.43799999999999</v>
      </c>
      <c r="H3732" s="243" t="s">
        <v>188</v>
      </c>
      <c r="I3732" s="243" t="s">
        <v>3594</v>
      </c>
      <c r="J3732" s="243" t="s">
        <v>96</v>
      </c>
      <c r="K3732" s="243" t="s">
        <v>1906</v>
      </c>
      <c r="L3732" s="243" t="s">
        <v>153</v>
      </c>
    </row>
    <row r="3733" spans="1:12" ht="15.6" hidden="1">
      <c r="A3733" s="438">
        <v>45959</v>
      </c>
      <c r="B3733" s="243" t="s">
        <v>3649</v>
      </c>
      <c r="C3733" s="243" t="s">
        <v>172</v>
      </c>
      <c r="D3733" s="243" t="s">
        <v>115</v>
      </c>
      <c r="E3733" s="457">
        <v>500</v>
      </c>
      <c r="F3733" s="407">
        <f t="shared" si="56"/>
        <v>0.92006815864919278</v>
      </c>
      <c r="G3733" s="408">
        <v>543.43799999999999</v>
      </c>
      <c r="H3733" s="243" t="s">
        <v>191</v>
      </c>
      <c r="I3733" s="243" t="s">
        <v>3665</v>
      </c>
      <c r="J3733" s="243" t="s">
        <v>96</v>
      </c>
      <c r="K3733" s="243" t="s">
        <v>1906</v>
      </c>
      <c r="L3733" s="243" t="s">
        <v>153</v>
      </c>
    </row>
    <row r="3734" spans="1:12" ht="15.6" hidden="1">
      <c r="A3734" s="438">
        <v>45959</v>
      </c>
      <c r="B3734" s="243" t="s">
        <v>3650</v>
      </c>
      <c r="C3734" s="243" t="s">
        <v>3317</v>
      </c>
      <c r="D3734" s="243" t="s">
        <v>115</v>
      </c>
      <c r="E3734" s="457">
        <v>1500</v>
      </c>
      <c r="F3734" s="407">
        <f t="shared" si="56"/>
        <v>2.7602044759475781</v>
      </c>
      <c r="G3734" s="408">
        <v>543.43799999999999</v>
      </c>
      <c r="H3734" s="243" t="s">
        <v>191</v>
      </c>
      <c r="I3734" s="243" t="s">
        <v>3682</v>
      </c>
      <c r="J3734" s="243" t="s">
        <v>96</v>
      </c>
      <c r="K3734" s="243" t="s">
        <v>1906</v>
      </c>
      <c r="L3734" s="243" t="s">
        <v>153</v>
      </c>
    </row>
    <row r="3735" spans="1:12" ht="15.6" hidden="1">
      <c r="A3735" s="438">
        <v>45959</v>
      </c>
      <c r="B3735" s="243" t="s">
        <v>3651</v>
      </c>
      <c r="C3735" s="243" t="s">
        <v>172</v>
      </c>
      <c r="D3735" s="243" t="s">
        <v>115</v>
      </c>
      <c r="E3735" s="457">
        <v>500</v>
      </c>
      <c r="F3735" s="407">
        <f t="shared" si="56"/>
        <v>0.92006815864919278</v>
      </c>
      <c r="G3735" s="408">
        <v>543.43799999999999</v>
      </c>
      <c r="H3735" s="243" t="s">
        <v>191</v>
      </c>
      <c r="I3735" s="243" t="s">
        <v>3665</v>
      </c>
      <c r="J3735" s="243" t="s">
        <v>96</v>
      </c>
      <c r="K3735" s="243" t="s">
        <v>1906</v>
      </c>
      <c r="L3735" s="243" t="s">
        <v>153</v>
      </c>
    </row>
    <row r="3736" spans="1:12" ht="15.6" hidden="1">
      <c r="A3736" s="438">
        <v>45959</v>
      </c>
      <c r="B3736" s="243" t="s">
        <v>3652</v>
      </c>
      <c r="C3736" s="243" t="s">
        <v>172</v>
      </c>
      <c r="D3736" s="243" t="s">
        <v>115</v>
      </c>
      <c r="E3736" s="457">
        <v>500</v>
      </c>
      <c r="F3736" s="407">
        <f t="shared" si="56"/>
        <v>0.92006815864919278</v>
      </c>
      <c r="G3736" s="408">
        <v>543.43799999999999</v>
      </c>
      <c r="H3736" s="243" t="s">
        <v>191</v>
      </c>
      <c r="I3736" s="243" t="s">
        <v>3665</v>
      </c>
      <c r="J3736" s="243" t="s">
        <v>96</v>
      </c>
      <c r="K3736" s="243" t="s">
        <v>1906</v>
      </c>
      <c r="L3736" s="243" t="s">
        <v>153</v>
      </c>
    </row>
    <row r="3737" spans="1:12" ht="15.6" hidden="1">
      <c r="A3737" s="438">
        <v>45959</v>
      </c>
      <c r="B3737" s="243" t="s">
        <v>3653</v>
      </c>
      <c r="C3737" s="243" t="s">
        <v>172</v>
      </c>
      <c r="D3737" s="243" t="s">
        <v>115</v>
      </c>
      <c r="E3737" s="457">
        <v>500</v>
      </c>
      <c r="F3737" s="407">
        <f t="shared" si="56"/>
        <v>0.92006815864919278</v>
      </c>
      <c r="G3737" s="408">
        <v>543.43799999999999</v>
      </c>
      <c r="H3737" s="243" t="s">
        <v>191</v>
      </c>
      <c r="I3737" s="243" t="s">
        <v>3665</v>
      </c>
      <c r="J3737" s="243" t="s">
        <v>96</v>
      </c>
      <c r="K3737" s="243" t="s">
        <v>1906</v>
      </c>
      <c r="L3737" s="243" t="s">
        <v>153</v>
      </c>
    </row>
    <row r="3738" spans="1:12" ht="15.6" hidden="1">
      <c r="A3738" s="438">
        <v>45959</v>
      </c>
      <c r="B3738" s="243" t="s">
        <v>3654</v>
      </c>
      <c r="C3738" s="243" t="s">
        <v>172</v>
      </c>
      <c r="D3738" s="243" t="s">
        <v>115</v>
      </c>
      <c r="E3738" s="457">
        <v>500</v>
      </c>
      <c r="F3738" s="407">
        <f t="shared" si="56"/>
        <v>0.92006815864919278</v>
      </c>
      <c r="G3738" s="408">
        <v>543.43799999999999</v>
      </c>
      <c r="H3738" s="243" t="s">
        <v>191</v>
      </c>
      <c r="I3738" s="243" t="s">
        <v>3665</v>
      </c>
      <c r="J3738" s="243" t="s">
        <v>96</v>
      </c>
      <c r="K3738" s="243" t="s">
        <v>1906</v>
      </c>
      <c r="L3738" s="243" t="s">
        <v>153</v>
      </c>
    </row>
    <row r="3739" spans="1:12" ht="15.6" hidden="1">
      <c r="A3739" s="438">
        <v>45959</v>
      </c>
      <c r="B3739" s="243" t="s">
        <v>3649</v>
      </c>
      <c r="C3739" s="243" t="s">
        <v>172</v>
      </c>
      <c r="D3739" s="243" t="s">
        <v>115</v>
      </c>
      <c r="E3739" s="457">
        <v>500</v>
      </c>
      <c r="F3739" s="407">
        <f t="shared" si="56"/>
        <v>0.92006815864919278</v>
      </c>
      <c r="G3739" s="408">
        <v>543.43799999999999</v>
      </c>
      <c r="H3739" s="243" t="s">
        <v>191</v>
      </c>
      <c r="I3739" s="243" t="s">
        <v>3665</v>
      </c>
      <c r="J3739" s="243" t="s">
        <v>96</v>
      </c>
      <c r="K3739" s="243" t="s">
        <v>1906</v>
      </c>
      <c r="L3739" s="243" t="s">
        <v>153</v>
      </c>
    </row>
    <row r="3740" spans="1:12" ht="15.6" hidden="1">
      <c r="A3740" s="438">
        <v>45959</v>
      </c>
      <c r="B3740" s="243" t="s">
        <v>3648</v>
      </c>
      <c r="C3740" s="243" t="s">
        <v>3317</v>
      </c>
      <c r="D3740" s="243" t="s">
        <v>115</v>
      </c>
      <c r="E3740" s="457">
        <v>1500</v>
      </c>
      <c r="F3740" s="407">
        <f t="shared" si="56"/>
        <v>2.7602044759475781</v>
      </c>
      <c r="G3740" s="408">
        <v>543.43799999999999</v>
      </c>
      <c r="H3740" s="243" t="s">
        <v>191</v>
      </c>
      <c r="I3740" s="243" t="s">
        <v>3682</v>
      </c>
      <c r="J3740" s="243" t="s">
        <v>96</v>
      </c>
      <c r="K3740" s="243" t="s">
        <v>1906</v>
      </c>
      <c r="L3740" s="243" t="s">
        <v>153</v>
      </c>
    </row>
    <row r="3741" spans="1:12" ht="15.6" hidden="1">
      <c r="A3741" s="438">
        <v>45959</v>
      </c>
      <c r="B3741" s="243" t="s">
        <v>3655</v>
      </c>
      <c r="C3741" s="243" t="s">
        <v>172</v>
      </c>
      <c r="D3741" s="243" t="s">
        <v>115</v>
      </c>
      <c r="E3741" s="457">
        <v>500</v>
      </c>
      <c r="F3741" s="407">
        <f t="shared" si="56"/>
        <v>0.92006815864919278</v>
      </c>
      <c r="G3741" s="408">
        <v>543.43799999999999</v>
      </c>
      <c r="H3741" s="243" t="s">
        <v>191</v>
      </c>
      <c r="I3741" s="243" t="s">
        <v>3665</v>
      </c>
      <c r="J3741" s="243" t="s">
        <v>96</v>
      </c>
      <c r="K3741" s="243" t="s">
        <v>1906</v>
      </c>
      <c r="L3741" s="243" t="s">
        <v>153</v>
      </c>
    </row>
    <row r="3742" spans="1:12" ht="15.6" hidden="1">
      <c r="A3742" s="438">
        <v>45959</v>
      </c>
      <c r="B3742" s="243" t="s">
        <v>3745</v>
      </c>
      <c r="C3742" s="239" t="s">
        <v>194</v>
      </c>
      <c r="D3742" s="239" t="s">
        <v>115</v>
      </c>
      <c r="E3742" s="457">
        <v>1000</v>
      </c>
      <c r="F3742" s="407">
        <f t="shared" si="56"/>
        <v>1.8401363172983856</v>
      </c>
      <c r="G3742" s="408">
        <v>543.43799999999999</v>
      </c>
      <c r="H3742" s="239" t="s">
        <v>195</v>
      </c>
      <c r="I3742" s="243" t="s">
        <v>3747</v>
      </c>
      <c r="J3742" s="243" t="s">
        <v>96</v>
      </c>
      <c r="K3742" s="243" t="s">
        <v>1906</v>
      </c>
      <c r="L3742" s="243" t="s">
        <v>153</v>
      </c>
    </row>
    <row r="3743" spans="1:12" ht="15.6" hidden="1">
      <c r="A3743" s="438">
        <v>45959</v>
      </c>
      <c r="B3743" s="243" t="s">
        <v>4106</v>
      </c>
      <c r="C3743" s="243" t="s">
        <v>172</v>
      </c>
      <c r="D3743" s="239" t="s">
        <v>115</v>
      </c>
      <c r="E3743" s="463">
        <v>22000</v>
      </c>
      <c r="F3743" s="407">
        <f t="shared" si="56"/>
        <v>40.482998980564481</v>
      </c>
      <c r="G3743" s="408">
        <v>543.43799999999999</v>
      </c>
      <c r="H3743" s="239" t="s">
        <v>195</v>
      </c>
      <c r="I3743" s="455" t="s">
        <v>3761</v>
      </c>
      <c r="J3743" s="243" t="s">
        <v>96</v>
      </c>
      <c r="K3743" s="243" t="s">
        <v>1906</v>
      </c>
      <c r="L3743" s="243" t="s">
        <v>153</v>
      </c>
    </row>
    <row r="3744" spans="1:12" ht="15.6" hidden="1">
      <c r="A3744" s="438">
        <v>45959</v>
      </c>
      <c r="B3744" s="243" t="s">
        <v>4107</v>
      </c>
      <c r="C3744" s="243" t="s">
        <v>175</v>
      </c>
      <c r="D3744" s="239" t="s">
        <v>115</v>
      </c>
      <c r="E3744" s="463">
        <v>100000</v>
      </c>
      <c r="F3744" s="407">
        <f t="shared" si="56"/>
        <v>184.01363172983855</v>
      </c>
      <c r="G3744" s="408">
        <v>543.43799999999999</v>
      </c>
      <c r="H3744" s="239" t="s">
        <v>195</v>
      </c>
      <c r="I3744" s="455" t="s">
        <v>3762</v>
      </c>
      <c r="J3744" s="243" t="s">
        <v>96</v>
      </c>
      <c r="K3744" s="243" t="s">
        <v>1906</v>
      </c>
      <c r="L3744" s="243" t="s">
        <v>153</v>
      </c>
    </row>
    <row r="3745" spans="1:12" ht="15.6" hidden="1">
      <c r="A3745" s="438">
        <v>45959</v>
      </c>
      <c r="B3745" s="243" t="s">
        <v>3746</v>
      </c>
      <c r="C3745" s="239" t="s">
        <v>194</v>
      </c>
      <c r="D3745" s="239" t="s">
        <v>115</v>
      </c>
      <c r="E3745" s="457">
        <v>1000</v>
      </c>
      <c r="F3745" s="407">
        <f t="shared" si="56"/>
        <v>1.8401363172983856</v>
      </c>
      <c r="G3745" s="408">
        <v>543.43799999999999</v>
      </c>
      <c r="H3745" s="239" t="s">
        <v>195</v>
      </c>
      <c r="I3745" s="243" t="s">
        <v>3747</v>
      </c>
      <c r="J3745" s="243" t="s">
        <v>96</v>
      </c>
      <c r="K3745" s="243" t="s">
        <v>1906</v>
      </c>
      <c r="L3745" s="243" t="s">
        <v>153</v>
      </c>
    </row>
    <row r="3746" spans="1:12" ht="15.6" hidden="1">
      <c r="A3746" s="438">
        <v>45959</v>
      </c>
      <c r="B3746" s="461" t="s">
        <v>3898</v>
      </c>
      <c r="C3746" s="439" t="s">
        <v>172</v>
      </c>
      <c r="D3746" s="461" t="s">
        <v>118</v>
      </c>
      <c r="E3746" s="464">
        <v>500</v>
      </c>
      <c r="F3746" s="407">
        <f t="shared" si="56"/>
        <v>0.92006815864919278</v>
      </c>
      <c r="G3746" s="408">
        <v>543.43799999999999</v>
      </c>
      <c r="H3746" s="461" t="s">
        <v>211</v>
      </c>
      <c r="I3746" s="461" t="s">
        <v>3910</v>
      </c>
      <c r="J3746" s="243" t="s">
        <v>96</v>
      </c>
      <c r="K3746" s="243" t="s">
        <v>1906</v>
      </c>
      <c r="L3746" s="243" t="s">
        <v>153</v>
      </c>
    </row>
    <row r="3747" spans="1:12" ht="15.6" hidden="1">
      <c r="A3747" s="438">
        <v>45959</v>
      </c>
      <c r="B3747" s="461" t="s">
        <v>3899</v>
      </c>
      <c r="C3747" s="439" t="s">
        <v>172</v>
      </c>
      <c r="D3747" s="461" t="s">
        <v>118</v>
      </c>
      <c r="E3747" s="464">
        <v>500</v>
      </c>
      <c r="F3747" s="407">
        <f t="shared" si="56"/>
        <v>0.92006815864919278</v>
      </c>
      <c r="G3747" s="408">
        <v>543.43799999999999</v>
      </c>
      <c r="H3747" s="461" t="s">
        <v>211</v>
      </c>
      <c r="I3747" s="461" t="s">
        <v>3910</v>
      </c>
      <c r="J3747" s="243" t="s">
        <v>96</v>
      </c>
      <c r="K3747" s="243" t="s">
        <v>1906</v>
      </c>
      <c r="L3747" s="243" t="s">
        <v>153</v>
      </c>
    </row>
    <row r="3748" spans="1:12" ht="15.6" hidden="1">
      <c r="A3748" s="438">
        <v>45959</v>
      </c>
      <c r="B3748" s="423" t="s">
        <v>3989</v>
      </c>
      <c r="C3748" s="423" t="s">
        <v>172</v>
      </c>
      <c r="D3748" s="423" t="s">
        <v>115</v>
      </c>
      <c r="E3748" s="471">
        <v>250</v>
      </c>
      <c r="F3748" s="407">
        <f t="shared" si="56"/>
        <v>0.46003407932459639</v>
      </c>
      <c r="G3748" s="408">
        <v>543.43799999999999</v>
      </c>
      <c r="H3748" s="423" t="s">
        <v>185</v>
      </c>
      <c r="I3748" s="423" t="s">
        <v>4008</v>
      </c>
      <c r="J3748" s="243" t="s">
        <v>96</v>
      </c>
      <c r="K3748" s="243" t="s">
        <v>1906</v>
      </c>
      <c r="L3748" s="243" t="s">
        <v>153</v>
      </c>
    </row>
    <row r="3749" spans="1:12" ht="15.6" hidden="1">
      <c r="A3749" s="438">
        <v>45959</v>
      </c>
      <c r="B3749" s="423" t="s">
        <v>3990</v>
      </c>
      <c r="C3749" s="423" t="s">
        <v>311</v>
      </c>
      <c r="D3749" s="423" t="s">
        <v>115</v>
      </c>
      <c r="E3749" s="471">
        <v>3000</v>
      </c>
      <c r="F3749" s="407">
        <f t="shared" si="56"/>
        <v>5.5204089518951562</v>
      </c>
      <c r="G3749" s="408">
        <v>543.43799999999999</v>
      </c>
      <c r="H3749" s="423" t="s">
        <v>185</v>
      </c>
      <c r="I3749" s="423" t="s">
        <v>4017</v>
      </c>
      <c r="J3749" s="243" t="s">
        <v>96</v>
      </c>
      <c r="K3749" s="243" t="s">
        <v>1906</v>
      </c>
      <c r="L3749" s="243" t="s">
        <v>153</v>
      </c>
    </row>
    <row r="3750" spans="1:12" ht="15.6" hidden="1">
      <c r="A3750" s="438">
        <v>45959</v>
      </c>
      <c r="B3750" s="423" t="s">
        <v>3991</v>
      </c>
      <c r="C3750" s="423" t="s">
        <v>172</v>
      </c>
      <c r="D3750" s="423" t="s">
        <v>115</v>
      </c>
      <c r="E3750" s="471">
        <v>250</v>
      </c>
      <c r="F3750" s="407">
        <f t="shared" si="56"/>
        <v>0.46003407932459639</v>
      </c>
      <c r="G3750" s="408">
        <v>543.43799999999999</v>
      </c>
      <c r="H3750" s="423" t="s">
        <v>185</v>
      </c>
      <c r="I3750" s="423" t="s">
        <v>4008</v>
      </c>
      <c r="J3750" s="243" t="s">
        <v>96</v>
      </c>
      <c r="K3750" s="243" t="s">
        <v>1906</v>
      </c>
      <c r="L3750" s="243" t="s">
        <v>153</v>
      </c>
    </row>
    <row r="3751" spans="1:12" ht="15.6" hidden="1">
      <c r="A3751" s="438">
        <v>45959</v>
      </c>
      <c r="B3751" s="423" t="s">
        <v>3992</v>
      </c>
      <c r="C3751" s="423" t="s">
        <v>172</v>
      </c>
      <c r="D3751" s="423" t="s">
        <v>115</v>
      </c>
      <c r="E3751" s="471">
        <v>500</v>
      </c>
      <c r="F3751" s="407">
        <f t="shared" si="56"/>
        <v>0.92006815864919278</v>
      </c>
      <c r="G3751" s="408">
        <v>543.43799999999999</v>
      </c>
      <c r="H3751" s="423" t="s">
        <v>185</v>
      </c>
      <c r="I3751" s="423" t="s">
        <v>4008</v>
      </c>
      <c r="J3751" s="243" t="s">
        <v>96</v>
      </c>
      <c r="K3751" s="243" t="s">
        <v>1906</v>
      </c>
      <c r="L3751" s="243" t="s">
        <v>153</v>
      </c>
    </row>
    <row r="3752" spans="1:12" ht="15.6" hidden="1">
      <c r="A3752" s="438">
        <v>45959</v>
      </c>
      <c r="B3752" s="423" t="s">
        <v>3993</v>
      </c>
      <c r="C3752" s="423" t="s">
        <v>172</v>
      </c>
      <c r="D3752" s="423" t="s">
        <v>115</v>
      </c>
      <c r="E3752" s="471">
        <v>500</v>
      </c>
      <c r="F3752" s="407">
        <f t="shared" ref="F3752:F3783" si="57">E3752/G3752</f>
        <v>0.92006815864919278</v>
      </c>
      <c r="G3752" s="408">
        <v>543.43799999999999</v>
      </c>
      <c r="H3752" s="423" t="s">
        <v>185</v>
      </c>
      <c r="I3752" s="423" t="s">
        <v>4008</v>
      </c>
      <c r="J3752" s="243" t="s">
        <v>96</v>
      </c>
      <c r="K3752" s="243" t="s">
        <v>1906</v>
      </c>
      <c r="L3752" s="243" t="s">
        <v>153</v>
      </c>
    </row>
    <row r="3753" spans="1:12" ht="15.6" hidden="1">
      <c r="A3753" s="438">
        <v>45959</v>
      </c>
      <c r="B3753" s="423" t="s">
        <v>3994</v>
      </c>
      <c r="C3753" s="423" t="s">
        <v>172</v>
      </c>
      <c r="D3753" s="423" t="s">
        <v>115</v>
      </c>
      <c r="E3753" s="471">
        <v>250</v>
      </c>
      <c r="F3753" s="407">
        <f t="shared" si="57"/>
        <v>0.46003407932459639</v>
      </c>
      <c r="G3753" s="408">
        <v>543.43799999999999</v>
      </c>
      <c r="H3753" s="423" t="s">
        <v>185</v>
      </c>
      <c r="I3753" s="423" t="s">
        <v>4008</v>
      </c>
      <c r="J3753" s="243" t="s">
        <v>96</v>
      </c>
      <c r="K3753" s="243" t="s">
        <v>1906</v>
      </c>
      <c r="L3753" s="243" t="s">
        <v>153</v>
      </c>
    </row>
    <row r="3754" spans="1:12" ht="15.6" hidden="1">
      <c r="A3754" s="438">
        <v>45959</v>
      </c>
      <c r="B3754" s="423" t="s">
        <v>3995</v>
      </c>
      <c r="C3754" s="423" t="s">
        <v>311</v>
      </c>
      <c r="D3754" s="423" t="s">
        <v>115</v>
      </c>
      <c r="E3754" s="471">
        <v>3500</v>
      </c>
      <c r="F3754" s="407">
        <f t="shared" si="57"/>
        <v>6.4404771105443492</v>
      </c>
      <c r="G3754" s="408">
        <v>543.43799999999999</v>
      </c>
      <c r="H3754" s="423" t="s">
        <v>185</v>
      </c>
      <c r="I3754" s="423" t="s">
        <v>4017</v>
      </c>
      <c r="J3754" s="243" t="s">
        <v>96</v>
      </c>
      <c r="K3754" s="243" t="s">
        <v>1906</v>
      </c>
      <c r="L3754" s="243" t="s">
        <v>153</v>
      </c>
    </row>
    <row r="3755" spans="1:12" ht="15.6" hidden="1">
      <c r="A3755" s="438">
        <v>45959</v>
      </c>
      <c r="B3755" s="423" t="s">
        <v>3996</v>
      </c>
      <c r="C3755" s="423" t="s">
        <v>172</v>
      </c>
      <c r="D3755" s="423" t="s">
        <v>115</v>
      </c>
      <c r="E3755" s="471">
        <v>250</v>
      </c>
      <c r="F3755" s="407">
        <f t="shared" si="57"/>
        <v>0.46003407932459639</v>
      </c>
      <c r="G3755" s="408">
        <v>543.43799999999999</v>
      </c>
      <c r="H3755" s="423" t="s">
        <v>185</v>
      </c>
      <c r="I3755" s="423" t="s">
        <v>4008</v>
      </c>
      <c r="J3755" s="243" t="s">
        <v>96</v>
      </c>
      <c r="K3755" s="243" t="s">
        <v>1906</v>
      </c>
      <c r="L3755" s="243" t="s">
        <v>153</v>
      </c>
    </row>
    <row r="3756" spans="1:12" ht="15.6" hidden="1">
      <c r="A3756" s="438">
        <v>45959</v>
      </c>
      <c r="B3756" s="423" t="s">
        <v>3997</v>
      </c>
      <c r="C3756" s="423" t="s">
        <v>172</v>
      </c>
      <c r="D3756" s="423" t="s">
        <v>115</v>
      </c>
      <c r="E3756" s="471">
        <v>500</v>
      </c>
      <c r="F3756" s="407">
        <f t="shared" si="57"/>
        <v>0.92006815864919278</v>
      </c>
      <c r="G3756" s="408">
        <v>543.43799999999999</v>
      </c>
      <c r="H3756" s="423" t="s">
        <v>185</v>
      </c>
      <c r="I3756" s="423" t="s">
        <v>4008</v>
      </c>
      <c r="J3756" s="243" t="s">
        <v>96</v>
      </c>
      <c r="K3756" s="243" t="s">
        <v>1906</v>
      </c>
      <c r="L3756" s="243" t="s">
        <v>153</v>
      </c>
    </row>
    <row r="3757" spans="1:12" ht="15.6" hidden="1">
      <c r="A3757" s="438">
        <v>45960</v>
      </c>
      <c r="B3757" s="239" t="s">
        <v>2103</v>
      </c>
      <c r="C3757" s="239" t="s">
        <v>172</v>
      </c>
      <c r="D3757" s="453" t="s">
        <v>117</v>
      </c>
      <c r="E3757" s="458">
        <v>1000</v>
      </c>
      <c r="F3757" s="407">
        <f t="shared" si="57"/>
        <v>1.8401363172983856</v>
      </c>
      <c r="G3757" s="408">
        <v>543.43799999999999</v>
      </c>
      <c r="H3757" s="454" t="s">
        <v>151</v>
      </c>
      <c r="I3757" s="239" t="s">
        <v>3264</v>
      </c>
      <c r="J3757" s="243" t="s">
        <v>96</v>
      </c>
      <c r="K3757" s="243" t="s">
        <v>1906</v>
      </c>
      <c r="L3757" s="243" t="s">
        <v>153</v>
      </c>
    </row>
    <row r="3758" spans="1:12" ht="15.6" hidden="1">
      <c r="A3758" s="438">
        <v>45960</v>
      </c>
      <c r="B3758" s="239" t="s">
        <v>2116</v>
      </c>
      <c r="C3758" s="239" t="s">
        <v>172</v>
      </c>
      <c r="D3758" s="453" t="s">
        <v>117</v>
      </c>
      <c r="E3758" s="458">
        <v>1000</v>
      </c>
      <c r="F3758" s="407">
        <f t="shared" si="57"/>
        <v>1.8401363172983856</v>
      </c>
      <c r="G3758" s="408">
        <v>543.43799999999999</v>
      </c>
      <c r="H3758" s="454" t="s">
        <v>151</v>
      </c>
      <c r="I3758" s="239" t="s">
        <v>3264</v>
      </c>
      <c r="J3758" s="243" t="s">
        <v>96</v>
      </c>
      <c r="K3758" s="243" t="s">
        <v>1906</v>
      </c>
      <c r="L3758" s="243" t="s">
        <v>153</v>
      </c>
    </row>
    <row r="3759" spans="1:12" ht="15.6" hidden="1">
      <c r="A3759" s="438">
        <v>45960</v>
      </c>
      <c r="B3759" s="329" t="s">
        <v>2422</v>
      </c>
      <c r="C3759" s="329" t="s">
        <v>172</v>
      </c>
      <c r="D3759" s="329" t="s">
        <v>115</v>
      </c>
      <c r="E3759" s="451">
        <v>500</v>
      </c>
      <c r="F3759" s="407">
        <f t="shared" si="57"/>
        <v>0.92006815864919278</v>
      </c>
      <c r="G3759" s="408">
        <v>543.43799999999999</v>
      </c>
      <c r="H3759" s="329" t="s">
        <v>198</v>
      </c>
      <c r="I3759" s="329" t="s">
        <v>3349</v>
      </c>
      <c r="J3759" s="243" t="s">
        <v>96</v>
      </c>
      <c r="K3759" s="243" t="s">
        <v>1906</v>
      </c>
      <c r="L3759" s="243" t="s">
        <v>153</v>
      </c>
    </row>
    <row r="3760" spans="1:12" ht="15.6" hidden="1">
      <c r="A3760" s="438">
        <v>45960</v>
      </c>
      <c r="B3760" s="329" t="s">
        <v>2421</v>
      </c>
      <c r="C3760" s="329" t="s">
        <v>172</v>
      </c>
      <c r="D3760" s="329" t="s">
        <v>115</v>
      </c>
      <c r="E3760" s="451">
        <v>500</v>
      </c>
      <c r="F3760" s="407">
        <f t="shared" si="57"/>
        <v>0.92006815864919278</v>
      </c>
      <c r="G3760" s="408">
        <v>543.43799999999999</v>
      </c>
      <c r="H3760" s="329" t="s">
        <v>198</v>
      </c>
      <c r="I3760" s="329" t="s">
        <v>3349</v>
      </c>
      <c r="J3760" s="243" t="s">
        <v>96</v>
      </c>
      <c r="K3760" s="243" t="s">
        <v>1906</v>
      </c>
      <c r="L3760" s="243" t="s">
        <v>153</v>
      </c>
    </row>
    <row r="3761" spans="1:12" ht="15.6" hidden="1">
      <c r="A3761" s="438">
        <v>45960</v>
      </c>
      <c r="B3761" s="331" t="s">
        <v>4759</v>
      </c>
      <c r="C3761" s="331" t="s">
        <v>175</v>
      </c>
      <c r="D3761" s="331" t="s">
        <v>119</v>
      </c>
      <c r="E3761" s="459">
        <v>30000</v>
      </c>
      <c r="F3761" s="407">
        <f t="shared" si="57"/>
        <v>55.204089518951562</v>
      </c>
      <c r="G3761" s="408">
        <v>543.43799999999999</v>
      </c>
      <c r="H3761" s="331" t="s">
        <v>182</v>
      </c>
      <c r="I3761" s="331" t="s">
        <v>3472</v>
      </c>
      <c r="J3761" s="243" t="s">
        <v>96</v>
      </c>
      <c r="K3761" s="243" t="s">
        <v>1906</v>
      </c>
      <c r="L3761" s="243" t="s">
        <v>153</v>
      </c>
    </row>
    <row r="3762" spans="1:12" ht="15.6" hidden="1">
      <c r="A3762" s="438">
        <v>45960</v>
      </c>
      <c r="B3762" s="331" t="s">
        <v>4917</v>
      </c>
      <c r="C3762" s="331" t="s">
        <v>172</v>
      </c>
      <c r="D3762" s="331" t="s">
        <v>119</v>
      </c>
      <c r="E3762" s="459">
        <v>1000</v>
      </c>
      <c r="F3762" s="407">
        <f t="shared" si="57"/>
        <v>1.8401363172983856</v>
      </c>
      <c r="G3762" s="408">
        <v>543.43799999999999</v>
      </c>
      <c r="H3762" s="331" t="s">
        <v>182</v>
      </c>
      <c r="I3762" s="331" t="s">
        <v>3447</v>
      </c>
      <c r="J3762" s="243" t="s">
        <v>96</v>
      </c>
      <c r="K3762" s="243" t="s">
        <v>1906</v>
      </c>
      <c r="L3762" s="243" t="s">
        <v>153</v>
      </c>
    </row>
    <row r="3763" spans="1:12" ht="15.6" hidden="1">
      <c r="A3763" s="438">
        <v>45960</v>
      </c>
      <c r="B3763" s="331" t="s">
        <v>4917</v>
      </c>
      <c r="C3763" s="331" t="s">
        <v>172</v>
      </c>
      <c r="D3763" s="331" t="s">
        <v>119</v>
      </c>
      <c r="E3763" s="459">
        <v>1500</v>
      </c>
      <c r="F3763" s="407">
        <f t="shared" si="57"/>
        <v>2.7602044759475781</v>
      </c>
      <c r="G3763" s="408">
        <v>543.43799999999999</v>
      </c>
      <c r="H3763" s="331" t="s">
        <v>182</v>
      </c>
      <c r="I3763" s="331" t="s">
        <v>3447</v>
      </c>
      <c r="J3763" s="243" t="s">
        <v>96</v>
      </c>
      <c r="K3763" s="243" t="s">
        <v>1906</v>
      </c>
      <c r="L3763" s="243" t="s">
        <v>153</v>
      </c>
    </row>
    <row r="3764" spans="1:12" ht="15.6" hidden="1">
      <c r="A3764" s="438">
        <v>45960</v>
      </c>
      <c r="B3764" s="243" t="s">
        <v>4819</v>
      </c>
      <c r="C3764" s="243" t="s">
        <v>175</v>
      </c>
      <c r="D3764" s="243" t="s">
        <v>119</v>
      </c>
      <c r="E3764" s="462">
        <v>30000</v>
      </c>
      <c r="F3764" s="407">
        <f t="shared" si="57"/>
        <v>55.204089518951562</v>
      </c>
      <c r="G3764" s="408">
        <v>543.43799999999999</v>
      </c>
      <c r="H3764" s="243" t="s">
        <v>315</v>
      </c>
      <c r="I3764" s="243" t="s">
        <v>3524</v>
      </c>
      <c r="J3764" s="243" t="s">
        <v>96</v>
      </c>
      <c r="K3764" s="243" t="s">
        <v>1906</v>
      </c>
      <c r="L3764" s="243" t="s">
        <v>153</v>
      </c>
    </row>
    <row r="3765" spans="1:12" ht="15.6" hidden="1">
      <c r="A3765" s="438">
        <v>45960</v>
      </c>
      <c r="B3765" s="243" t="s">
        <v>4917</v>
      </c>
      <c r="C3765" s="243" t="s">
        <v>172</v>
      </c>
      <c r="D3765" s="243" t="s">
        <v>119</v>
      </c>
      <c r="E3765" s="460">
        <v>1000</v>
      </c>
      <c r="F3765" s="407">
        <f t="shared" si="57"/>
        <v>1.8401363172983856</v>
      </c>
      <c r="G3765" s="408">
        <v>543.43799999999999</v>
      </c>
      <c r="H3765" s="243" t="s">
        <v>315</v>
      </c>
      <c r="I3765" s="243" t="s">
        <v>3510</v>
      </c>
      <c r="J3765" s="243" t="s">
        <v>96</v>
      </c>
      <c r="K3765" s="243" t="s">
        <v>1906</v>
      </c>
      <c r="L3765" s="243" t="s">
        <v>153</v>
      </c>
    </row>
    <row r="3766" spans="1:12" ht="15.6" hidden="1">
      <c r="A3766" s="438">
        <v>45960</v>
      </c>
      <c r="B3766" s="243" t="s">
        <v>4749</v>
      </c>
      <c r="C3766" s="243" t="s">
        <v>172</v>
      </c>
      <c r="D3766" s="243" t="s">
        <v>119</v>
      </c>
      <c r="E3766" s="462">
        <v>9000</v>
      </c>
      <c r="F3766" s="407">
        <f t="shared" si="57"/>
        <v>16.561226855685469</v>
      </c>
      <c r="G3766" s="408">
        <v>543.43799999999999</v>
      </c>
      <c r="H3766" s="243" t="s">
        <v>315</v>
      </c>
      <c r="I3766" s="243" t="s">
        <v>3525</v>
      </c>
      <c r="J3766" s="243" t="s">
        <v>96</v>
      </c>
      <c r="K3766" s="243" t="s">
        <v>1906</v>
      </c>
      <c r="L3766" s="243" t="s">
        <v>153</v>
      </c>
    </row>
    <row r="3767" spans="1:12" ht="15.6" hidden="1">
      <c r="A3767" s="438">
        <v>45960</v>
      </c>
      <c r="B3767" s="243" t="s">
        <v>4876</v>
      </c>
      <c r="C3767" s="243" t="s">
        <v>172</v>
      </c>
      <c r="D3767" s="243" t="s">
        <v>119</v>
      </c>
      <c r="E3767" s="460">
        <v>2500</v>
      </c>
      <c r="F3767" s="407">
        <f t="shared" si="57"/>
        <v>4.6003407932459641</v>
      </c>
      <c r="G3767" s="408">
        <v>543.43799999999999</v>
      </c>
      <c r="H3767" s="243" t="s">
        <v>315</v>
      </c>
      <c r="I3767" s="243" t="s">
        <v>3510</v>
      </c>
      <c r="J3767" s="243" t="s">
        <v>96</v>
      </c>
      <c r="K3767" s="243" t="s">
        <v>1906</v>
      </c>
      <c r="L3767" s="243" t="s">
        <v>153</v>
      </c>
    </row>
    <row r="3768" spans="1:12" ht="15.6" hidden="1">
      <c r="A3768" s="438">
        <v>45960</v>
      </c>
      <c r="B3768" s="243" t="s">
        <v>3589</v>
      </c>
      <c r="C3768" s="243" t="s">
        <v>172</v>
      </c>
      <c r="D3768" s="243" t="s">
        <v>115</v>
      </c>
      <c r="E3768" s="463">
        <v>500</v>
      </c>
      <c r="F3768" s="407">
        <f t="shared" si="57"/>
        <v>0.92006815864919278</v>
      </c>
      <c r="G3768" s="408">
        <v>543.43799999999999</v>
      </c>
      <c r="H3768" s="243" t="s">
        <v>188</v>
      </c>
      <c r="I3768" s="243" t="s">
        <v>3594</v>
      </c>
      <c r="J3768" s="243" t="s">
        <v>96</v>
      </c>
      <c r="K3768" s="243" t="s">
        <v>1906</v>
      </c>
      <c r="L3768" s="243" t="s">
        <v>153</v>
      </c>
    </row>
    <row r="3769" spans="1:12" ht="15.6" hidden="1">
      <c r="A3769" s="438">
        <v>45960</v>
      </c>
      <c r="B3769" s="243" t="s">
        <v>3590</v>
      </c>
      <c r="C3769" s="243" t="s">
        <v>172</v>
      </c>
      <c r="D3769" s="243" t="s">
        <v>115</v>
      </c>
      <c r="E3769" s="463">
        <v>500</v>
      </c>
      <c r="F3769" s="407">
        <f t="shared" si="57"/>
        <v>0.92006815864919278</v>
      </c>
      <c r="G3769" s="408">
        <v>543.43799999999999</v>
      </c>
      <c r="H3769" s="243" t="s">
        <v>188</v>
      </c>
      <c r="I3769" s="243" t="s">
        <v>3594</v>
      </c>
      <c r="J3769" s="243" t="s">
        <v>96</v>
      </c>
      <c r="K3769" s="243" t="s">
        <v>1906</v>
      </c>
      <c r="L3769" s="243" t="s">
        <v>153</v>
      </c>
    </row>
    <row r="3770" spans="1:12" ht="15.6" hidden="1">
      <c r="A3770" s="438">
        <v>45960</v>
      </c>
      <c r="B3770" s="243" t="s">
        <v>3649</v>
      </c>
      <c r="C3770" s="243" t="s">
        <v>172</v>
      </c>
      <c r="D3770" s="243" t="s">
        <v>115</v>
      </c>
      <c r="E3770" s="457">
        <v>500</v>
      </c>
      <c r="F3770" s="407">
        <f t="shared" si="57"/>
        <v>0.92006815864919278</v>
      </c>
      <c r="G3770" s="408">
        <v>543.43799999999999</v>
      </c>
      <c r="H3770" s="243" t="s">
        <v>191</v>
      </c>
      <c r="I3770" s="243" t="s">
        <v>3665</v>
      </c>
      <c r="J3770" s="243" t="s">
        <v>96</v>
      </c>
      <c r="K3770" s="243" t="s">
        <v>1906</v>
      </c>
      <c r="L3770" s="243" t="s">
        <v>153</v>
      </c>
    </row>
    <row r="3771" spans="1:12" ht="15.6" hidden="1">
      <c r="A3771" s="438">
        <v>45960</v>
      </c>
      <c r="B3771" s="243" t="s">
        <v>3650</v>
      </c>
      <c r="C3771" s="243" t="s">
        <v>3317</v>
      </c>
      <c r="D3771" s="243" t="s">
        <v>115</v>
      </c>
      <c r="E3771" s="457">
        <v>1500</v>
      </c>
      <c r="F3771" s="407">
        <f t="shared" si="57"/>
        <v>2.7602044759475781</v>
      </c>
      <c r="G3771" s="408">
        <v>543.43799999999999</v>
      </c>
      <c r="H3771" s="243" t="s">
        <v>191</v>
      </c>
      <c r="I3771" s="243" t="s">
        <v>3682</v>
      </c>
      <c r="J3771" s="243" t="s">
        <v>96</v>
      </c>
      <c r="K3771" s="243" t="s">
        <v>1906</v>
      </c>
      <c r="L3771" s="243" t="s">
        <v>153</v>
      </c>
    </row>
    <row r="3772" spans="1:12" ht="15.6" hidden="1">
      <c r="A3772" s="438">
        <v>45960</v>
      </c>
      <c r="B3772" s="243" t="s">
        <v>3655</v>
      </c>
      <c r="C3772" s="243" t="s">
        <v>172</v>
      </c>
      <c r="D3772" s="243" t="s">
        <v>115</v>
      </c>
      <c r="E3772" s="457">
        <v>500</v>
      </c>
      <c r="F3772" s="407">
        <f t="shared" si="57"/>
        <v>0.92006815864919278</v>
      </c>
      <c r="G3772" s="408">
        <v>543.43799999999999</v>
      </c>
      <c r="H3772" s="243" t="s">
        <v>191</v>
      </c>
      <c r="I3772" s="243" t="s">
        <v>3665</v>
      </c>
      <c r="J3772" s="243" t="s">
        <v>96</v>
      </c>
      <c r="K3772" s="243" t="s">
        <v>1906</v>
      </c>
      <c r="L3772" s="243" t="s">
        <v>153</v>
      </c>
    </row>
    <row r="3773" spans="1:12" ht="15.6" hidden="1">
      <c r="A3773" s="438">
        <v>45960</v>
      </c>
      <c r="B3773" s="243" t="s">
        <v>3656</v>
      </c>
      <c r="C3773" s="243" t="s">
        <v>172</v>
      </c>
      <c r="D3773" s="243" t="s">
        <v>115</v>
      </c>
      <c r="E3773" s="457">
        <v>500</v>
      </c>
      <c r="F3773" s="407">
        <f t="shared" si="57"/>
        <v>0.92006815864919278</v>
      </c>
      <c r="G3773" s="408">
        <v>543.43799999999999</v>
      </c>
      <c r="H3773" s="243" t="s">
        <v>191</v>
      </c>
      <c r="I3773" s="243" t="s">
        <v>3665</v>
      </c>
      <c r="J3773" s="243" t="s">
        <v>96</v>
      </c>
      <c r="K3773" s="243" t="s">
        <v>1906</v>
      </c>
      <c r="L3773" s="243" t="s">
        <v>153</v>
      </c>
    </row>
    <row r="3774" spans="1:12" ht="15.6" hidden="1">
      <c r="A3774" s="438">
        <v>45960</v>
      </c>
      <c r="B3774" s="243" t="s">
        <v>3657</v>
      </c>
      <c r="C3774" s="243" t="s">
        <v>172</v>
      </c>
      <c r="D3774" s="243" t="s">
        <v>115</v>
      </c>
      <c r="E3774" s="457">
        <v>500</v>
      </c>
      <c r="F3774" s="407">
        <f t="shared" si="57"/>
        <v>0.92006815864919278</v>
      </c>
      <c r="G3774" s="408">
        <v>543.43799999999999</v>
      </c>
      <c r="H3774" s="243" t="s">
        <v>191</v>
      </c>
      <c r="I3774" s="243" t="s">
        <v>3665</v>
      </c>
      <c r="J3774" s="243" t="s">
        <v>96</v>
      </c>
      <c r="K3774" s="243" t="s">
        <v>1906</v>
      </c>
      <c r="L3774" s="243" t="s">
        <v>153</v>
      </c>
    </row>
    <row r="3775" spans="1:12" ht="15.6" hidden="1">
      <c r="A3775" s="438">
        <v>45960</v>
      </c>
      <c r="B3775" s="243" t="s">
        <v>3658</v>
      </c>
      <c r="C3775" s="243" t="s">
        <v>172</v>
      </c>
      <c r="D3775" s="243" t="s">
        <v>115</v>
      </c>
      <c r="E3775" s="457">
        <v>500</v>
      </c>
      <c r="F3775" s="407">
        <f t="shared" si="57"/>
        <v>0.92006815864919278</v>
      </c>
      <c r="G3775" s="408">
        <v>543.43799999999999</v>
      </c>
      <c r="H3775" s="243" t="s">
        <v>191</v>
      </c>
      <c r="I3775" s="243" t="s">
        <v>3665</v>
      </c>
      <c r="J3775" s="243" t="s">
        <v>96</v>
      </c>
      <c r="K3775" s="243" t="s">
        <v>1906</v>
      </c>
      <c r="L3775" s="243" t="s">
        <v>153</v>
      </c>
    </row>
    <row r="3776" spans="1:12" ht="15.6" hidden="1">
      <c r="A3776" s="438">
        <v>45960</v>
      </c>
      <c r="B3776" s="243" t="s">
        <v>3659</v>
      </c>
      <c r="C3776" s="243" t="s">
        <v>1168</v>
      </c>
      <c r="D3776" s="243" t="s">
        <v>115</v>
      </c>
      <c r="E3776" s="457">
        <v>22500</v>
      </c>
      <c r="F3776" s="407">
        <f t="shared" si="57"/>
        <v>41.403067139213675</v>
      </c>
      <c r="G3776" s="408">
        <v>543.43799999999999</v>
      </c>
      <c r="H3776" s="243" t="s">
        <v>191</v>
      </c>
      <c r="I3776" s="243" t="s">
        <v>3683</v>
      </c>
      <c r="J3776" s="243" t="s">
        <v>96</v>
      </c>
      <c r="K3776" s="243" t="s">
        <v>1906</v>
      </c>
      <c r="L3776" s="243" t="s">
        <v>153</v>
      </c>
    </row>
    <row r="3777" spans="1:12" ht="15.6" hidden="1">
      <c r="A3777" s="438">
        <v>45960</v>
      </c>
      <c r="B3777" s="243" t="s">
        <v>3660</v>
      </c>
      <c r="C3777" s="243" t="s">
        <v>172</v>
      </c>
      <c r="D3777" s="243" t="s">
        <v>115</v>
      </c>
      <c r="E3777" s="457">
        <v>500</v>
      </c>
      <c r="F3777" s="407">
        <f t="shared" si="57"/>
        <v>0.92006815864919278</v>
      </c>
      <c r="G3777" s="408">
        <v>543.43799999999999</v>
      </c>
      <c r="H3777" s="243" t="s">
        <v>191</v>
      </c>
      <c r="I3777" s="243" t="s">
        <v>3665</v>
      </c>
      <c r="J3777" s="243" t="s">
        <v>96</v>
      </c>
      <c r="K3777" s="243" t="s">
        <v>1906</v>
      </c>
      <c r="L3777" s="243" t="s">
        <v>153</v>
      </c>
    </row>
    <row r="3778" spans="1:12" ht="15.6" hidden="1">
      <c r="A3778" s="438">
        <v>45960</v>
      </c>
      <c r="B3778" s="243" t="s">
        <v>3649</v>
      </c>
      <c r="C3778" s="243" t="s">
        <v>172</v>
      </c>
      <c r="D3778" s="243" t="s">
        <v>115</v>
      </c>
      <c r="E3778" s="457">
        <v>500</v>
      </c>
      <c r="F3778" s="407">
        <f t="shared" si="57"/>
        <v>0.92006815864919278</v>
      </c>
      <c r="G3778" s="408">
        <v>543.43799999999999</v>
      </c>
      <c r="H3778" s="243" t="s">
        <v>191</v>
      </c>
      <c r="I3778" s="243" t="s">
        <v>3665</v>
      </c>
      <c r="J3778" s="243" t="s">
        <v>96</v>
      </c>
      <c r="K3778" s="243" t="s">
        <v>1906</v>
      </c>
      <c r="L3778" s="243" t="s">
        <v>153</v>
      </c>
    </row>
    <row r="3779" spans="1:12" ht="15.6" hidden="1">
      <c r="A3779" s="438">
        <v>45960</v>
      </c>
      <c r="B3779" s="243" t="s">
        <v>3648</v>
      </c>
      <c r="C3779" s="243" t="s">
        <v>3317</v>
      </c>
      <c r="D3779" s="243" t="s">
        <v>115</v>
      </c>
      <c r="E3779" s="457">
        <v>1500</v>
      </c>
      <c r="F3779" s="407">
        <f t="shared" si="57"/>
        <v>2.7602044759475781</v>
      </c>
      <c r="G3779" s="408">
        <v>543.43799999999999</v>
      </c>
      <c r="H3779" s="243" t="s">
        <v>191</v>
      </c>
      <c r="I3779" s="243" t="s">
        <v>3682</v>
      </c>
      <c r="J3779" s="243" t="s">
        <v>96</v>
      </c>
      <c r="K3779" s="243" t="s">
        <v>1906</v>
      </c>
      <c r="L3779" s="243" t="s">
        <v>153</v>
      </c>
    </row>
    <row r="3780" spans="1:12" ht="15.6" hidden="1">
      <c r="A3780" s="438">
        <v>45960</v>
      </c>
      <c r="B3780" s="243" t="s">
        <v>3655</v>
      </c>
      <c r="C3780" s="243" t="s">
        <v>172</v>
      </c>
      <c r="D3780" s="243" t="s">
        <v>115</v>
      </c>
      <c r="E3780" s="457">
        <v>500</v>
      </c>
      <c r="F3780" s="407">
        <f t="shared" si="57"/>
        <v>0.92006815864919278</v>
      </c>
      <c r="G3780" s="408">
        <v>543.43799999999999</v>
      </c>
      <c r="H3780" s="243" t="s">
        <v>191</v>
      </c>
      <c r="I3780" s="243" t="s">
        <v>3665</v>
      </c>
      <c r="J3780" s="243" t="s">
        <v>96</v>
      </c>
      <c r="K3780" s="243" t="s">
        <v>1906</v>
      </c>
      <c r="L3780" s="243" t="s">
        <v>153</v>
      </c>
    </row>
    <row r="3781" spans="1:12" ht="15.6" hidden="1">
      <c r="A3781" s="438">
        <v>45960</v>
      </c>
      <c r="B3781" s="461" t="s">
        <v>3898</v>
      </c>
      <c r="C3781" s="439" t="s">
        <v>172</v>
      </c>
      <c r="D3781" s="461" t="s">
        <v>118</v>
      </c>
      <c r="E3781" s="464">
        <v>500</v>
      </c>
      <c r="F3781" s="407">
        <f t="shared" si="57"/>
        <v>0.92006815864919278</v>
      </c>
      <c r="G3781" s="408">
        <v>543.43799999999999</v>
      </c>
      <c r="H3781" s="461" t="s">
        <v>211</v>
      </c>
      <c r="I3781" s="461" t="s">
        <v>3910</v>
      </c>
      <c r="J3781" s="243" t="s">
        <v>96</v>
      </c>
      <c r="K3781" s="243" t="s">
        <v>1906</v>
      </c>
      <c r="L3781" s="243" t="s">
        <v>153</v>
      </c>
    </row>
    <row r="3782" spans="1:12" ht="15.6" hidden="1">
      <c r="A3782" s="438">
        <v>45960</v>
      </c>
      <c r="B3782" s="461" t="s">
        <v>3900</v>
      </c>
      <c r="C3782" s="439" t="s">
        <v>172</v>
      </c>
      <c r="D3782" s="461" t="s">
        <v>118</v>
      </c>
      <c r="E3782" s="464">
        <v>500</v>
      </c>
      <c r="F3782" s="407">
        <f t="shared" si="57"/>
        <v>0.92006815864919278</v>
      </c>
      <c r="G3782" s="408">
        <v>543.43799999999999</v>
      </c>
      <c r="H3782" s="461" t="s">
        <v>211</v>
      </c>
      <c r="I3782" s="461" t="s">
        <v>3910</v>
      </c>
      <c r="J3782" s="243" t="s">
        <v>96</v>
      </c>
      <c r="K3782" s="243" t="s">
        <v>1906</v>
      </c>
      <c r="L3782" s="243" t="s">
        <v>153</v>
      </c>
    </row>
    <row r="3783" spans="1:12" ht="15.6" hidden="1">
      <c r="A3783" s="438">
        <v>45960</v>
      </c>
      <c r="B3783" s="461" t="s">
        <v>3901</v>
      </c>
      <c r="C3783" s="439" t="s">
        <v>172</v>
      </c>
      <c r="D3783" s="461" t="s">
        <v>118</v>
      </c>
      <c r="E3783" s="464">
        <v>7000</v>
      </c>
      <c r="F3783" s="407">
        <f t="shared" si="57"/>
        <v>12.880954221088698</v>
      </c>
      <c r="G3783" s="408">
        <v>543.43799999999999</v>
      </c>
      <c r="H3783" s="461" t="s">
        <v>211</v>
      </c>
      <c r="I3783" s="461" t="s">
        <v>3936</v>
      </c>
      <c r="J3783" s="243" t="s">
        <v>96</v>
      </c>
      <c r="K3783" s="243" t="s">
        <v>1906</v>
      </c>
      <c r="L3783" s="243" t="s">
        <v>153</v>
      </c>
    </row>
    <row r="3784" spans="1:12" ht="15.6" hidden="1">
      <c r="A3784" s="438">
        <v>45960</v>
      </c>
      <c r="B3784" s="461" t="s">
        <v>3902</v>
      </c>
      <c r="C3784" s="439" t="s">
        <v>172</v>
      </c>
      <c r="D3784" s="461" t="s">
        <v>118</v>
      </c>
      <c r="E3784" s="464">
        <v>500</v>
      </c>
      <c r="F3784" s="407">
        <f t="shared" ref="F3784:F3815" si="58">E3784/G3784</f>
        <v>0.92006815864919278</v>
      </c>
      <c r="G3784" s="408">
        <v>543.43799999999999</v>
      </c>
      <c r="H3784" s="461" t="s">
        <v>211</v>
      </c>
      <c r="I3784" s="461" t="s">
        <v>3910</v>
      </c>
      <c r="J3784" s="243" t="s">
        <v>96</v>
      </c>
      <c r="K3784" s="243" t="s">
        <v>1906</v>
      </c>
      <c r="L3784" s="243" t="s">
        <v>153</v>
      </c>
    </row>
    <row r="3785" spans="1:12" ht="15.6" hidden="1">
      <c r="A3785" s="438">
        <v>45960</v>
      </c>
      <c r="B3785" s="423" t="s">
        <v>3998</v>
      </c>
      <c r="C3785" s="423" t="s">
        <v>172</v>
      </c>
      <c r="D3785" s="423" t="s">
        <v>115</v>
      </c>
      <c r="E3785" s="471">
        <v>500</v>
      </c>
      <c r="F3785" s="407">
        <f t="shared" si="58"/>
        <v>0.92006815864919278</v>
      </c>
      <c r="G3785" s="408">
        <v>543.43799999999999</v>
      </c>
      <c r="H3785" s="423" t="s">
        <v>185</v>
      </c>
      <c r="I3785" s="423" t="s">
        <v>4008</v>
      </c>
      <c r="J3785" s="243" t="s">
        <v>96</v>
      </c>
      <c r="K3785" s="243" t="s">
        <v>1906</v>
      </c>
      <c r="L3785" s="243" t="s">
        <v>153</v>
      </c>
    </row>
    <row r="3786" spans="1:12" ht="15.6" hidden="1">
      <c r="A3786" s="438">
        <v>45960</v>
      </c>
      <c r="B3786" s="423" t="s">
        <v>3999</v>
      </c>
      <c r="C3786" s="423" t="s">
        <v>311</v>
      </c>
      <c r="D3786" s="423" t="s">
        <v>115</v>
      </c>
      <c r="E3786" s="471">
        <v>3500</v>
      </c>
      <c r="F3786" s="407">
        <f t="shared" si="58"/>
        <v>6.4404771105443492</v>
      </c>
      <c r="G3786" s="408">
        <v>543.43799999999999</v>
      </c>
      <c r="H3786" s="423" t="s">
        <v>185</v>
      </c>
      <c r="I3786" s="423" t="s">
        <v>4017</v>
      </c>
      <c r="J3786" s="243" t="s">
        <v>96</v>
      </c>
      <c r="K3786" s="243" t="s">
        <v>1906</v>
      </c>
      <c r="L3786" s="243" t="s">
        <v>153</v>
      </c>
    </row>
    <row r="3787" spans="1:12" ht="15.6" hidden="1">
      <c r="A3787" s="438">
        <v>45960</v>
      </c>
      <c r="B3787" s="423" t="s">
        <v>4000</v>
      </c>
      <c r="C3787" s="423" t="s">
        <v>172</v>
      </c>
      <c r="D3787" s="423" t="s">
        <v>115</v>
      </c>
      <c r="E3787" s="471">
        <v>500</v>
      </c>
      <c r="F3787" s="407">
        <f t="shared" si="58"/>
        <v>0.92006815864919278</v>
      </c>
      <c r="G3787" s="408">
        <v>543.43799999999999</v>
      </c>
      <c r="H3787" s="423" t="s">
        <v>185</v>
      </c>
      <c r="I3787" s="423" t="s">
        <v>4008</v>
      </c>
      <c r="J3787" s="243" t="s">
        <v>96</v>
      </c>
      <c r="K3787" s="243" t="s">
        <v>1906</v>
      </c>
      <c r="L3787" s="243" t="s">
        <v>153</v>
      </c>
    </row>
    <row r="3788" spans="1:12" ht="15.6" hidden="1">
      <c r="A3788" s="438">
        <v>45960</v>
      </c>
      <c r="B3788" s="423" t="s">
        <v>3998</v>
      </c>
      <c r="C3788" s="423" t="s">
        <v>172</v>
      </c>
      <c r="D3788" s="423" t="s">
        <v>115</v>
      </c>
      <c r="E3788" s="471">
        <v>500</v>
      </c>
      <c r="F3788" s="407">
        <f t="shared" si="58"/>
        <v>0.92006815864919278</v>
      </c>
      <c r="G3788" s="408">
        <v>543.43799999999999</v>
      </c>
      <c r="H3788" s="423" t="s">
        <v>185</v>
      </c>
      <c r="I3788" s="423" t="s">
        <v>4008</v>
      </c>
      <c r="J3788" s="243" t="s">
        <v>96</v>
      </c>
      <c r="K3788" s="243" t="s">
        <v>1906</v>
      </c>
      <c r="L3788" s="243" t="s">
        <v>153</v>
      </c>
    </row>
    <row r="3789" spans="1:12" ht="15.6" hidden="1">
      <c r="A3789" s="438">
        <v>45960</v>
      </c>
      <c r="B3789" s="423" t="s">
        <v>4001</v>
      </c>
      <c r="C3789" s="423" t="s">
        <v>311</v>
      </c>
      <c r="D3789" s="423" t="s">
        <v>115</v>
      </c>
      <c r="E3789" s="471">
        <v>3500</v>
      </c>
      <c r="F3789" s="407">
        <f t="shared" si="58"/>
        <v>6.4404771105443492</v>
      </c>
      <c r="G3789" s="408">
        <v>543.43799999999999</v>
      </c>
      <c r="H3789" s="423" t="s">
        <v>185</v>
      </c>
      <c r="I3789" s="423" t="s">
        <v>4017</v>
      </c>
      <c r="J3789" s="243" t="s">
        <v>96</v>
      </c>
      <c r="K3789" s="243" t="s">
        <v>1906</v>
      </c>
      <c r="L3789" s="243" t="s">
        <v>153</v>
      </c>
    </row>
    <row r="3790" spans="1:12" ht="15.6" hidden="1">
      <c r="A3790" s="438">
        <v>45960</v>
      </c>
      <c r="B3790" s="423" t="s">
        <v>4002</v>
      </c>
      <c r="C3790" s="423" t="s">
        <v>172</v>
      </c>
      <c r="D3790" s="423" t="s">
        <v>115</v>
      </c>
      <c r="E3790" s="471">
        <v>500</v>
      </c>
      <c r="F3790" s="407">
        <f t="shared" si="58"/>
        <v>0.92006815864919278</v>
      </c>
      <c r="G3790" s="408">
        <v>543.43799999999999</v>
      </c>
      <c r="H3790" s="423" t="s">
        <v>185</v>
      </c>
      <c r="I3790" s="423" t="s">
        <v>4008</v>
      </c>
      <c r="J3790" s="243" t="s">
        <v>96</v>
      </c>
      <c r="K3790" s="243" t="s">
        <v>1906</v>
      </c>
      <c r="L3790" s="243" t="s">
        <v>153</v>
      </c>
    </row>
    <row r="3791" spans="1:12" ht="15.6" hidden="1">
      <c r="A3791" s="438">
        <v>45961</v>
      </c>
      <c r="B3791" s="239" t="s">
        <v>2103</v>
      </c>
      <c r="C3791" s="239" t="s">
        <v>172</v>
      </c>
      <c r="D3791" s="453" t="s">
        <v>117</v>
      </c>
      <c r="E3791" s="458">
        <v>1000</v>
      </c>
      <c r="F3791" s="407">
        <f t="shared" si="58"/>
        <v>1.8401363172983856</v>
      </c>
      <c r="G3791" s="408">
        <v>543.43799999999999</v>
      </c>
      <c r="H3791" s="454" t="s">
        <v>151</v>
      </c>
      <c r="I3791" s="239" t="s">
        <v>3264</v>
      </c>
      <c r="J3791" s="243" t="s">
        <v>96</v>
      </c>
      <c r="K3791" s="243" t="s">
        <v>1906</v>
      </c>
      <c r="L3791" s="243" t="s">
        <v>153</v>
      </c>
    </row>
    <row r="3792" spans="1:12" ht="15.6" hidden="1">
      <c r="A3792" s="438">
        <v>45961</v>
      </c>
      <c r="B3792" s="239" t="s">
        <v>3261</v>
      </c>
      <c r="C3792" s="239" t="s">
        <v>172</v>
      </c>
      <c r="D3792" s="453" t="s">
        <v>117</v>
      </c>
      <c r="E3792" s="458">
        <v>1000</v>
      </c>
      <c r="F3792" s="407">
        <f t="shared" si="58"/>
        <v>1.8401363172983856</v>
      </c>
      <c r="G3792" s="408">
        <v>543.43799999999999</v>
      </c>
      <c r="H3792" s="454" t="s">
        <v>151</v>
      </c>
      <c r="I3792" s="239" t="s">
        <v>3264</v>
      </c>
      <c r="J3792" s="243" t="s">
        <v>96</v>
      </c>
      <c r="K3792" s="243" t="s">
        <v>1906</v>
      </c>
      <c r="L3792" s="243" t="s">
        <v>153</v>
      </c>
    </row>
    <row r="3793" spans="1:12" ht="15.6" hidden="1">
      <c r="A3793" s="438">
        <v>45961</v>
      </c>
      <c r="B3793" s="239" t="s">
        <v>3262</v>
      </c>
      <c r="C3793" s="239" t="s">
        <v>125</v>
      </c>
      <c r="D3793" s="453" t="s">
        <v>117</v>
      </c>
      <c r="E3793" s="458">
        <v>200000</v>
      </c>
      <c r="F3793" s="407">
        <f t="shared" si="58"/>
        <v>368.0272634596771</v>
      </c>
      <c r="G3793" s="408">
        <v>543.43799999999999</v>
      </c>
      <c r="H3793" s="239" t="s">
        <v>151</v>
      </c>
      <c r="I3793" s="455" t="s">
        <v>3280</v>
      </c>
      <c r="J3793" s="243" t="s">
        <v>96</v>
      </c>
      <c r="K3793" s="243" t="s">
        <v>1906</v>
      </c>
      <c r="L3793" s="243" t="s">
        <v>153</v>
      </c>
    </row>
    <row r="3794" spans="1:12" ht="15.6" hidden="1">
      <c r="A3794" s="438">
        <v>45961</v>
      </c>
      <c r="B3794" s="239" t="s">
        <v>2108</v>
      </c>
      <c r="C3794" s="239" t="s">
        <v>172</v>
      </c>
      <c r="D3794" s="453" t="s">
        <v>117</v>
      </c>
      <c r="E3794" s="458">
        <v>1000</v>
      </c>
      <c r="F3794" s="407">
        <f t="shared" si="58"/>
        <v>1.8401363172983856</v>
      </c>
      <c r="G3794" s="408">
        <v>543.43799999999999</v>
      </c>
      <c r="H3794" s="454" t="s">
        <v>151</v>
      </c>
      <c r="I3794" s="239" t="s">
        <v>3264</v>
      </c>
      <c r="J3794" s="243" t="s">
        <v>96</v>
      </c>
      <c r="K3794" s="243" t="s">
        <v>1906</v>
      </c>
      <c r="L3794" s="243" t="s">
        <v>153</v>
      </c>
    </row>
    <row r="3795" spans="1:12" ht="15.6" hidden="1">
      <c r="A3795" s="438">
        <v>45961</v>
      </c>
      <c r="B3795" s="239" t="s">
        <v>2116</v>
      </c>
      <c r="C3795" s="239" t="s">
        <v>172</v>
      </c>
      <c r="D3795" s="453" t="s">
        <v>117</v>
      </c>
      <c r="E3795" s="458">
        <v>1000</v>
      </c>
      <c r="F3795" s="407">
        <f t="shared" si="58"/>
        <v>1.8401363172983856</v>
      </c>
      <c r="G3795" s="408">
        <v>543.43799999999999</v>
      </c>
      <c r="H3795" s="454" t="s">
        <v>151</v>
      </c>
      <c r="I3795" s="239" t="s">
        <v>3264</v>
      </c>
      <c r="J3795" s="243" t="s">
        <v>96</v>
      </c>
      <c r="K3795" s="243" t="s">
        <v>1906</v>
      </c>
      <c r="L3795" s="243" t="s">
        <v>153</v>
      </c>
    </row>
    <row r="3796" spans="1:12" ht="15.6" hidden="1">
      <c r="A3796" s="438">
        <v>45961</v>
      </c>
      <c r="B3796" s="329" t="s">
        <v>3347</v>
      </c>
      <c r="C3796" s="329" t="s">
        <v>172</v>
      </c>
      <c r="D3796" s="329" t="s">
        <v>115</v>
      </c>
      <c r="E3796" s="451">
        <v>500</v>
      </c>
      <c r="F3796" s="407">
        <f t="shared" si="58"/>
        <v>0.92006815864919278</v>
      </c>
      <c r="G3796" s="408">
        <v>543.43799999999999</v>
      </c>
      <c r="H3796" s="329" t="s">
        <v>198</v>
      </c>
      <c r="I3796" s="329" t="s">
        <v>3349</v>
      </c>
      <c r="J3796" s="243" t="s">
        <v>96</v>
      </c>
      <c r="K3796" s="243" t="s">
        <v>1906</v>
      </c>
      <c r="L3796" s="243" t="s">
        <v>153</v>
      </c>
    </row>
    <row r="3797" spans="1:12" ht="15.6" hidden="1">
      <c r="A3797" s="438">
        <v>45961</v>
      </c>
      <c r="B3797" s="329" t="s">
        <v>3348</v>
      </c>
      <c r="C3797" s="329" t="s">
        <v>172</v>
      </c>
      <c r="D3797" s="329" t="s">
        <v>115</v>
      </c>
      <c r="E3797" s="451">
        <v>500</v>
      </c>
      <c r="F3797" s="407">
        <f t="shared" si="58"/>
        <v>0.92006815864919278</v>
      </c>
      <c r="G3797" s="408">
        <v>543.43799999999999</v>
      </c>
      <c r="H3797" s="329" t="s">
        <v>198</v>
      </c>
      <c r="I3797" s="329" t="s">
        <v>3349</v>
      </c>
      <c r="J3797" s="243" t="s">
        <v>96</v>
      </c>
      <c r="K3797" s="243" t="s">
        <v>1906</v>
      </c>
      <c r="L3797" s="243" t="s">
        <v>153</v>
      </c>
    </row>
    <row r="3798" spans="1:12" ht="15.6" hidden="1">
      <c r="A3798" s="438">
        <v>45961</v>
      </c>
      <c r="B3798" s="329" t="s">
        <v>2424</v>
      </c>
      <c r="C3798" s="329" t="s">
        <v>172</v>
      </c>
      <c r="D3798" s="329" t="s">
        <v>115</v>
      </c>
      <c r="E3798" s="451">
        <v>500</v>
      </c>
      <c r="F3798" s="407">
        <f t="shared" si="58"/>
        <v>0.92006815864919278</v>
      </c>
      <c r="G3798" s="408">
        <v>543.43799999999999</v>
      </c>
      <c r="H3798" s="329" t="s">
        <v>198</v>
      </c>
      <c r="I3798" s="329" t="s">
        <v>3349</v>
      </c>
      <c r="J3798" s="243" t="s">
        <v>96</v>
      </c>
      <c r="K3798" s="243" t="s">
        <v>1906</v>
      </c>
      <c r="L3798" s="243" t="s">
        <v>153</v>
      </c>
    </row>
    <row r="3799" spans="1:12" ht="15.6" hidden="1">
      <c r="A3799" s="438">
        <v>45961</v>
      </c>
      <c r="B3799" s="243" t="s">
        <v>3412</v>
      </c>
      <c r="C3799" s="423" t="s">
        <v>172</v>
      </c>
      <c r="D3799" s="423" t="s">
        <v>116</v>
      </c>
      <c r="E3799" s="464">
        <v>1000</v>
      </c>
      <c r="F3799" s="407">
        <f t="shared" si="58"/>
        <v>1.8401363172983856</v>
      </c>
      <c r="G3799" s="408">
        <v>543.43799999999999</v>
      </c>
      <c r="H3799" s="423" t="s">
        <v>581</v>
      </c>
      <c r="I3799" s="423" t="s">
        <v>3419</v>
      </c>
      <c r="J3799" s="243" t="s">
        <v>96</v>
      </c>
      <c r="K3799" s="243" t="s">
        <v>1906</v>
      </c>
      <c r="L3799" s="243" t="s">
        <v>153</v>
      </c>
    </row>
    <row r="3800" spans="1:12" ht="15.6" hidden="1">
      <c r="A3800" s="438">
        <v>45961</v>
      </c>
      <c r="B3800" s="243" t="s">
        <v>3413</v>
      </c>
      <c r="C3800" s="423" t="s">
        <v>172</v>
      </c>
      <c r="D3800" s="423" t="s">
        <v>116</v>
      </c>
      <c r="E3800" s="464">
        <v>1000</v>
      </c>
      <c r="F3800" s="407">
        <f t="shared" si="58"/>
        <v>1.8401363172983856</v>
      </c>
      <c r="G3800" s="408">
        <v>543.43799999999999</v>
      </c>
      <c r="H3800" s="423" t="s">
        <v>581</v>
      </c>
      <c r="I3800" s="423" t="s">
        <v>3419</v>
      </c>
      <c r="J3800" s="243" t="s">
        <v>96</v>
      </c>
      <c r="K3800" s="243" t="s">
        <v>1906</v>
      </c>
      <c r="L3800" s="243" t="s">
        <v>153</v>
      </c>
    </row>
    <row r="3801" spans="1:12" ht="15.6" hidden="1">
      <c r="A3801" s="438">
        <v>45961</v>
      </c>
      <c r="B3801" s="423" t="s">
        <v>3414</v>
      </c>
      <c r="C3801" s="423" t="s">
        <v>125</v>
      </c>
      <c r="D3801" s="423" t="s">
        <v>125</v>
      </c>
      <c r="E3801" s="465">
        <v>47700</v>
      </c>
      <c r="F3801" s="407">
        <f t="shared" si="58"/>
        <v>87.774502335132993</v>
      </c>
      <c r="G3801" s="408">
        <v>543.43799999999999</v>
      </c>
      <c r="H3801" s="423" t="s">
        <v>581</v>
      </c>
      <c r="I3801" s="456" t="s">
        <v>3436</v>
      </c>
      <c r="J3801" s="243" t="s">
        <v>96</v>
      </c>
      <c r="K3801" s="243" t="s">
        <v>1906</v>
      </c>
      <c r="L3801" s="243" t="s">
        <v>153</v>
      </c>
    </row>
    <row r="3802" spans="1:12" ht="15.6" hidden="1">
      <c r="A3802" s="438">
        <v>45961</v>
      </c>
      <c r="B3802" s="423" t="s">
        <v>3415</v>
      </c>
      <c r="C3802" s="423" t="s">
        <v>624</v>
      </c>
      <c r="D3802" s="413" t="s">
        <v>116</v>
      </c>
      <c r="E3802" s="465">
        <v>45050</v>
      </c>
      <c r="F3802" s="407">
        <f t="shared" si="58"/>
        <v>82.898141094292271</v>
      </c>
      <c r="G3802" s="408">
        <v>543.43799999999999</v>
      </c>
      <c r="H3802" s="423" t="s">
        <v>581</v>
      </c>
      <c r="I3802" s="456" t="s">
        <v>3437</v>
      </c>
      <c r="J3802" s="243" t="s">
        <v>96</v>
      </c>
      <c r="K3802" s="243" t="s">
        <v>1906</v>
      </c>
      <c r="L3802" s="243" t="s">
        <v>153</v>
      </c>
    </row>
    <row r="3803" spans="1:12" ht="15.6" hidden="1">
      <c r="A3803" s="438">
        <v>45961</v>
      </c>
      <c r="B3803" s="243" t="s">
        <v>3416</v>
      </c>
      <c r="C3803" s="466" t="s">
        <v>172</v>
      </c>
      <c r="D3803" s="466" t="s">
        <v>116</v>
      </c>
      <c r="E3803" s="464">
        <v>1000</v>
      </c>
      <c r="F3803" s="407">
        <f t="shared" si="58"/>
        <v>1.8401363172983856</v>
      </c>
      <c r="G3803" s="408">
        <v>543.43799999999999</v>
      </c>
      <c r="H3803" s="423" t="s">
        <v>581</v>
      </c>
      <c r="I3803" s="423" t="s">
        <v>3419</v>
      </c>
      <c r="J3803" s="243" t="s">
        <v>96</v>
      </c>
      <c r="K3803" s="243" t="s">
        <v>1906</v>
      </c>
      <c r="L3803" s="243" t="s">
        <v>153</v>
      </c>
    </row>
    <row r="3804" spans="1:12" ht="15.6" hidden="1">
      <c r="A3804" s="438">
        <v>45961</v>
      </c>
      <c r="B3804" s="243" t="s">
        <v>3417</v>
      </c>
      <c r="C3804" s="466" t="s">
        <v>172</v>
      </c>
      <c r="D3804" s="423" t="s">
        <v>116</v>
      </c>
      <c r="E3804" s="464">
        <v>1000</v>
      </c>
      <c r="F3804" s="407">
        <f t="shared" si="58"/>
        <v>1.8401363172983856</v>
      </c>
      <c r="G3804" s="408">
        <v>543.43799999999999</v>
      </c>
      <c r="H3804" s="423" t="s">
        <v>581</v>
      </c>
      <c r="I3804" s="423" t="s">
        <v>3419</v>
      </c>
      <c r="J3804" s="243" t="s">
        <v>96</v>
      </c>
      <c r="K3804" s="243" t="s">
        <v>1906</v>
      </c>
      <c r="L3804" s="243" t="s">
        <v>153</v>
      </c>
    </row>
    <row r="3805" spans="1:12" ht="15.6" hidden="1">
      <c r="A3805" s="438">
        <v>45961</v>
      </c>
      <c r="B3805" s="243" t="s">
        <v>3418</v>
      </c>
      <c r="C3805" s="466" t="s">
        <v>172</v>
      </c>
      <c r="D3805" s="423" t="s">
        <v>116</v>
      </c>
      <c r="E3805" s="464">
        <v>1000</v>
      </c>
      <c r="F3805" s="407">
        <f t="shared" si="58"/>
        <v>1.8401363172983856</v>
      </c>
      <c r="G3805" s="408">
        <v>543.43799999999999</v>
      </c>
      <c r="H3805" s="423" t="s">
        <v>581</v>
      </c>
      <c r="I3805" s="423" t="s">
        <v>3419</v>
      </c>
      <c r="J3805" s="243" t="s">
        <v>96</v>
      </c>
      <c r="K3805" s="243" t="s">
        <v>1906</v>
      </c>
      <c r="L3805" s="243" t="s">
        <v>153</v>
      </c>
    </row>
    <row r="3806" spans="1:12" ht="15.6" hidden="1">
      <c r="A3806" s="438">
        <v>45961</v>
      </c>
      <c r="B3806" s="432" t="s">
        <v>2998</v>
      </c>
      <c r="C3806" s="432" t="s">
        <v>172</v>
      </c>
      <c r="D3806" s="243" t="s">
        <v>115</v>
      </c>
      <c r="E3806" s="463">
        <v>500</v>
      </c>
      <c r="F3806" s="407">
        <f t="shared" si="58"/>
        <v>0.92006815864919278</v>
      </c>
      <c r="G3806" s="408">
        <v>543.43799999999999</v>
      </c>
      <c r="H3806" s="243" t="s">
        <v>188</v>
      </c>
      <c r="I3806" s="243" t="s">
        <v>3594</v>
      </c>
      <c r="J3806" s="243" t="s">
        <v>96</v>
      </c>
      <c r="K3806" s="243" t="s">
        <v>1906</v>
      </c>
      <c r="L3806" s="243" t="s">
        <v>153</v>
      </c>
    </row>
    <row r="3807" spans="1:12" ht="15.6" hidden="1">
      <c r="A3807" s="438">
        <v>45961</v>
      </c>
      <c r="B3807" s="243" t="s">
        <v>3000</v>
      </c>
      <c r="C3807" s="243" t="s">
        <v>172</v>
      </c>
      <c r="D3807" s="243" t="s">
        <v>115</v>
      </c>
      <c r="E3807" s="468">
        <v>500</v>
      </c>
      <c r="F3807" s="407">
        <f t="shared" si="58"/>
        <v>0.92006815864919278</v>
      </c>
      <c r="G3807" s="408">
        <v>543.43799999999999</v>
      </c>
      <c r="H3807" s="243" t="s">
        <v>188</v>
      </c>
      <c r="I3807" s="243" t="s">
        <v>3594</v>
      </c>
      <c r="J3807" s="243" t="s">
        <v>96</v>
      </c>
      <c r="K3807" s="243" t="s">
        <v>1906</v>
      </c>
      <c r="L3807" s="243" t="s">
        <v>153</v>
      </c>
    </row>
    <row r="3808" spans="1:12" ht="15.6" hidden="1">
      <c r="A3808" s="438">
        <v>45961</v>
      </c>
      <c r="B3808" s="243" t="s">
        <v>3411</v>
      </c>
      <c r="C3808" s="243" t="s">
        <v>180</v>
      </c>
      <c r="D3808" s="243" t="s">
        <v>116</v>
      </c>
      <c r="E3808" s="457">
        <v>11250</v>
      </c>
      <c r="F3808" s="407">
        <f t="shared" si="58"/>
        <v>20.701533569606838</v>
      </c>
      <c r="G3808" s="408">
        <v>543.43799999999999</v>
      </c>
      <c r="H3808" s="243" t="s">
        <v>188</v>
      </c>
      <c r="I3808" s="455" t="s">
        <v>3612</v>
      </c>
      <c r="J3808" s="243" t="s">
        <v>96</v>
      </c>
      <c r="K3808" s="243" t="s">
        <v>1906</v>
      </c>
      <c r="L3808" s="243" t="s">
        <v>153</v>
      </c>
    </row>
    <row r="3809" spans="1:12" ht="15.6" hidden="1">
      <c r="A3809" s="438">
        <v>45961</v>
      </c>
      <c r="B3809" s="243" t="s">
        <v>3591</v>
      </c>
      <c r="C3809" s="432" t="s">
        <v>180</v>
      </c>
      <c r="D3809" s="243" t="s">
        <v>116</v>
      </c>
      <c r="E3809" s="457">
        <v>5000</v>
      </c>
      <c r="F3809" s="407">
        <f t="shared" si="58"/>
        <v>9.2006815864919282</v>
      </c>
      <c r="G3809" s="408">
        <v>543.43799999999999</v>
      </c>
      <c r="H3809" s="243" t="s">
        <v>188</v>
      </c>
      <c r="I3809" s="455" t="s">
        <v>3613</v>
      </c>
      <c r="J3809" s="243" t="s">
        <v>96</v>
      </c>
      <c r="K3809" s="243" t="s">
        <v>1906</v>
      </c>
      <c r="L3809" s="243" t="s">
        <v>153</v>
      </c>
    </row>
    <row r="3810" spans="1:12" ht="15.6" hidden="1">
      <c r="A3810" s="438">
        <v>45961</v>
      </c>
      <c r="B3810" s="243" t="s">
        <v>2998</v>
      </c>
      <c r="C3810" s="243" t="s">
        <v>172</v>
      </c>
      <c r="D3810" s="243" t="s">
        <v>115</v>
      </c>
      <c r="E3810" s="463">
        <v>500</v>
      </c>
      <c r="F3810" s="407">
        <f t="shared" si="58"/>
        <v>0.92006815864919278</v>
      </c>
      <c r="G3810" s="408">
        <v>543.43799999999999</v>
      </c>
      <c r="H3810" s="243" t="s">
        <v>188</v>
      </c>
      <c r="I3810" s="243" t="s">
        <v>3594</v>
      </c>
      <c r="J3810" s="243" t="s">
        <v>96</v>
      </c>
      <c r="K3810" s="243" t="s">
        <v>1906</v>
      </c>
      <c r="L3810" s="243" t="s">
        <v>153</v>
      </c>
    </row>
    <row r="3811" spans="1:12" ht="15.6" hidden="1">
      <c r="A3811" s="438">
        <v>45961</v>
      </c>
      <c r="B3811" s="243" t="s">
        <v>3000</v>
      </c>
      <c r="C3811" s="432" t="s">
        <v>172</v>
      </c>
      <c r="D3811" s="243" t="s">
        <v>115</v>
      </c>
      <c r="E3811" s="463">
        <v>500</v>
      </c>
      <c r="F3811" s="407">
        <f t="shared" si="58"/>
        <v>0.92006815864919278</v>
      </c>
      <c r="G3811" s="408">
        <v>543.43799999999999</v>
      </c>
      <c r="H3811" s="243" t="s">
        <v>188</v>
      </c>
      <c r="I3811" s="243" t="s">
        <v>3594</v>
      </c>
      <c r="J3811" s="243" t="s">
        <v>96</v>
      </c>
      <c r="K3811" s="243" t="s">
        <v>1906</v>
      </c>
      <c r="L3811" s="243" t="s">
        <v>153</v>
      </c>
    </row>
    <row r="3812" spans="1:12" ht="15.6" hidden="1">
      <c r="A3812" s="438">
        <v>45961</v>
      </c>
      <c r="B3812" s="243" t="s">
        <v>3592</v>
      </c>
      <c r="C3812" s="432" t="s">
        <v>172</v>
      </c>
      <c r="D3812" s="432" t="s">
        <v>115</v>
      </c>
      <c r="E3812" s="463">
        <v>1000</v>
      </c>
      <c r="F3812" s="407">
        <f t="shared" si="58"/>
        <v>1.8401363172983856</v>
      </c>
      <c r="G3812" s="408">
        <v>543.43799999999999</v>
      </c>
      <c r="H3812" s="243" t="s">
        <v>188</v>
      </c>
      <c r="I3812" s="243" t="s">
        <v>3594</v>
      </c>
      <c r="J3812" s="243" t="s">
        <v>96</v>
      </c>
      <c r="K3812" s="243" t="s">
        <v>1906</v>
      </c>
      <c r="L3812" s="243" t="s">
        <v>153</v>
      </c>
    </row>
    <row r="3813" spans="1:12" ht="15.6" hidden="1">
      <c r="A3813" s="438">
        <v>45961</v>
      </c>
      <c r="B3813" s="243" t="s">
        <v>3593</v>
      </c>
      <c r="C3813" s="243" t="s">
        <v>172</v>
      </c>
      <c r="D3813" s="243" t="s">
        <v>115</v>
      </c>
      <c r="E3813" s="463">
        <v>1000</v>
      </c>
      <c r="F3813" s="407">
        <f t="shared" si="58"/>
        <v>1.8401363172983856</v>
      </c>
      <c r="G3813" s="408">
        <v>543.43799999999999</v>
      </c>
      <c r="H3813" s="243" t="s">
        <v>188</v>
      </c>
      <c r="I3813" s="243" t="s">
        <v>3594</v>
      </c>
      <c r="J3813" s="243" t="s">
        <v>96</v>
      </c>
      <c r="K3813" s="243" t="s">
        <v>1906</v>
      </c>
      <c r="L3813" s="243" t="s">
        <v>153</v>
      </c>
    </row>
    <row r="3814" spans="1:12" ht="15.6" hidden="1">
      <c r="A3814" s="438">
        <v>45961</v>
      </c>
      <c r="B3814" s="243" t="s">
        <v>3649</v>
      </c>
      <c r="C3814" s="243" t="s">
        <v>172</v>
      </c>
      <c r="D3814" s="243" t="s">
        <v>115</v>
      </c>
      <c r="E3814" s="467">
        <v>500</v>
      </c>
      <c r="F3814" s="407">
        <f t="shared" si="58"/>
        <v>0.92006815864919278</v>
      </c>
      <c r="G3814" s="408">
        <v>543.43799999999999</v>
      </c>
      <c r="H3814" s="243" t="s">
        <v>191</v>
      </c>
      <c r="I3814" s="243" t="s">
        <v>3665</v>
      </c>
      <c r="J3814" s="243" t="s">
        <v>96</v>
      </c>
      <c r="K3814" s="243" t="s">
        <v>1906</v>
      </c>
      <c r="L3814" s="243" t="s">
        <v>153</v>
      </c>
    </row>
    <row r="3815" spans="1:12" ht="15.6" hidden="1">
      <c r="A3815" s="438">
        <v>45961</v>
      </c>
      <c r="B3815" s="243" t="s">
        <v>3650</v>
      </c>
      <c r="C3815" s="243" t="s">
        <v>3317</v>
      </c>
      <c r="D3815" s="243" t="s">
        <v>115</v>
      </c>
      <c r="E3815" s="467">
        <v>1500</v>
      </c>
      <c r="F3815" s="407">
        <f t="shared" si="58"/>
        <v>2.7602044759475781</v>
      </c>
      <c r="G3815" s="408">
        <v>543.43799999999999</v>
      </c>
      <c r="H3815" s="243" t="s">
        <v>191</v>
      </c>
      <c r="I3815" s="243" t="s">
        <v>3682</v>
      </c>
      <c r="J3815" s="243" t="s">
        <v>96</v>
      </c>
      <c r="K3815" s="243" t="s">
        <v>1906</v>
      </c>
      <c r="L3815" s="243" t="s">
        <v>153</v>
      </c>
    </row>
    <row r="3816" spans="1:12" ht="15.6" hidden="1">
      <c r="A3816" s="438">
        <v>45961</v>
      </c>
      <c r="B3816" s="243" t="s">
        <v>3655</v>
      </c>
      <c r="C3816" s="432" t="s">
        <v>172</v>
      </c>
      <c r="D3816" s="432" t="s">
        <v>115</v>
      </c>
      <c r="E3816" s="467">
        <v>500</v>
      </c>
      <c r="F3816" s="407">
        <f t="shared" ref="F3816:F3820" si="59">E3816/G3816</f>
        <v>0.92006815864919278</v>
      </c>
      <c r="G3816" s="408">
        <v>543.43799999999999</v>
      </c>
      <c r="H3816" s="243" t="s">
        <v>191</v>
      </c>
      <c r="I3816" s="243" t="s">
        <v>3665</v>
      </c>
      <c r="J3816" s="243" t="s">
        <v>96</v>
      </c>
      <c r="K3816" s="243" t="s">
        <v>1906</v>
      </c>
      <c r="L3816" s="243" t="s">
        <v>153</v>
      </c>
    </row>
    <row r="3817" spans="1:12" ht="15.6" hidden="1">
      <c r="A3817" s="438">
        <v>45961</v>
      </c>
      <c r="B3817" s="243" t="s">
        <v>3661</v>
      </c>
      <c r="C3817" s="243" t="s">
        <v>172</v>
      </c>
      <c r="D3817" s="243" t="s">
        <v>115</v>
      </c>
      <c r="E3817" s="467">
        <v>500</v>
      </c>
      <c r="F3817" s="407">
        <f t="shared" si="59"/>
        <v>0.92006815864919278</v>
      </c>
      <c r="G3817" s="408">
        <v>543.43799999999999</v>
      </c>
      <c r="H3817" s="243" t="s">
        <v>191</v>
      </c>
      <c r="I3817" s="243" t="s">
        <v>3665</v>
      </c>
      <c r="J3817" s="243" t="s">
        <v>96</v>
      </c>
      <c r="K3817" s="243" t="s">
        <v>1906</v>
      </c>
      <c r="L3817" s="243" t="s">
        <v>153</v>
      </c>
    </row>
    <row r="3818" spans="1:12" ht="15.6" hidden="1">
      <c r="A3818" s="438">
        <v>45961</v>
      </c>
      <c r="B3818" s="243" t="s">
        <v>3662</v>
      </c>
      <c r="C3818" s="243" t="s">
        <v>172</v>
      </c>
      <c r="D3818" s="243" t="s">
        <v>115</v>
      </c>
      <c r="E3818" s="457">
        <v>500</v>
      </c>
      <c r="F3818" s="407">
        <f t="shared" si="59"/>
        <v>0.92006815864919278</v>
      </c>
      <c r="G3818" s="408">
        <v>543.43799999999999</v>
      </c>
      <c r="H3818" s="243" t="s">
        <v>191</v>
      </c>
      <c r="I3818" s="243" t="s">
        <v>3665</v>
      </c>
      <c r="J3818" s="243" t="s">
        <v>96</v>
      </c>
      <c r="K3818" s="243" t="s">
        <v>1906</v>
      </c>
      <c r="L3818" s="243" t="s">
        <v>153</v>
      </c>
    </row>
    <row r="3819" spans="1:12" ht="15.6" hidden="1">
      <c r="A3819" s="438">
        <v>45961</v>
      </c>
      <c r="B3819" s="243" t="s">
        <v>3663</v>
      </c>
      <c r="C3819" s="243" t="s">
        <v>172</v>
      </c>
      <c r="D3819" s="243" t="s">
        <v>115</v>
      </c>
      <c r="E3819" s="457">
        <v>500</v>
      </c>
      <c r="F3819" s="407">
        <f t="shared" si="59"/>
        <v>0.92006815864919278</v>
      </c>
      <c r="G3819" s="408">
        <v>543.43799999999999</v>
      </c>
      <c r="H3819" s="243" t="s">
        <v>191</v>
      </c>
      <c r="I3819" s="243" t="s">
        <v>3665</v>
      </c>
      <c r="J3819" s="243" t="s">
        <v>96</v>
      </c>
      <c r="K3819" s="243" t="s">
        <v>1906</v>
      </c>
      <c r="L3819" s="243" t="s">
        <v>153</v>
      </c>
    </row>
    <row r="3820" spans="1:12" ht="15.6" hidden="1">
      <c r="A3820" s="438">
        <v>45961</v>
      </c>
      <c r="B3820" s="243" t="s">
        <v>3664</v>
      </c>
      <c r="C3820" s="243" t="s">
        <v>172</v>
      </c>
      <c r="D3820" s="243" t="s">
        <v>115</v>
      </c>
      <c r="E3820" s="457">
        <v>500</v>
      </c>
      <c r="F3820" s="407">
        <f t="shared" si="59"/>
        <v>0.92006815864919278</v>
      </c>
      <c r="G3820" s="408">
        <v>543.43799999999999</v>
      </c>
      <c r="H3820" s="243" t="s">
        <v>191</v>
      </c>
      <c r="I3820" s="243" t="s">
        <v>3665</v>
      </c>
      <c r="J3820" s="243" t="s">
        <v>96</v>
      </c>
      <c r="K3820" s="243" t="s">
        <v>1906</v>
      </c>
      <c r="L3820" s="243" t="s">
        <v>153</v>
      </c>
    </row>
    <row r="3821" spans="1:12" ht="15.6" hidden="1">
      <c r="A3821" s="438">
        <v>45961</v>
      </c>
      <c r="B3821" s="423" t="s">
        <v>3903</v>
      </c>
      <c r="C3821" s="423" t="s">
        <v>2092</v>
      </c>
      <c r="D3821" s="461" t="s">
        <v>118</v>
      </c>
      <c r="E3821" s="465">
        <v>50000</v>
      </c>
      <c r="F3821" s="407">
        <f t="shared" ref="F3821:F3841" si="60">E3821/G3821</f>
        <v>92.006815864919275</v>
      </c>
      <c r="G3821" s="408">
        <v>543.43799999999999</v>
      </c>
      <c r="H3821" s="423" t="s">
        <v>211</v>
      </c>
      <c r="I3821" s="456" t="s">
        <v>3937</v>
      </c>
      <c r="J3821" s="243" t="s">
        <v>96</v>
      </c>
      <c r="K3821" s="243" t="s">
        <v>1906</v>
      </c>
      <c r="L3821" s="243" t="s">
        <v>153</v>
      </c>
    </row>
    <row r="3822" spans="1:12" ht="15.6" hidden="1">
      <c r="A3822" s="438">
        <v>45961</v>
      </c>
      <c r="B3822" s="423" t="s">
        <v>3904</v>
      </c>
      <c r="C3822" s="423" t="s">
        <v>2092</v>
      </c>
      <c r="D3822" s="461" t="s">
        <v>118</v>
      </c>
      <c r="E3822" s="465">
        <v>50000</v>
      </c>
      <c r="F3822" s="407">
        <f t="shared" si="60"/>
        <v>92.006815864919275</v>
      </c>
      <c r="G3822" s="408">
        <v>543.43799999999999</v>
      </c>
      <c r="H3822" s="423" t="s">
        <v>211</v>
      </c>
      <c r="I3822" s="456" t="s">
        <v>3937</v>
      </c>
      <c r="J3822" s="243" t="s">
        <v>96</v>
      </c>
      <c r="K3822" s="243" t="s">
        <v>1906</v>
      </c>
      <c r="L3822" s="243" t="s">
        <v>153</v>
      </c>
    </row>
    <row r="3823" spans="1:12" ht="15.6" hidden="1">
      <c r="A3823" s="438">
        <v>45961</v>
      </c>
      <c r="B3823" s="423" t="s">
        <v>3905</v>
      </c>
      <c r="C3823" s="423" t="s">
        <v>2092</v>
      </c>
      <c r="D3823" s="461" t="s">
        <v>118</v>
      </c>
      <c r="E3823" s="465">
        <v>50000</v>
      </c>
      <c r="F3823" s="407">
        <f t="shared" si="60"/>
        <v>92.006815864919275</v>
      </c>
      <c r="G3823" s="408">
        <v>543.43799999999999</v>
      </c>
      <c r="H3823" s="423" t="s">
        <v>211</v>
      </c>
      <c r="I3823" s="456" t="s">
        <v>3937</v>
      </c>
      <c r="J3823" s="243" t="s">
        <v>96</v>
      </c>
      <c r="K3823" s="243" t="s">
        <v>1906</v>
      </c>
      <c r="L3823" s="243" t="s">
        <v>153</v>
      </c>
    </row>
    <row r="3824" spans="1:12" ht="15.6" hidden="1">
      <c r="A3824" s="438">
        <v>45961</v>
      </c>
      <c r="B3824" s="423" t="s">
        <v>3906</v>
      </c>
      <c r="C3824" s="466" t="s">
        <v>2092</v>
      </c>
      <c r="D3824" s="474" t="s">
        <v>118</v>
      </c>
      <c r="E3824" s="465">
        <v>50000</v>
      </c>
      <c r="F3824" s="407">
        <f t="shared" si="60"/>
        <v>92.006815864919275</v>
      </c>
      <c r="G3824" s="408">
        <v>543.43799999999999</v>
      </c>
      <c r="H3824" s="423" t="s">
        <v>211</v>
      </c>
      <c r="I3824" s="456" t="s">
        <v>3937</v>
      </c>
      <c r="J3824" s="243" t="s">
        <v>96</v>
      </c>
      <c r="K3824" s="243" t="s">
        <v>1906</v>
      </c>
      <c r="L3824" s="243" t="s">
        <v>153</v>
      </c>
    </row>
    <row r="3825" spans="1:12" ht="15.6" hidden="1">
      <c r="A3825" s="438">
        <v>45961</v>
      </c>
      <c r="B3825" s="461" t="s">
        <v>3907</v>
      </c>
      <c r="C3825" s="439" t="s">
        <v>175</v>
      </c>
      <c r="D3825" s="461" t="s">
        <v>118</v>
      </c>
      <c r="E3825" s="464">
        <v>45000</v>
      </c>
      <c r="F3825" s="407">
        <f t="shared" si="60"/>
        <v>82.806134278427351</v>
      </c>
      <c r="G3825" s="408">
        <v>543.43799999999999</v>
      </c>
      <c r="H3825" s="461" t="s">
        <v>211</v>
      </c>
      <c r="I3825" s="461" t="s">
        <v>3938</v>
      </c>
      <c r="J3825" s="243" t="s">
        <v>96</v>
      </c>
      <c r="K3825" s="243" t="s">
        <v>1906</v>
      </c>
      <c r="L3825" s="243" t="s">
        <v>153</v>
      </c>
    </row>
    <row r="3826" spans="1:12" ht="15.6" hidden="1">
      <c r="A3826" s="438">
        <v>45961</v>
      </c>
      <c r="B3826" s="461" t="s">
        <v>3908</v>
      </c>
      <c r="C3826" s="439" t="s">
        <v>172</v>
      </c>
      <c r="D3826" s="461" t="s">
        <v>118</v>
      </c>
      <c r="E3826" s="464">
        <v>500</v>
      </c>
      <c r="F3826" s="407">
        <f t="shared" si="60"/>
        <v>0.92006815864919278</v>
      </c>
      <c r="G3826" s="408">
        <v>543.43799999999999</v>
      </c>
      <c r="H3826" s="461" t="s">
        <v>211</v>
      </c>
      <c r="I3826" s="461" t="s">
        <v>3910</v>
      </c>
      <c r="J3826" s="243" t="s">
        <v>96</v>
      </c>
      <c r="K3826" s="243" t="s">
        <v>1906</v>
      </c>
      <c r="L3826" s="243" t="s">
        <v>153</v>
      </c>
    </row>
    <row r="3827" spans="1:12" ht="15.6" hidden="1">
      <c r="A3827" s="438">
        <v>45961</v>
      </c>
      <c r="B3827" s="461" t="s">
        <v>3909</v>
      </c>
      <c r="C3827" s="439" t="s">
        <v>172</v>
      </c>
      <c r="D3827" s="461" t="s">
        <v>118</v>
      </c>
      <c r="E3827" s="464">
        <v>1000</v>
      </c>
      <c r="F3827" s="407">
        <f t="shared" si="60"/>
        <v>1.8401363172983856</v>
      </c>
      <c r="G3827" s="408">
        <v>543.43799999999999</v>
      </c>
      <c r="H3827" s="461" t="s">
        <v>211</v>
      </c>
      <c r="I3827" s="461" t="s">
        <v>3910</v>
      </c>
      <c r="J3827" s="243" t="s">
        <v>96</v>
      </c>
      <c r="K3827" s="243" t="s">
        <v>1906</v>
      </c>
      <c r="L3827" s="243" t="s">
        <v>153</v>
      </c>
    </row>
    <row r="3828" spans="1:12" ht="15.6" hidden="1">
      <c r="A3828" s="438">
        <v>45961</v>
      </c>
      <c r="B3828" s="423" t="s">
        <v>3998</v>
      </c>
      <c r="C3828" s="423" t="s">
        <v>172</v>
      </c>
      <c r="D3828" s="423" t="s">
        <v>115</v>
      </c>
      <c r="E3828" s="471">
        <v>500</v>
      </c>
      <c r="F3828" s="407">
        <f t="shared" si="60"/>
        <v>0.92006815864919278</v>
      </c>
      <c r="G3828" s="408">
        <v>543.43799999999999</v>
      </c>
      <c r="H3828" s="423" t="s">
        <v>185</v>
      </c>
      <c r="I3828" s="423" t="s">
        <v>4008</v>
      </c>
      <c r="J3828" s="243" t="s">
        <v>96</v>
      </c>
      <c r="K3828" s="243" t="s">
        <v>1906</v>
      </c>
      <c r="L3828" s="243" t="s">
        <v>153</v>
      </c>
    </row>
    <row r="3829" spans="1:12" ht="15.6" hidden="1">
      <c r="A3829" s="438">
        <v>45961</v>
      </c>
      <c r="B3829" s="423" t="s">
        <v>4001</v>
      </c>
      <c r="C3829" s="423" t="s">
        <v>311</v>
      </c>
      <c r="D3829" s="423" t="s">
        <v>115</v>
      </c>
      <c r="E3829" s="471">
        <v>3500</v>
      </c>
      <c r="F3829" s="407">
        <f t="shared" si="60"/>
        <v>6.4404771105443492</v>
      </c>
      <c r="G3829" s="408">
        <v>543.43799999999999</v>
      </c>
      <c r="H3829" s="423" t="s">
        <v>185</v>
      </c>
      <c r="I3829" s="423" t="s">
        <v>4017</v>
      </c>
      <c r="J3829" s="243" t="s">
        <v>96</v>
      </c>
      <c r="K3829" s="243" t="s">
        <v>1906</v>
      </c>
      <c r="L3829" s="243" t="s">
        <v>153</v>
      </c>
    </row>
    <row r="3830" spans="1:12" ht="15.6" hidden="1">
      <c r="A3830" s="438">
        <v>45961</v>
      </c>
      <c r="B3830" s="423" t="s">
        <v>4003</v>
      </c>
      <c r="C3830" s="423" t="s">
        <v>172</v>
      </c>
      <c r="D3830" s="423" t="s">
        <v>115</v>
      </c>
      <c r="E3830" s="471">
        <v>500</v>
      </c>
      <c r="F3830" s="407">
        <f t="shared" si="60"/>
        <v>0.92006815864919278</v>
      </c>
      <c r="G3830" s="408">
        <v>543.43799999999999</v>
      </c>
      <c r="H3830" s="423" t="s">
        <v>185</v>
      </c>
      <c r="I3830" s="423" t="s">
        <v>4008</v>
      </c>
      <c r="J3830" s="243" t="s">
        <v>96</v>
      </c>
      <c r="K3830" s="243" t="s">
        <v>1906</v>
      </c>
      <c r="L3830" s="243" t="s">
        <v>153</v>
      </c>
    </row>
    <row r="3831" spans="1:12" ht="15.6" hidden="1">
      <c r="A3831" s="438">
        <v>45961</v>
      </c>
      <c r="B3831" s="423" t="s">
        <v>4004</v>
      </c>
      <c r="C3831" s="466" t="s">
        <v>172</v>
      </c>
      <c r="D3831" s="466" t="s">
        <v>115</v>
      </c>
      <c r="E3831" s="471">
        <v>37000</v>
      </c>
      <c r="F3831" s="407">
        <f t="shared" si="60"/>
        <v>68.085043740040263</v>
      </c>
      <c r="G3831" s="408">
        <v>543.43799999999999</v>
      </c>
      <c r="H3831" s="423" t="s">
        <v>185</v>
      </c>
      <c r="I3831" s="423" t="s">
        <v>4031</v>
      </c>
      <c r="J3831" s="243" t="s">
        <v>96</v>
      </c>
      <c r="K3831" s="243" t="s">
        <v>1906</v>
      </c>
      <c r="L3831" s="243" t="s">
        <v>153</v>
      </c>
    </row>
    <row r="3832" spans="1:12" ht="15.6" hidden="1">
      <c r="A3832" s="438">
        <v>45961</v>
      </c>
      <c r="B3832" s="423" t="s">
        <v>4005</v>
      </c>
      <c r="C3832" s="423" t="s">
        <v>172</v>
      </c>
      <c r="D3832" s="423" t="s">
        <v>115</v>
      </c>
      <c r="E3832" s="471">
        <v>500</v>
      </c>
      <c r="F3832" s="407">
        <f t="shared" si="60"/>
        <v>0.92006815864919278</v>
      </c>
      <c r="G3832" s="408">
        <v>543.43799999999999</v>
      </c>
      <c r="H3832" s="423" t="s">
        <v>185</v>
      </c>
      <c r="I3832" s="423" t="s">
        <v>4008</v>
      </c>
      <c r="J3832" s="243" t="s">
        <v>96</v>
      </c>
      <c r="K3832" s="243" t="s">
        <v>1906</v>
      </c>
      <c r="L3832" s="243" t="s">
        <v>153</v>
      </c>
    </row>
    <row r="3833" spans="1:12" ht="15.6" hidden="1">
      <c r="A3833" s="438">
        <v>45961</v>
      </c>
      <c r="B3833" s="423" t="s">
        <v>4006</v>
      </c>
      <c r="C3833" s="423" t="s">
        <v>172</v>
      </c>
      <c r="D3833" s="423" t="s">
        <v>115</v>
      </c>
      <c r="E3833" s="471">
        <v>500</v>
      </c>
      <c r="F3833" s="407">
        <f t="shared" si="60"/>
        <v>0.92006815864919278</v>
      </c>
      <c r="G3833" s="408">
        <v>543.43799999999999</v>
      </c>
      <c r="H3833" s="423" t="s">
        <v>185</v>
      </c>
      <c r="I3833" s="423" t="s">
        <v>4008</v>
      </c>
      <c r="J3833" s="243" t="s">
        <v>96</v>
      </c>
      <c r="K3833" s="243" t="s">
        <v>1906</v>
      </c>
      <c r="L3833" s="243" t="s">
        <v>153</v>
      </c>
    </row>
    <row r="3834" spans="1:12" ht="15.6" hidden="1">
      <c r="A3834" s="438">
        <v>45961</v>
      </c>
      <c r="B3834" s="423" t="s">
        <v>3998</v>
      </c>
      <c r="C3834" s="466" t="s">
        <v>172</v>
      </c>
      <c r="D3834" s="423" t="s">
        <v>115</v>
      </c>
      <c r="E3834" s="471">
        <v>500</v>
      </c>
      <c r="F3834" s="407">
        <f t="shared" si="60"/>
        <v>0.92006815864919278</v>
      </c>
      <c r="G3834" s="408">
        <v>543.43799999999999</v>
      </c>
      <c r="H3834" s="423" t="s">
        <v>185</v>
      </c>
      <c r="I3834" s="423" t="s">
        <v>4008</v>
      </c>
      <c r="J3834" s="243" t="s">
        <v>96</v>
      </c>
      <c r="K3834" s="243" t="s">
        <v>1906</v>
      </c>
      <c r="L3834" s="243" t="s">
        <v>153</v>
      </c>
    </row>
    <row r="3835" spans="1:12" ht="15.6" hidden="1">
      <c r="A3835" s="438">
        <v>45961</v>
      </c>
      <c r="B3835" s="423" t="s">
        <v>4001</v>
      </c>
      <c r="C3835" s="466" t="s">
        <v>311</v>
      </c>
      <c r="D3835" s="466" t="s">
        <v>115</v>
      </c>
      <c r="E3835" s="471">
        <v>3500</v>
      </c>
      <c r="F3835" s="407">
        <f t="shared" si="60"/>
        <v>6.4404771105443492</v>
      </c>
      <c r="G3835" s="408">
        <v>543.43799999999999</v>
      </c>
      <c r="H3835" s="423" t="s">
        <v>185</v>
      </c>
      <c r="I3835" s="423" t="s">
        <v>4017</v>
      </c>
      <c r="J3835" s="243" t="s">
        <v>96</v>
      </c>
      <c r="K3835" s="243" t="s">
        <v>1906</v>
      </c>
      <c r="L3835" s="243" t="s">
        <v>153</v>
      </c>
    </row>
    <row r="3836" spans="1:12" ht="15.6" hidden="1">
      <c r="A3836" s="438">
        <v>45961</v>
      </c>
      <c r="B3836" s="423" t="s">
        <v>4007</v>
      </c>
      <c r="C3836" s="423" t="s">
        <v>172</v>
      </c>
      <c r="D3836" s="423" t="s">
        <v>115</v>
      </c>
      <c r="E3836" s="471">
        <v>500</v>
      </c>
      <c r="F3836" s="407">
        <f t="shared" si="60"/>
        <v>0.92006815864919278</v>
      </c>
      <c r="G3836" s="408">
        <v>543.43799999999999</v>
      </c>
      <c r="H3836" s="423" t="s">
        <v>185</v>
      </c>
      <c r="I3836" s="423" t="s">
        <v>4008</v>
      </c>
      <c r="J3836" s="243" t="s">
        <v>96</v>
      </c>
      <c r="K3836" s="243" t="s">
        <v>1906</v>
      </c>
      <c r="L3836" s="243" t="s">
        <v>153</v>
      </c>
    </row>
    <row r="3837" spans="1:12" ht="15.6" hidden="1">
      <c r="A3837" s="438">
        <v>45961</v>
      </c>
      <c r="B3837" s="164" t="s">
        <v>4059</v>
      </c>
      <c r="C3837" s="442" t="s">
        <v>125</v>
      </c>
      <c r="D3837" s="442" t="s">
        <v>119</v>
      </c>
      <c r="E3837" s="349">
        <v>520000</v>
      </c>
      <c r="F3837" s="407">
        <f t="shared" si="60"/>
        <v>956.87088499516051</v>
      </c>
      <c r="G3837" s="408">
        <v>543.43799999999999</v>
      </c>
      <c r="H3837" s="125" t="s">
        <v>146</v>
      </c>
      <c r="I3837" s="125" t="s">
        <v>4098</v>
      </c>
      <c r="J3837" s="243" t="s">
        <v>96</v>
      </c>
      <c r="K3837" s="243" t="s">
        <v>1906</v>
      </c>
      <c r="L3837" s="243" t="s">
        <v>153</v>
      </c>
    </row>
    <row r="3838" spans="1:12" ht="15.6" hidden="1">
      <c r="A3838" s="438">
        <v>45961</v>
      </c>
      <c r="B3838" s="164" t="s">
        <v>4060</v>
      </c>
      <c r="C3838" s="442" t="s">
        <v>125</v>
      </c>
      <c r="D3838" s="442" t="s">
        <v>119</v>
      </c>
      <c r="E3838" s="349">
        <v>240000</v>
      </c>
      <c r="F3838" s="407">
        <f t="shared" si="60"/>
        <v>441.6327161516125</v>
      </c>
      <c r="G3838" s="408">
        <v>543.43799999999999</v>
      </c>
      <c r="H3838" s="125" t="s">
        <v>146</v>
      </c>
      <c r="I3838" s="125" t="s">
        <v>4099</v>
      </c>
      <c r="J3838" s="243" t="s">
        <v>96</v>
      </c>
      <c r="K3838" s="243" t="s">
        <v>1906</v>
      </c>
      <c r="L3838" s="243" t="s">
        <v>153</v>
      </c>
    </row>
    <row r="3839" spans="1:12" ht="15.6" hidden="1">
      <c r="A3839" s="438">
        <v>45961</v>
      </c>
      <c r="B3839" s="164" t="s">
        <v>4061</v>
      </c>
      <c r="C3839" s="442" t="s">
        <v>125</v>
      </c>
      <c r="D3839" s="442" t="s">
        <v>119</v>
      </c>
      <c r="E3839" s="349">
        <v>385000</v>
      </c>
      <c r="F3839" s="407">
        <f t="shared" si="60"/>
        <v>708.4524821598784</v>
      </c>
      <c r="G3839" s="408">
        <v>543.43799999999999</v>
      </c>
      <c r="H3839" s="125" t="s">
        <v>146</v>
      </c>
      <c r="I3839" s="125" t="s">
        <v>4100</v>
      </c>
      <c r="J3839" s="243" t="s">
        <v>96</v>
      </c>
      <c r="K3839" s="243" t="s">
        <v>1906</v>
      </c>
      <c r="L3839" s="243" t="s">
        <v>153</v>
      </c>
    </row>
    <row r="3840" spans="1:12" ht="15.6" hidden="1">
      <c r="A3840" s="438">
        <v>45961</v>
      </c>
      <c r="B3840" s="164" t="s">
        <v>4062</v>
      </c>
      <c r="C3840" s="442" t="s">
        <v>125</v>
      </c>
      <c r="D3840" s="442" t="s">
        <v>119</v>
      </c>
      <c r="E3840" s="349">
        <v>345000</v>
      </c>
      <c r="F3840" s="407">
        <f t="shared" si="60"/>
        <v>634.847029467943</v>
      </c>
      <c r="G3840" s="408">
        <v>543.43799999999999</v>
      </c>
      <c r="H3840" s="125" t="s">
        <v>146</v>
      </c>
      <c r="I3840" s="125" t="s">
        <v>4101</v>
      </c>
      <c r="J3840" s="243" t="s">
        <v>96</v>
      </c>
      <c r="K3840" s="243" t="s">
        <v>1906</v>
      </c>
      <c r="L3840" s="243" t="s">
        <v>153</v>
      </c>
    </row>
    <row r="3841" spans="1:12" ht="15.6" hidden="1">
      <c r="A3841" s="438">
        <v>45961</v>
      </c>
      <c r="B3841" s="164" t="s">
        <v>4063</v>
      </c>
      <c r="C3841" s="124" t="s">
        <v>121</v>
      </c>
      <c r="D3841" s="350" t="s">
        <v>115</v>
      </c>
      <c r="E3841" s="349">
        <v>150000</v>
      </c>
      <c r="F3841" s="407">
        <f t="shared" si="60"/>
        <v>276.0204475947578</v>
      </c>
      <c r="G3841" s="408">
        <v>543.43799999999999</v>
      </c>
      <c r="H3841" s="125" t="s">
        <v>146</v>
      </c>
      <c r="I3841" s="125" t="s">
        <v>4102</v>
      </c>
      <c r="J3841" s="243" t="s">
        <v>96</v>
      </c>
      <c r="K3841" s="243" t="s">
        <v>1906</v>
      </c>
      <c r="L3841" s="243" t="s">
        <v>153</v>
      </c>
    </row>
    <row r="3842" spans="1:12" ht="15.6">
      <c r="A3842" s="531">
        <v>45962</v>
      </c>
      <c r="B3842" s="514" t="s">
        <v>3825</v>
      </c>
      <c r="C3842" s="514" t="s">
        <v>172</v>
      </c>
      <c r="D3842" s="514" t="s">
        <v>118</v>
      </c>
      <c r="E3842" s="518">
        <v>1000</v>
      </c>
      <c r="F3842" s="502">
        <f t="shared" ref="F3842:F3905" si="61">E3842/G3842</f>
        <v>1.8744037053212446</v>
      </c>
      <c r="G3842" s="503">
        <v>533.50300000000004</v>
      </c>
      <c r="H3842" s="514" t="s">
        <v>211</v>
      </c>
      <c r="I3842" s="514" t="s">
        <v>4559</v>
      </c>
      <c r="J3842" s="505" t="s">
        <v>96</v>
      </c>
      <c r="K3842" s="505" t="s">
        <v>2102</v>
      </c>
      <c r="L3842" s="505" t="s">
        <v>153</v>
      </c>
    </row>
    <row r="3843" spans="1:12" ht="15.6">
      <c r="A3843" s="532">
        <v>45962</v>
      </c>
      <c r="B3843" s="516" t="s">
        <v>3817</v>
      </c>
      <c r="C3843" s="516" t="s">
        <v>172</v>
      </c>
      <c r="D3843" s="516" t="s">
        <v>118</v>
      </c>
      <c r="E3843" s="533">
        <v>1000</v>
      </c>
      <c r="F3843" s="502">
        <f t="shared" si="61"/>
        <v>1.8744037053212446</v>
      </c>
      <c r="G3843" s="503">
        <v>533.50300000000004</v>
      </c>
      <c r="H3843" s="516" t="s">
        <v>211</v>
      </c>
      <c r="I3843" s="516" t="s">
        <v>4559</v>
      </c>
      <c r="J3843" s="505" t="s">
        <v>96</v>
      </c>
      <c r="K3843" s="505" t="s">
        <v>2102</v>
      </c>
      <c r="L3843" s="505" t="s">
        <v>153</v>
      </c>
    </row>
    <row r="3844" spans="1:12" ht="15.6">
      <c r="A3844" s="532">
        <v>45962</v>
      </c>
      <c r="B3844" s="516" t="s">
        <v>3818</v>
      </c>
      <c r="C3844" s="516" t="s">
        <v>172</v>
      </c>
      <c r="D3844" s="516" t="s">
        <v>118</v>
      </c>
      <c r="E3844" s="533">
        <v>1000</v>
      </c>
      <c r="F3844" s="502">
        <f t="shared" si="61"/>
        <v>1.8744037053212446</v>
      </c>
      <c r="G3844" s="503">
        <v>533.50300000000004</v>
      </c>
      <c r="H3844" s="516" t="s">
        <v>211</v>
      </c>
      <c r="I3844" s="516" t="s">
        <v>4559</v>
      </c>
      <c r="J3844" s="505" t="s">
        <v>96</v>
      </c>
      <c r="K3844" s="505" t="s">
        <v>2102</v>
      </c>
      <c r="L3844" s="505" t="s">
        <v>153</v>
      </c>
    </row>
    <row r="3845" spans="1:12" ht="15.6">
      <c r="A3845" s="532">
        <v>45962</v>
      </c>
      <c r="B3845" s="516" t="s">
        <v>3819</v>
      </c>
      <c r="C3845" s="516" t="s">
        <v>172</v>
      </c>
      <c r="D3845" s="516" t="s">
        <v>118</v>
      </c>
      <c r="E3845" s="533">
        <v>1000</v>
      </c>
      <c r="F3845" s="502">
        <f t="shared" si="61"/>
        <v>1.8744037053212446</v>
      </c>
      <c r="G3845" s="503">
        <v>533.50300000000004</v>
      </c>
      <c r="H3845" s="516" t="s">
        <v>211</v>
      </c>
      <c r="I3845" s="516" t="s">
        <v>4559</v>
      </c>
      <c r="J3845" s="505" t="s">
        <v>96</v>
      </c>
      <c r="K3845" s="505" t="s">
        <v>2102</v>
      </c>
      <c r="L3845" s="505" t="s">
        <v>153</v>
      </c>
    </row>
    <row r="3846" spans="1:12" ht="15.6">
      <c r="A3846" s="515">
        <v>45963</v>
      </c>
      <c r="B3846" s="505" t="s">
        <v>4377</v>
      </c>
      <c r="C3846" s="505" t="s">
        <v>172</v>
      </c>
      <c r="D3846" s="505" t="s">
        <v>115</v>
      </c>
      <c r="E3846" s="530">
        <v>500</v>
      </c>
      <c r="F3846" s="502">
        <f t="shared" si="61"/>
        <v>0.93720185266062228</v>
      </c>
      <c r="G3846" s="503">
        <v>533.50300000000004</v>
      </c>
      <c r="H3846" s="505" t="s">
        <v>191</v>
      </c>
      <c r="I3846" s="505" t="s">
        <v>4405</v>
      </c>
      <c r="J3846" s="505" t="s">
        <v>96</v>
      </c>
      <c r="K3846" s="505" t="s">
        <v>2102</v>
      </c>
      <c r="L3846" s="505" t="s">
        <v>153</v>
      </c>
    </row>
    <row r="3847" spans="1:12" ht="15.6">
      <c r="A3847" s="515">
        <v>45963</v>
      </c>
      <c r="B3847" s="519" t="s">
        <v>4378</v>
      </c>
      <c r="C3847" s="505" t="s">
        <v>172</v>
      </c>
      <c r="D3847" s="505" t="s">
        <v>115</v>
      </c>
      <c r="E3847" s="528">
        <v>500</v>
      </c>
      <c r="F3847" s="502">
        <f t="shared" si="61"/>
        <v>0.93720185266062228</v>
      </c>
      <c r="G3847" s="503">
        <v>533.50300000000004</v>
      </c>
      <c r="H3847" s="505" t="s">
        <v>191</v>
      </c>
      <c r="I3847" s="519" t="s">
        <v>4405</v>
      </c>
      <c r="J3847" s="505" t="s">
        <v>96</v>
      </c>
      <c r="K3847" s="505" t="s">
        <v>2102</v>
      </c>
      <c r="L3847" s="505" t="s">
        <v>153</v>
      </c>
    </row>
    <row r="3848" spans="1:12" ht="15.6">
      <c r="A3848" s="486">
        <v>45964</v>
      </c>
      <c r="B3848" s="478" t="s">
        <v>2103</v>
      </c>
      <c r="C3848" s="478" t="s">
        <v>172</v>
      </c>
      <c r="D3848" s="501" t="s">
        <v>117</v>
      </c>
      <c r="E3848" s="481">
        <v>1000</v>
      </c>
      <c r="F3848" s="502">
        <f t="shared" si="61"/>
        <v>1.8744037053212446</v>
      </c>
      <c r="G3848" s="503">
        <v>533.50300000000004</v>
      </c>
      <c r="H3848" s="504" t="s">
        <v>151</v>
      </c>
      <c r="I3848" s="478" t="s">
        <v>4133</v>
      </c>
      <c r="J3848" s="505" t="s">
        <v>96</v>
      </c>
      <c r="K3848" s="505" t="s">
        <v>2102</v>
      </c>
      <c r="L3848" s="505" t="s">
        <v>153</v>
      </c>
    </row>
    <row r="3849" spans="1:12" ht="15.6">
      <c r="A3849" s="486">
        <v>45964</v>
      </c>
      <c r="B3849" s="478" t="s">
        <v>4119</v>
      </c>
      <c r="C3849" s="478" t="s">
        <v>172</v>
      </c>
      <c r="D3849" s="501" t="s">
        <v>117</v>
      </c>
      <c r="E3849" s="481">
        <v>1000</v>
      </c>
      <c r="F3849" s="502">
        <f t="shared" si="61"/>
        <v>1.8744037053212446</v>
      </c>
      <c r="G3849" s="503">
        <v>533.50300000000004</v>
      </c>
      <c r="H3849" s="504" t="s">
        <v>151</v>
      </c>
      <c r="I3849" s="478" t="s">
        <v>4133</v>
      </c>
      <c r="J3849" s="505" t="s">
        <v>96</v>
      </c>
      <c r="K3849" s="505" t="s">
        <v>2102</v>
      </c>
      <c r="L3849" s="505" t="s">
        <v>153</v>
      </c>
    </row>
    <row r="3850" spans="1:12" ht="15.6">
      <c r="A3850" s="486">
        <v>45964</v>
      </c>
      <c r="B3850" s="478" t="s">
        <v>4120</v>
      </c>
      <c r="C3850" s="478" t="s">
        <v>172</v>
      </c>
      <c r="D3850" s="501" t="s">
        <v>117</v>
      </c>
      <c r="E3850" s="481">
        <v>1000</v>
      </c>
      <c r="F3850" s="502">
        <f t="shared" si="61"/>
        <v>1.8744037053212446</v>
      </c>
      <c r="G3850" s="503">
        <v>533.50300000000004</v>
      </c>
      <c r="H3850" s="504" t="s">
        <v>151</v>
      </c>
      <c r="I3850" s="478" t="s">
        <v>4133</v>
      </c>
      <c r="J3850" s="505" t="s">
        <v>96</v>
      </c>
      <c r="K3850" s="505" t="s">
        <v>2102</v>
      </c>
      <c r="L3850" s="505" t="s">
        <v>153</v>
      </c>
    </row>
    <row r="3851" spans="1:12" ht="15.6">
      <c r="A3851" s="486">
        <v>45964</v>
      </c>
      <c r="B3851" s="298" t="s">
        <v>4121</v>
      </c>
      <c r="C3851" s="506" t="s">
        <v>150</v>
      </c>
      <c r="D3851" s="506" t="s">
        <v>117</v>
      </c>
      <c r="E3851" s="481">
        <v>12500</v>
      </c>
      <c r="F3851" s="502">
        <f t="shared" si="61"/>
        <v>23.430046316515558</v>
      </c>
      <c r="G3851" s="503">
        <v>533.50300000000004</v>
      </c>
      <c r="H3851" s="504" t="s">
        <v>151</v>
      </c>
      <c r="I3851" s="478" t="s">
        <v>4134</v>
      </c>
      <c r="J3851" s="505" t="s">
        <v>96</v>
      </c>
      <c r="K3851" s="505" t="s">
        <v>2102</v>
      </c>
      <c r="L3851" s="505" t="s">
        <v>153</v>
      </c>
    </row>
    <row r="3852" spans="1:12" ht="15.6">
      <c r="A3852" s="507">
        <v>45964</v>
      </c>
      <c r="B3852" s="508" t="s">
        <v>4731</v>
      </c>
      <c r="C3852" s="508" t="s">
        <v>2394</v>
      </c>
      <c r="D3852" s="508" t="s">
        <v>115</v>
      </c>
      <c r="E3852" s="509">
        <v>40000</v>
      </c>
      <c r="F3852" s="502">
        <f t="shared" si="61"/>
        <v>74.976148212849779</v>
      </c>
      <c r="G3852" s="503">
        <v>533.50300000000004</v>
      </c>
      <c r="H3852" s="510" t="s">
        <v>198</v>
      </c>
      <c r="I3852" s="508" t="s">
        <v>4152</v>
      </c>
      <c r="J3852" s="505" t="s">
        <v>96</v>
      </c>
      <c r="K3852" s="505" t="s">
        <v>2102</v>
      </c>
      <c r="L3852" s="505" t="s">
        <v>153</v>
      </c>
    </row>
    <row r="3853" spans="1:12" ht="15.6">
      <c r="A3853" s="511">
        <v>45964</v>
      </c>
      <c r="B3853" s="512" t="s">
        <v>2423</v>
      </c>
      <c r="C3853" s="512" t="s">
        <v>172</v>
      </c>
      <c r="D3853" s="508" t="s">
        <v>115</v>
      </c>
      <c r="E3853" s="513">
        <v>500</v>
      </c>
      <c r="F3853" s="502">
        <f t="shared" si="61"/>
        <v>0.93720185266062228</v>
      </c>
      <c r="G3853" s="503">
        <v>533.50300000000004</v>
      </c>
      <c r="H3853" s="510" t="s">
        <v>198</v>
      </c>
      <c r="I3853" s="512" t="s">
        <v>4153</v>
      </c>
      <c r="J3853" s="505" t="s">
        <v>96</v>
      </c>
      <c r="K3853" s="505" t="s">
        <v>2102</v>
      </c>
      <c r="L3853" s="505" t="s">
        <v>153</v>
      </c>
    </row>
    <row r="3854" spans="1:12" ht="15.6">
      <c r="A3854" s="511">
        <v>45964</v>
      </c>
      <c r="B3854" s="514" t="s">
        <v>4143</v>
      </c>
      <c r="C3854" s="514" t="s">
        <v>150</v>
      </c>
      <c r="D3854" s="508" t="s">
        <v>115</v>
      </c>
      <c r="E3854" s="513">
        <v>10000</v>
      </c>
      <c r="F3854" s="502">
        <f t="shared" si="61"/>
        <v>18.744037053212445</v>
      </c>
      <c r="G3854" s="503">
        <v>533.50300000000004</v>
      </c>
      <c r="H3854" s="510" t="s">
        <v>198</v>
      </c>
      <c r="I3854" s="512" t="s">
        <v>4154</v>
      </c>
      <c r="J3854" s="505" t="s">
        <v>96</v>
      </c>
      <c r="K3854" s="505" t="s">
        <v>2102</v>
      </c>
      <c r="L3854" s="505" t="s">
        <v>153</v>
      </c>
    </row>
    <row r="3855" spans="1:12" ht="15.6">
      <c r="A3855" s="511">
        <v>45964</v>
      </c>
      <c r="B3855" s="512" t="s">
        <v>2424</v>
      </c>
      <c r="C3855" s="512" t="s">
        <v>172</v>
      </c>
      <c r="D3855" s="508" t="s">
        <v>115</v>
      </c>
      <c r="E3855" s="513">
        <v>500</v>
      </c>
      <c r="F3855" s="502">
        <f t="shared" si="61"/>
        <v>0.93720185266062228</v>
      </c>
      <c r="G3855" s="503">
        <v>533.50300000000004</v>
      </c>
      <c r="H3855" s="510" t="s">
        <v>198</v>
      </c>
      <c r="I3855" s="512" t="s">
        <v>4153</v>
      </c>
      <c r="J3855" s="505" t="s">
        <v>96</v>
      </c>
      <c r="K3855" s="505" t="s">
        <v>2102</v>
      </c>
      <c r="L3855" s="505" t="s">
        <v>153</v>
      </c>
    </row>
    <row r="3856" spans="1:12" ht="15.6">
      <c r="A3856" s="517">
        <v>45964</v>
      </c>
      <c r="B3856" s="505" t="s">
        <v>4162</v>
      </c>
      <c r="C3856" s="505" t="s">
        <v>172</v>
      </c>
      <c r="D3856" s="505" t="s">
        <v>116</v>
      </c>
      <c r="E3856" s="518">
        <v>1000</v>
      </c>
      <c r="F3856" s="502">
        <f t="shared" si="61"/>
        <v>1.8744037053212446</v>
      </c>
      <c r="G3856" s="503">
        <v>533.50300000000004</v>
      </c>
      <c r="H3856" s="505" t="s">
        <v>581</v>
      </c>
      <c r="I3856" s="505" t="s">
        <v>4213</v>
      </c>
      <c r="J3856" s="505" t="s">
        <v>96</v>
      </c>
      <c r="K3856" s="505" t="s">
        <v>2102</v>
      </c>
      <c r="L3856" s="505" t="s">
        <v>153</v>
      </c>
    </row>
    <row r="3857" spans="1:12" ht="15.6">
      <c r="A3857" s="517">
        <v>45964</v>
      </c>
      <c r="B3857" s="519" t="s">
        <v>3405</v>
      </c>
      <c r="C3857" s="519" t="s">
        <v>172</v>
      </c>
      <c r="D3857" s="519" t="s">
        <v>116</v>
      </c>
      <c r="E3857" s="520">
        <v>500</v>
      </c>
      <c r="F3857" s="502">
        <f t="shared" si="61"/>
        <v>0.93720185266062228</v>
      </c>
      <c r="G3857" s="503">
        <v>533.50300000000004</v>
      </c>
      <c r="H3857" s="519" t="s">
        <v>581</v>
      </c>
      <c r="I3857" s="519" t="s">
        <v>4213</v>
      </c>
      <c r="J3857" s="505" t="s">
        <v>96</v>
      </c>
      <c r="K3857" s="505" t="s">
        <v>2102</v>
      </c>
      <c r="L3857" s="505" t="s">
        <v>153</v>
      </c>
    </row>
    <row r="3858" spans="1:12" ht="15.6">
      <c r="A3858" s="517">
        <v>45964</v>
      </c>
      <c r="B3858" s="519" t="s">
        <v>4163</v>
      </c>
      <c r="C3858" s="521" t="s">
        <v>150</v>
      </c>
      <c r="D3858" s="519" t="s">
        <v>117</v>
      </c>
      <c r="E3858" s="520">
        <v>7500</v>
      </c>
      <c r="F3858" s="502">
        <f t="shared" si="61"/>
        <v>14.058027789909334</v>
      </c>
      <c r="G3858" s="503">
        <v>533.50300000000004</v>
      </c>
      <c r="H3858" s="519" t="s">
        <v>581</v>
      </c>
      <c r="I3858" s="519" t="s">
        <v>4214</v>
      </c>
      <c r="J3858" s="505" t="s">
        <v>96</v>
      </c>
      <c r="K3858" s="505" t="s">
        <v>2102</v>
      </c>
      <c r="L3858" s="505" t="s">
        <v>153</v>
      </c>
    </row>
    <row r="3859" spans="1:12" ht="15.6">
      <c r="A3859" s="517">
        <v>45964</v>
      </c>
      <c r="B3859" s="519" t="s">
        <v>2881</v>
      </c>
      <c r="C3859" s="519" t="s">
        <v>172</v>
      </c>
      <c r="D3859" s="519" t="s">
        <v>116</v>
      </c>
      <c r="E3859" s="520">
        <v>1000</v>
      </c>
      <c r="F3859" s="502">
        <f t="shared" si="61"/>
        <v>1.8744037053212446</v>
      </c>
      <c r="G3859" s="503">
        <v>533.50300000000004</v>
      </c>
      <c r="H3859" s="519" t="s">
        <v>581</v>
      </c>
      <c r="I3859" s="519" t="s">
        <v>4213</v>
      </c>
      <c r="J3859" s="505" t="s">
        <v>96</v>
      </c>
      <c r="K3859" s="505" t="s">
        <v>2102</v>
      </c>
      <c r="L3859" s="505" t="s">
        <v>153</v>
      </c>
    </row>
    <row r="3860" spans="1:12" ht="15.6">
      <c r="A3860" s="523">
        <v>45964</v>
      </c>
      <c r="B3860" s="510" t="s">
        <v>4231</v>
      </c>
      <c r="C3860" s="510" t="s">
        <v>150</v>
      </c>
      <c r="D3860" s="510" t="s">
        <v>119</v>
      </c>
      <c r="E3860" s="510">
        <v>10000</v>
      </c>
      <c r="F3860" s="502">
        <f t="shared" si="61"/>
        <v>18.744037053212445</v>
      </c>
      <c r="G3860" s="503">
        <v>533.50300000000004</v>
      </c>
      <c r="H3860" s="510" t="s">
        <v>182</v>
      </c>
      <c r="I3860" s="510" t="s">
        <v>4236</v>
      </c>
      <c r="J3860" s="505" t="s">
        <v>96</v>
      </c>
      <c r="K3860" s="505" t="s">
        <v>2102</v>
      </c>
      <c r="L3860" s="505" t="s">
        <v>153</v>
      </c>
    </row>
    <row r="3861" spans="1:12" ht="15.6">
      <c r="A3861" s="515">
        <v>45964</v>
      </c>
      <c r="B3861" s="510" t="s">
        <v>4256</v>
      </c>
      <c r="C3861" s="510" t="s">
        <v>150</v>
      </c>
      <c r="D3861" s="510" t="s">
        <v>119</v>
      </c>
      <c r="E3861" s="505">
        <v>10000</v>
      </c>
      <c r="F3861" s="502">
        <f t="shared" si="61"/>
        <v>18.744037053212445</v>
      </c>
      <c r="G3861" s="503">
        <v>533.50300000000004</v>
      </c>
      <c r="H3861" s="505" t="s">
        <v>173</v>
      </c>
      <c r="I3861" s="505" t="s">
        <v>4262</v>
      </c>
      <c r="J3861" s="505" t="s">
        <v>96</v>
      </c>
      <c r="K3861" s="505" t="s">
        <v>2102</v>
      </c>
      <c r="L3861" s="505" t="s">
        <v>153</v>
      </c>
    </row>
    <row r="3862" spans="1:12" ht="15.6">
      <c r="A3862" s="526">
        <v>45964</v>
      </c>
      <c r="B3862" s="505" t="s">
        <v>4279</v>
      </c>
      <c r="C3862" s="505" t="s">
        <v>150</v>
      </c>
      <c r="D3862" s="510" t="s">
        <v>119</v>
      </c>
      <c r="E3862" s="519">
        <v>10000</v>
      </c>
      <c r="F3862" s="502">
        <f t="shared" si="61"/>
        <v>18.744037053212445</v>
      </c>
      <c r="G3862" s="503">
        <v>533.50300000000004</v>
      </c>
      <c r="H3862" s="519" t="s">
        <v>315</v>
      </c>
      <c r="I3862" s="519" t="s">
        <v>4287</v>
      </c>
      <c r="J3862" s="505" t="s">
        <v>96</v>
      </c>
      <c r="K3862" s="505" t="s">
        <v>2102</v>
      </c>
      <c r="L3862" s="505" t="s">
        <v>153</v>
      </c>
    </row>
    <row r="3863" spans="1:12" ht="15.6">
      <c r="A3863" s="515">
        <v>45964</v>
      </c>
      <c r="B3863" s="505" t="s">
        <v>4307</v>
      </c>
      <c r="C3863" s="505" t="s">
        <v>150</v>
      </c>
      <c r="D3863" s="510" t="s">
        <v>119</v>
      </c>
      <c r="E3863" s="530">
        <v>10000</v>
      </c>
      <c r="F3863" s="502">
        <f t="shared" si="61"/>
        <v>18.744037053212445</v>
      </c>
      <c r="G3863" s="503">
        <v>533.50300000000004</v>
      </c>
      <c r="H3863" s="505" t="s">
        <v>321</v>
      </c>
      <c r="I3863" s="505" t="s">
        <v>4312</v>
      </c>
      <c r="J3863" s="505" t="s">
        <v>96</v>
      </c>
      <c r="K3863" s="505" t="s">
        <v>2102</v>
      </c>
      <c r="L3863" s="505" t="s">
        <v>153</v>
      </c>
    </row>
    <row r="3864" spans="1:12" ht="15.6">
      <c r="A3864" s="515">
        <v>45964</v>
      </c>
      <c r="B3864" s="505" t="s">
        <v>2998</v>
      </c>
      <c r="C3864" s="505" t="s">
        <v>172</v>
      </c>
      <c r="D3864" s="505" t="s">
        <v>115</v>
      </c>
      <c r="E3864" s="518">
        <v>500</v>
      </c>
      <c r="F3864" s="502">
        <f t="shared" si="61"/>
        <v>0.93720185266062228</v>
      </c>
      <c r="G3864" s="503">
        <v>533.50300000000004</v>
      </c>
      <c r="H3864" s="505" t="s">
        <v>188</v>
      </c>
      <c r="I3864" s="505" t="s">
        <v>4359</v>
      </c>
      <c r="J3864" s="505" t="s">
        <v>96</v>
      </c>
      <c r="K3864" s="505" t="s">
        <v>2102</v>
      </c>
      <c r="L3864" s="505" t="s">
        <v>153</v>
      </c>
    </row>
    <row r="3865" spans="1:12" ht="15.6">
      <c r="A3865" s="526">
        <v>45964</v>
      </c>
      <c r="B3865" s="519" t="s">
        <v>3000</v>
      </c>
      <c r="C3865" s="519" t="s">
        <v>172</v>
      </c>
      <c r="D3865" s="519" t="s">
        <v>115</v>
      </c>
      <c r="E3865" s="520">
        <v>500</v>
      </c>
      <c r="F3865" s="502">
        <f t="shared" si="61"/>
        <v>0.93720185266062228</v>
      </c>
      <c r="G3865" s="503">
        <v>533.50300000000004</v>
      </c>
      <c r="H3865" s="519" t="s">
        <v>188</v>
      </c>
      <c r="I3865" s="519" t="s">
        <v>4359</v>
      </c>
      <c r="J3865" s="505" t="s">
        <v>96</v>
      </c>
      <c r="K3865" s="505" t="s">
        <v>2102</v>
      </c>
      <c r="L3865" s="505" t="s">
        <v>153</v>
      </c>
    </row>
    <row r="3866" spans="1:12" ht="15.6">
      <c r="A3866" s="515">
        <v>45964</v>
      </c>
      <c r="B3866" s="519" t="s">
        <v>4333</v>
      </c>
      <c r="C3866" s="505" t="s">
        <v>172</v>
      </c>
      <c r="D3866" s="519" t="s">
        <v>115</v>
      </c>
      <c r="E3866" s="518">
        <v>12000</v>
      </c>
      <c r="F3866" s="502">
        <f t="shared" si="61"/>
        <v>22.492844463854933</v>
      </c>
      <c r="G3866" s="503">
        <v>533.50300000000004</v>
      </c>
      <c r="H3866" s="519" t="s">
        <v>188</v>
      </c>
      <c r="I3866" s="505" t="s">
        <v>4360</v>
      </c>
      <c r="J3866" s="505" t="s">
        <v>96</v>
      </c>
      <c r="K3866" s="505" t="s">
        <v>2102</v>
      </c>
      <c r="L3866" s="505" t="s">
        <v>153</v>
      </c>
    </row>
    <row r="3867" spans="1:12" ht="15.6">
      <c r="A3867" s="515">
        <v>45964</v>
      </c>
      <c r="B3867" s="519" t="s">
        <v>4334</v>
      </c>
      <c r="C3867" s="505" t="s">
        <v>175</v>
      </c>
      <c r="D3867" s="519" t="s">
        <v>115</v>
      </c>
      <c r="E3867" s="518">
        <v>100000</v>
      </c>
      <c r="F3867" s="502">
        <f t="shared" si="61"/>
        <v>187.44037053212446</v>
      </c>
      <c r="G3867" s="503">
        <v>533.50300000000004</v>
      </c>
      <c r="H3867" s="519" t="s">
        <v>188</v>
      </c>
      <c r="I3867" s="505" t="s">
        <v>4361</v>
      </c>
      <c r="J3867" s="505" t="s">
        <v>96</v>
      </c>
      <c r="K3867" s="505" t="s">
        <v>2102</v>
      </c>
      <c r="L3867" s="505" t="s">
        <v>153</v>
      </c>
    </row>
    <row r="3868" spans="1:12" ht="15.6">
      <c r="A3868" s="515">
        <v>45964</v>
      </c>
      <c r="B3868" s="505" t="s">
        <v>4335</v>
      </c>
      <c r="C3868" s="519" t="s">
        <v>180</v>
      </c>
      <c r="D3868" s="519" t="s">
        <v>116</v>
      </c>
      <c r="E3868" s="518">
        <v>10080</v>
      </c>
      <c r="F3868" s="502">
        <f t="shared" si="61"/>
        <v>18.893989349638144</v>
      </c>
      <c r="G3868" s="503">
        <v>533.50300000000004</v>
      </c>
      <c r="H3868" s="519" t="s">
        <v>188</v>
      </c>
      <c r="I3868" s="505" t="s">
        <v>4362</v>
      </c>
      <c r="J3868" s="505" t="s">
        <v>96</v>
      </c>
      <c r="K3868" s="505" t="s">
        <v>2102</v>
      </c>
      <c r="L3868" s="505" t="s">
        <v>153</v>
      </c>
    </row>
    <row r="3869" spans="1:12" ht="15.6">
      <c r="A3869" s="526">
        <v>45964</v>
      </c>
      <c r="B3869" s="505" t="s">
        <v>4336</v>
      </c>
      <c r="C3869" s="505" t="s">
        <v>150</v>
      </c>
      <c r="D3869" s="505" t="s">
        <v>115</v>
      </c>
      <c r="E3869" s="520">
        <v>7500</v>
      </c>
      <c r="F3869" s="502">
        <f t="shared" si="61"/>
        <v>14.058027789909334</v>
      </c>
      <c r="G3869" s="503">
        <v>533.50300000000004</v>
      </c>
      <c r="H3869" s="519" t="s">
        <v>188</v>
      </c>
      <c r="I3869" s="519" t="s">
        <v>4363</v>
      </c>
      <c r="J3869" s="505" t="s">
        <v>96</v>
      </c>
      <c r="K3869" s="505" t="s">
        <v>2102</v>
      </c>
      <c r="L3869" s="505" t="s">
        <v>153</v>
      </c>
    </row>
    <row r="3870" spans="1:12" ht="15.6">
      <c r="A3870" s="515">
        <v>45964</v>
      </c>
      <c r="B3870" s="519" t="s">
        <v>4379</v>
      </c>
      <c r="C3870" s="505" t="s">
        <v>172</v>
      </c>
      <c r="D3870" s="505" t="s">
        <v>115</v>
      </c>
      <c r="E3870" s="528">
        <v>500</v>
      </c>
      <c r="F3870" s="502">
        <f t="shared" si="61"/>
        <v>0.93720185266062228</v>
      </c>
      <c r="G3870" s="503">
        <v>533.50300000000004</v>
      </c>
      <c r="H3870" s="505" t="s">
        <v>191</v>
      </c>
      <c r="I3870" s="519" t="s">
        <v>4405</v>
      </c>
      <c r="J3870" s="505" t="s">
        <v>96</v>
      </c>
      <c r="K3870" s="505" t="s">
        <v>2102</v>
      </c>
      <c r="L3870" s="505" t="s">
        <v>153</v>
      </c>
    </row>
    <row r="3871" spans="1:12" ht="15.6">
      <c r="A3871" s="515">
        <v>45964</v>
      </c>
      <c r="B3871" s="519" t="s">
        <v>4378</v>
      </c>
      <c r="C3871" s="505" t="s">
        <v>172</v>
      </c>
      <c r="D3871" s="505" t="s">
        <v>115</v>
      </c>
      <c r="E3871" s="528">
        <v>500</v>
      </c>
      <c r="F3871" s="502">
        <f t="shared" si="61"/>
        <v>0.93720185266062228</v>
      </c>
      <c r="G3871" s="503">
        <v>533.50300000000004</v>
      </c>
      <c r="H3871" s="505" t="s">
        <v>191</v>
      </c>
      <c r="I3871" s="519" t="s">
        <v>4405</v>
      </c>
      <c r="J3871" s="505" t="s">
        <v>96</v>
      </c>
      <c r="K3871" s="505" t="s">
        <v>2102</v>
      </c>
      <c r="L3871" s="505" t="s">
        <v>153</v>
      </c>
    </row>
    <row r="3872" spans="1:12" ht="15.6">
      <c r="A3872" s="515">
        <v>45964</v>
      </c>
      <c r="B3872" s="519" t="s">
        <v>4380</v>
      </c>
      <c r="C3872" s="505" t="s">
        <v>172</v>
      </c>
      <c r="D3872" s="505" t="s">
        <v>115</v>
      </c>
      <c r="E3872" s="528">
        <v>500</v>
      </c>
      <c r="F3872" s="502">
        <f t="shared" si="61"/>
        <v>0.93720185266062228</v>
      </c>
      <c r="G3872" s="503">
        <v>533.50300000000004</v>
      </c>
      <c r="H3872" s="505" t="s">
        <v>191</v>
      </c>
      <c r="I3872" s="519" t="s">
        <v>4405</v>
      </c>
      <c r="J3872" s="505" t="s">
        <v>96</v>
      </c>
      <c r="K3872" s="505" t="s">
        <v>2102</v>
      </c>
      <c r="L3872" s="505" t="s">
        <v>153</v>
      </c>
    </row>
    <row r="3873" spans="1:12" ht="15.6">
      <c r="A3873" s="515">
        <v>45964</v>
      </c>
      <c r="B3873" s="519" t="s">
        <v>4381</v>
      </c>
      <c r="C3873" s="505" t="s">
        <v>172</v>
      </c>
      <c r="D3873" s="505" t="s">
        <v>115</v>
      </c>
      <c r="E3873" s="528">
        <v>500</v>
      </c>
      <c r="F3873" s="502">
        <f t="shared" si="61"/>
        <v>0.93720185266062228</v>
      </c>
      <c r="G3873" s="503">
        <v>533.50300000000004</v>
      </c>
      <c r="H3873" s="505" t="s">
        <v>191</v>
      </c>
      <c r="I3873" s="519" t="s">
        <v>4405</v>
      </c>
      <c r="J3873" s="505" t="s">
        <v>96</v>
      </c>
      <c r="K3873" s="505" t="s">
        <v>2102</v>
      </c>
      <c r="L3873" s="505" t="s">
        <v>153</v>
      </c>
    </row>
    <row r="3874" spans="1:12" ht="15.6">
      <c r="A3874" s="515">
        <v>45964</v>
      </c>
      <c r="B3874" s="505" t="s">
        <v>4383</v>
      </c>
      <c r="C3874" s="505" t="s">
        <v>150</v>
      </c>
      <c r="D3874" s="505" t="s">
        <v>115</v>
      </c>
      <c r="E3874" s="528">
        <v>7500</v>
      </c>
      <c r="F3874" s="502">
        <f t="shared" si="61"/>
        <v>14.058027789909334</v>
      </c>
      <c r="G3874" s="503">
        <v>533.50300000000004</v>
      </c>
      <c r="H3874" s="505" t="s">
        <v>191</v>
      </c>
      <c r="I3874" s="519" t="s">
        <v>4406</v>
      </c>
      <c r="J3874" s="505" t="s">
        <v>96</v>
      </c>
      <c r="K3874" s="505" t="s">
        <v>2102</v>
      </c>
      <c r="L3874" s="505" t="s">
        <v>153</v>
      </c>
    </row>
    <row r="3875" spans="1:12" ht="15.6">
      <c r="A3875" s="515">
        <v>45964</v>
      </c>
      <c r="B3875" s="519" t="s">
        <v>4384</v>
      </c>
      <c r="C3875" s="505" t="s">
        <v>175</v>
      </c>
      <c r="D3875" s="505" t="s">
        <v>115</v>
      </c>
      <c r="E3875" s="528">
        <v>40000</v>
      </c>
      <c r="F3875" s="502">
        <f t="shared" si="61"/>
        <v>74.976148212849779</v>
      </c>
      <c r="G3875" s="503">
        <v>533.50300000000004</v>
      </c>
      <c r="H3875" s="505" t="s">
        <v>191</v>
      </c>
      <c r="I3875" s="519" t="s">
        <v>4408</v>
      </c>
      <c r="J3875" s="505" t="s">
        <v>96</v>
      </c>
      <c r="K3875" s="505" t="s">
        <v>2102</v>
      </c>
      <c r="L3875" s="505" t="s">
        <v>153</v>
      </c>
    </row>
    <row r="3876" spans="1:12" ht="15.6">
      <c r="A3876" s="529">
        <v>45964</v>
      </c>
      <c r="B3876" s="505" t="s">
        <v>4416</v>
      </c>
      <c r="C3876" s="298" t="s">
        <v>150</v>
      </c>
      <c r="D3876" s="298" t="s">
        <v>115</v>
      </c>
      <c r="E3876" s="530">
        <v>10000</v>
      </c>
      <c r="F3876" s="502">
        <f t="shared" si="61"/>
        <v>18.744037053212445</v>
      </c>
      <c r="G3876" s="503">
        <v>533.50300000000004</v>
      </c>
      <c r="H3876" s="298" t="s">
        <v>435</v>
      </c>
      <c r="I3876" s="505" t="s">
        <v>4444</v>
      </c>
      <c r="J3876" s="505" t="s">
        <v>96</v>
      </c>
      <c r="K3876" s="505" t="s">
        <v>2102</v>
      </c>
      <c r="L3876" s="505" t="s">
        <v>153</v>
      </c>
    </row>
    <row r="3877" spans="1:12" ht="15.6">
      <c r="A3877" s="532">
        <v>45964</v>
      </c>
      <c r="B3877" s="516" t="s">
        <v>3825</v>
      </c>
      <c r="C3877" s="516" t="s">
        <v>172</v>
      </c>
      <c r="D3877" s="516" t="s">
        <v>118</v>
      </c>
      <c r="E3877" s="533">
        <v>1000</v>
      </c>
      <c r="F3877" s="502">
        <f t="shared" si="61"/>
        <v>1.8744037053212446</v>
      </c>
      <c r="G3877" s="503">
        <v>533.50300000000004</v>
      </c>
      <c r="H3877" s="516" t="s">
        <v>211</v>
      </c>
      <c r="I3877" s="516" t="s">
        <v>4559</v>
      </c>
      <c r="J3877" s="505" t="s">
        <v>96</v>
      </c>
      <c r="K3877" s="505" t="s">
        <v>2102</v>
      </c>
      <c r="L3877" s="505" t="s">
        <v>153</v>
      </c>
    </row>
    <row r="3878" spans="1:12" ht="15.6">
      <c r="A3878" s="532">
        <v>45964</v>
      </c>
      <c r="B3878" s="516" t="s">
        <v>3817</v>
      </c>
      <c r="C3878" s="516" t="s">
        <v>172</v>
      </c>
      <c r="D3878" s="516" t="s">
        <v>118</v>
      </c>
      <c r="E3878" s="533">
        <v>1000</v>
      </c>
      <c r="F3878" s="502">
        <f t="shared" si="61"/>
        <v>1.8744037053212446</v>
      </c>
      <c r="G3878" s="503">
        <v>533.50300000000004</v>
      </c>
      <c r="H3878" s="516" t="s">
        <v>211</v>
      </c>
      <c r="I3878" s="516" t="s">
        <v>4559</v>
      </c>
      <c r="J3878" s="505" t="s">
        <v>96</v>
      </c>
      <c r="K3878" s="505" t="s">
        <v>2102</v>
      </c>
      <c r="L3878" s="505" t="s">
        <v>153</v>
      </c>
    </row>
    <row r="3879" spans="1:12" ht="15.6">
      <c r="A3879" s="532">
        <v>45964</v>
      </c>
      <c r="B3879" s="514" t="s">
        <v>4460</v>
      </c>
      <c r="C3879" s="514" t="s">
        <v>150</v>
      </c>
      <c r="D3879" s="516" t="s">
        <v>118</v>
      </c>
      <c r="E3879" s="533">
        <v>10000</v>
      </c>
      <c r="F3879" s="502">
        <f t="shared" si="61"/>
        <v>18.744037053212445</v>
      </c>
      <c r="G3879" s="503">
        <v>533.50300000000004</v>
      </c>
      <c r="H3879" s="516" t="s">
        <v>211</v>
      </c>
      <c r="I3879" s="516" t="s">
        <v>4560</v>
      </c>
      <c r="J3879" s="505" t="s">
        <v>96</v>
      </c>
      <c r="K3879" s="505" t="s">
        <v>2102</v>
      </c>
      <c r="L3879" s="505" t="s">
        <v>153</v>
      </c>
    </row>
    <row r="3880" spans="1:12" ht="15.6">
      <c r="A3880" s="532">
        <v>45964</v>
      </c>
      <c r="B3880" s="516" t="s">
        <v>3818</v>
      </c>
      <c r="C3880" s="516" t="s">
        <v>172</v>
      </c>
      <c r="D3880" s="516" t="s">
        <v>118</v>
      </c>
      <c r="E3880" s="533">
        <v>1000</v>
      </c>
      <c r="F3880" s="502">
        <f t="shared" si="61"/>
        <v>1.8744037053212446</v>
      </c>
      <c r="G3880" s="503">
        <v>533.50300000000004</v>
      </c>
      <c r="H3880" s="516" t="s">
        <v>211</v>
      </c>
      <c r="I3880" s="516" t="s">
        <v>4559</v>
      </c>
      <c r="J3880" s="505" t="s">
        <v>96</v>
      </c>
      <c r="K3880" s="505" t="s">
        <v>2102</v>
      </c>
      <c r="L3880" s="505" t="s">
        <v>153</v>
      </c>
    </row>
    <row r="3881" spans="1:12" ht="15.6">
      <c r="A3881" s="532">
        <v>45964</v>
      </c>
      <c r="B3881" s="516" t="s">
        <v>4461</v>
      </c>
      <c r="C3881" s="516" t="s">
        <v>172</v>
      </c>
      <c r="D3881" s="516" t="s">
        <v>118</v>
      </c>
      <c r="E3881" s="533">
        <v>1000</v>
      </c>
      <c r="F3881" s="502">
        <f t="shared" si="61"/>
        <v>1.8744037053212446</v>
      </c>
      <c r="G3881" s="503">
        <v>533.50300000000004</v>
      </c>
      <c r="H3881" s="516" t="s">
        <v>211</v>
      </c>
      <c r="I3881" s="516" t="s">
        <v>4559</v>
      </c>
      <c r="J3881" s="505" t="s">
        <v>96</v>
      </c>
      <c r="K3881" s="505" t="s">
        <v>2102</v>
      </c>
      <c r="L3881" s="505" t="s">
        <v>153</v>
      </c>
    </row>
    <row r="3882" spans="1:12" ht="15.6">
      <c r="A3882" s="515">
        <v>45964</v>
      </c>
      <c r="B3882" s="505" t="s">
        <v>4576</v>
      </c>
      <c r="C3882" s="505" t="s">
        <v>175</v>
      </c>
      <c r="D3882" s="505" t="s">
        <v>115</v>
      </c>
      <c r="E3882" s="505">
        <v>90000</v>
      </c>
      <c r="F3882" s="502">
        <f t="shared" si="61"/>
        <v>168.69633347891201</v>
      </c>
      <c r="G3882" s="503">
        <v>533.50300000000004</v>
      </c>
      <c r="H3882" s="505" t="s">
        <v>185</v>
      </c>
      <c r="I3882" s="505" t="s">
        <v>4630</v>
      </c>
      <c r="J3882" s="505" t="s">
        <v>96</v>
      </c>
      <c r="K3882" s="505" t="s">
        <v>2102</v>
      </c>
      <c r="L3882" s="505" t="s">
        <v>153</v>
      </c>
    </row>
    <row r="3883" spans="1:12" ht="15.6">
      <c r="A3883" s="526">
        <v>45964</v>
      </c>
      <c r="B3883" s="519" t="s">
        <v>4577</v>
      </c>
      <c r="C3883" s="519" t="s">
        <v>172</v>
      </c>
      <c r="D3883" s="519" t="s">
        <v>115</v>
      </c>
      <c r="E3883" s="519">
        <v>500</v>
      </c>
      <c r="F3883" s="502">
        <f t="shared" si="61"/>
        <v>0.93720185266062228</v>
      </c>
      <c r="G3883" s="503">
        <v>533.50300000000004</v>
      </c>
      <c r="H3883" s="519" t="s">
        <v>185</v>
      </c>
      <c r="I3883" s="519" t="s">
        <v>4631</v>
      </c>
      <c r="J3883" s="505" t="s">
        <v>96</v>
      </c>
      <c r="K3883" s="505" t="s">
        <v>2102</v>
      </c>
      <c r="L3883" s="505" t="s">
        <v>153</v>
      </c>
    </row>
    <row r="3884" spans="1:12" ht="15.6">
      <c r="A3884" s="526">
        <v>45964</v>
      </c>
      <c r="B3884" s="519" t="s">
        <v>3984</v>
      </c>
      <c r="C3884" s="519" t="s">
        <v>172</v>
      </c>
      <c r="D3884" s="519" t="s">
        <v>115</v>
      </c>
      <c r="E3884" s="519">
        <v>500</v>
      </c>
      <c r="F3884" s="502">
        <f t="shared" si="61"/>
        <v>0.93720185266062228</v>
      </c>
      <c r="G3884" s="503">
        <v>533.50300000000004</v>
      </c>
      <c r="H3884" s="519" t="s">
        <v>185</v>
      </c>
      <c r="I3884" s="519" t="s">
        <v>4631</v>
      </c>
      <c r="J3884" s="505" t="s">
        <v>96</v>
      </c>
      <c r="K3884" s="505" t="s">
        <v>2102</v>
      </c>
      <c r="L3884" s="505" t="s">
        <v>153</v>
      </c>
    </row>
    <row r="3885" spans="1:12" ht="15.6">
      <c r="A3885" s="526">
        <v>45964</v>
      </c>
      <c r="B3885" s="519" t="s">
        <v>4578</v>
      </c>
      <c r="C3885" s="519" t="s">
        <v>150</v>
      </c>
      <c r="D3885" s="519" t="s">
        <v>115</v>
      </c>
      <c r="E3885" s="519">
        <v>7500</v>
      </c>
      <c r="F3885" s="502">
        <f t="shared" si="61"/>
        <v>14.058027789909334</v>
      </c>
      <c r="G3885" s="503">
        <v>533.50300000000004</v>
      </c>
      <c r="H3885" s="519" t="s">
        <v>185</v>
      </c>
      <c r="I3885" s="519" t="s">
        <v>4632</v>
      </c>
      <c r="J3885" s="505" t="s">
        <v>96</v>
      </c>
      <c r="K3885" s="505" t="s">
        <v>2102</v>
      </c>
      <c r="L3885" s="505" t="s">
        <v>153</v>
      </c>
    </row>
    <row r="3886" spans="1:12" ht="15.6">
      <c r="A3886" s="543">
        <v>45964</v>
      </c>
      <c r="B3886" s="544" t="s">
        <v>4056</v>
      </c>
      <c r="C3886" s="505" t="s">
        <v>121</v>
      </c>
      <c r="D3886" s="505" t="s">
        <v>115</v>
      </c>
      <c r="E3886" s="518">
        <v>200000</v>
      </c>
      <c r="F3886" s="502">
        <f t="shared" si="61"/>
        <v>374.88074106424892</v>
      </c>
      <c r="G3886" s="503">
        <v>533.50300000000004</v>
      </c>
      <c r="H3886" s="125" t="s">
        <v>146</v>
      </c>
      <c r="I3886" s="125" t="s">
        <v>4708</v>
      </c>
      <c r="J3886" s="505" t="s">
        <v>96</v>
      </c>
      <c r="K3886" s="505" t="s">
        <v>2102</v>
      </c>
      <c r="L3886" s="505" t="s">
        <v>153</v>
      </c>
    </row>
    <row r="3887" spans="1:12" ht="15.6">
      <c r="A3887" s="486">
        <v>45965</v>
      </c>
      <c r="B3887" s="478" t="s">
        <v>2103</v>
      </c>
      <c r="C3887" s="478" t="s">
        <v>172</v>
      </c>
      <c r="D3887" s="501" t="s">
        <v>117</v>
      </c>
      <c r="E3887" s="481">
        <v>1000</v>
      </c>
      <c r="F3887" s="502">
        <f t="shared" si="61"/>
        <v>1.8744037053212446</v>
      </c>
      <c r="G3887" s="503">
        <v>533.50300000000004</v>
      </c>
      <c r="H3887" s="504" t="s">
        <v>151</v>
      </c>
      <c r="I3887" s="478" t="s">
        <v>4133</v>
      </c>
      <c r="J3887" s="505" t="s">
        <v>96</v>
      </c>
      <c r="K3887" s="505" t="s">
        <v>2102</v>
      </c>
      <c r="L3887" s="505" t="s">
        <v>153</v>
      </c>
    </row>
    <row r="3888" spans="1:12" ht="15.6">
      <c r="A3888" s="486">
        <v>45965</v>
      </c>
      <c r="B3888" s="478" t="s">
        <v>2104</v>
      </c>
      <c r="C3888" s="478" t="s">
        <v>172</v>
      </c>
      <c r="D3888" s="501" t="s">
        <v>117</v>
      </c>
      <c r="E3888" s="481">
        <v>1000</v>
      </c>
      <c r="F3888" s="502">
        <f t="shared" si="61"/>
        <v>1.8744037053212446</v>
      </c>
      <c r="G3888" s="503">
        <v>533.50300000000004</v>
      </c>
      <c r="H3888" s="504" t="s">
        <v>151</v>
      </c>
      <c r="I3888" s="478" t="s">
        <v>4133</v>
      </c>
      <c r="J3888" s="505" t="s">
        <v>96</v>
      </c>
      <c r="K3888" s="505" t="s">
        <v>2102</v>
      </c>
      <c r="L3888" s="505" t="s">
        <v>153</v>
      </c>
    </row>
    <row r="3889" spans="1:12" ht="15.6">
      <c r="A3889" s="486">
        <v>45965</v>
      </c>
      <c r="B3889" s="478" t="s">
        <v>2103</v>
      </c>
      <c r="C3889" s="478" t="s">
        <v>172</v>
      </c>
      <c r="D3889" s="501" t="s">
        <v>117</v>
      </c>
      <c r="E3889" s="481">
        <v>1000</v>
      </c>
      <c r="F3889" s="502">
        <f t="shared" si="61"/>
        <v>1.8744037053212446</v>
      </c>
      <c r="G3889" s="503">
        <v>533.50300000000004</v>
      </c>
      <c r="H3889" s="504" t="s">
        <v>151</v>
      </c>
      <c r="I3889" s="478" t="s">
        <v>4133</v>
      </c>
      <c r="J3889" s="505" t="s">
        <v>96</v>
      </c>
      <c r="K3889" s="505" t="s">
        <v>2102</v>
      </c>
      <c r="L3889" s="505" t="s">
        <v>153</v>
      </c>
    </row>
    <row r="3890" spans="1:12" ht="15.6">
      <c r="A3890" s="486">
        <v>45965</v>
      </c>
      <c r="B3890" s="478" t="s">
        <v>2104</v>
      </c>
      <c r="C3890" s="478" t="s">
        <v>172</v>
      </c>
      <c r="D3890" s="501" t="s">
        <v>117</v>
      </c>
      <c r="E3890" s="481">
        <v>1000</v>
      </c>
      <c r="F3890" s="502">
        <f t="shared" si="61"/>
        <v>1.8744037053212446</v>
      </c>
      <c r="G3890" s="503">
        <v>533.50300000000004</v>
      </c>
      <c r="H3890" s="504" t="s">
        <v>151</v>
      </c>
      <c r="I3890" s="478" t="s">
        <v>4133</v>
      </c>
      <c r="J3890" s="505" t="s">
        <v>96</v>
      </c>
      <c r="K3890" s="505" t="s">
        <v>2102</v>
      </c>
      <c r="L3890" s="505" t="s">
        <v>153</v>
      </c>
    </row>
    <row r="3891" spans="1:12" ht="15.6">
      <c r="A3891" s="511">
        <v>45965</v>
      </c>
      <c r="B3891" s="512" t="s">
        <v>2423</v>
      </c>
      <c r="C3891" s="512" t="s">
        <v>172</v>
      </c>
      <c r="D3891" s="508" t="s">
        <v>115</v>
      </c>
      <c r="E3891" s="513">
        <v>500</v>
      </c>
      <c r="F3891" s="502">
        <f t="shared" si="61"/>
        <v>0.93720185266062228</v>
      </c>
      <c r="G3891" s="503">
        <v>533.50300000000004</v>
      </c>
      <c r="H3891" s="510" t="s">
        <v>198</v>
      </c>
      <c r="I3891" s="512" t="s">
        <v>4153</v>
      </c>
      <c r="J3891" s="505" t="s">
        <v>96</v>
      </c>
      <c r="K3891" s="505" t="s">
        <v>2102</v>
      </c>
      <c r="L3891" s="505" t="s">
        <v>153</v>
      </c>
    </row>
    <row r="3892" spans="1:12" ht="15.6">
      <c r="A3892" s="511">
        <v>45965</v>
      </c>
      <c r="B3892" s="512" t="s">
        <v>2424</v>
      </c>
      <c r="C3892" s="512" t="s">
        <v>172</v>
      </c>
      <c r="D3892" s="508" t="s">
        <v>115</v>
      </c>
      <c r="E3892" s="513">
        <v>500</v>
      </c>
      <c r="F3892" s="502">
        <f t="shared" si="61"/>
        <v>0.93720185266062228</v>
      </c>
      <c r="G3892" s="503">
        <v>533.50300000000004</v>
      </c>
      <c r="H3892" s="510" t="s">
        <v>198</v>
      </c>
      <c r="I3892" s="512" t="s">
        <v>4153</v>
      </c>
      <c r="J3892" s="505" t="s">
        <v>96</v>
      </c>
      <c r="K3892" s="505" t="s">
        <v>2102</v>
      </c>
      <c r="L3892" s="505" t="s">
        <v>153</v>
      </c>
    </row>
    <row r="3893" spans="1:12" ht="15.6">
      <c r="A3893" s="515">
        <v>45965</v>
      </c>
      <c r="B3893" s="519" t="s">
        <v>816</v>
      </c>
      <c r="C3893" s="505" t="s">
        <v>170</v>
      </c>
      <c r="D3893" s="519" t="s">
        <v>116</v>
      </c>
      <c r="E3893" s="518">
        <v>27000</v>
      </c>
      <c r="F3893" s="502">
        <f t="shared" si="61"/>
        <v>50.6089000436736</v>
      </c>
      <c r="G3893" s="503">
        <v>533.50300000000004</v>
      </c>
      <c r="H3893" s="519" t="s">
        <v>581</v>
      </c>
      <c r="I3893" s="505" t="s">
        <v>4215</v>
      </c>
      <c r="J3893" s="505" t="s">
        <v>96</v>
      </c>
      <c r="K3893" s="505" t="s">
        <v>2102</v>
      </c>
      <c r="L3893" s="505" t="s">
        <v>153</v>
      </c>
    </row>
    <row r="3894" spans="1:12" ht="15.6">
      <c r="A3894" s="517">
        <v>45965</v>
      </c>
      <c r="B3894" s="519" t="s">
        <v>4164</v>
      </c>
      <c r="C3894" s="519" t="s">
        <v>172</v>
      </c>
      <c r="D3894" s="519" t="s">
        <v>116</v>
      </c>
      <c r="E3894" s="520">
        <v>1000</v>
      </c>
      <c r="F3894" s="502">
        <f t="shared" si="61"/>
        <v>1.8744037053212446</v>
      </c>
      <c r="G3894" s="503">
        <v>533.50300000000004</v>
      </c>
      <c r="H3894" s="519" t="s">
        <v>581</v>
      </c>
      <c r="I3894" s="519" t="s">
        <v>4213</v>
      </c>
      <c r="J3894" s="505" t="s">
        <v>96</v>
      </c>
      <c r="K3894" s="505" t="s">
        <v>2102</v>
      </c>
      <c r="L3894" s="505" t="s">
        <v>153</v>
      </c>
    </row>
    <row r="3895" spans="1:12" ht="15.6">
      <c r="A3895" s="526">
        <v>45965</v>
      </c>
      <c r="B3895" s="519" t="s">
        <v>4337</v>
      </c>
      <c r="C3895" s="519" t="s">
        <v>172</v>
      </c>
      <c r="D3895" s="519" t="s">
        <v>115</v>
      </c>
      <c r="E3895" s="520">
        <v>2000</v>
      </c>
      <c r="F3895" s="502">
        <f t="shared" si="61"/>
        <v>3.7488074106424891</v>
      </c>
      <c r="G3895" s="503">
        <v>533.50300000000004</v>
      </c>
      <c r="H3895" s="519" t="s">
        <v>188</v>
      </c>
      <c r="I3895" s="519" t="s">
        <v>4359</v>
      </c>
      <c r="J3895" s="505" t="s">
        <v>96</v>
      </c>
      <c r="K3895" s="505" t="s">
        <v>2102</v>
      </c>
      <c r="L3895" s="505" t="s">
        <v>153</v>
      </c>
    </row>
    <row r="3896" spans="1:12" ht="15.6">
      <c r="A3896" s="526">
        <v>45965</v>
      </c>
      <c r="B3896" s="519" t="s">
        <v>4338</v>
      </c>
      <c r="C3896" s="519" t="s">
        <v>172</v>
      </c>
      <c r="D3896" s="519" t="s">
        <v>115</v>
      </c>
      <c r="E3896" s="520">
        <v>2000</v>
      </c>
      <c r="F3896" s="502">
        <f t="shared" si="61"/>
        <v>3.7488074106424891</v>
      </c>
      <c r="G3896" s="503">
        <v>533.50300000000004</v>
      </c>
      <c r="H3896" s="519" t="s">
        <v>188</v>
      </c>
      <c r="I3896" s="519" t="s">
        <v>4359</v>
      </c>
      <c r="J3896" s="505" t="s">
        <v>96</v>
      </c>
      <c r="K3896" s="505" t="s">
        <v>2102</v>
      </c>
      <c r="L3896" s="505" t="s">
        <v>153</v>
      </c>
    </row>
    <row r="3897" spans="1:12" ht="15.6">
      <c r="A3897" s="515">
        <v>45965</v>
      </c>
      <c r="B3897" s="519" t="s">
        <v>3007</v>
      </c>
      <c r="C3897" s="519" t="s">
        <v>170</v>
      </c>
      <c r="D3897" s="519" t="s">
        <v>116</v>
      </c>
      <c r="E3897" s="518">
        <v>62500</v>
      </c>
      <c r="F3897" s="502">
        <f t="shared" si="61"/>
        <v>117.15023158257779</v>
      </c>
      <c r="G3897" s="503">
        <v>533.50300000000004</v>
      </c>
      <c r="H3897" s="519" t="s">
        <v>188</v>
      </c>
      <c r="I3897" s="505" t="s">
        <v>4364</v>
      </c>
      <c r="J3897" s="505" t="s">
        <v>96</v>
      </c>
      <c r="K3897" s="505" t="s">
        <v>2102</v>
      </c>
      <c r="L3897" s="505" t="s">
        <v>153</v>
      </c>
    </row>
    <row r="3898" spans="1:12" ht="15.6">
      <c r="A3898" s="515">
        <v>45965</v>
      </c>
      <c r="B3898" s="519" t="s">
        <v>3649</v>
      </c>
      <c r="C3898" s="505" t="s">
        <v>172</v>
      </c>
      <c r="D3898" s="505" t="s">
        <v>115</v>
      </c>
      <c r="E3898" s="528">
        <v>500</v>
      </c>
      <c r="F3898" s="502">
        <f t="shared" si="61"/>
        <v>0.93720185266062228</v>
      </c>
      <c r="G3898" s="503">
        <v>533.50300000000004</v>
      </c>
      <c r="H3898" s="505" t="s">
        <v>191</v>
      </c>
      <c r="I3898" s="519" t="s">
        <v>4405</v>
      </c>
      <c r="J3898" s="505" t="s">
        <v>96</v>
      </c>
      <c r="K3898" s="505" t="s">
        <v>2102</v>
      </c>
      <c r="L3898" s="505" t="s">
        <v>153</v>
      </c>
    </row>
    <row r="3899" spans="1:12" ht="15.6">
      <c r="A3899" s="515">
        <v>45965</v>
      </c>
      <c r="B3899" s="519" t="s">
        <v>4385</v>
      </c>
      <c r="C3899" s="505" t="s">
        <v>3317</v>
      </c>
      <c r="D3899" s="505" t="s">
        <v>115</v>
      </c>
      <c r="E3899" s="528">
        <v>1500</v>
      </c>
      <c r="F3899" s="502">
        <f t="shared" si="61"/>
        <v>2.8116055579818666</v>
      </c>
      <c r="G3899" s="503">
        <v>533.50300000000004</v>
      </c>
      <c r="H3899" s="505" t="s">
        <v>191</v>
      </c>
      <c r="I3899" s="519" t="s">
        <v>4409</v>
      </c>
      <c r="J3899" s="505" t="s">
        <v>96</v>
      </c>
      <c r="K3899" s="505" t="s">
        <v>2102</v>
      </c>
      <c r="L3899" s="505" t="s">
        <v>153</v>
      </c>
    </row>
    <row r="3900" spans="1:12" ht="15.6">
      <c r="A3900" s="515">
        <v>45965</v>
      </c>
      <c r="B3900" s="519" t="s">
        <v>4386</v>
      </c>
      <c r="C3900" s="505" t="s">
        <v>172</v>
      </c>
      <c r="D3900" s="505" t="s">
        <v>115</v>
      </c>
      <c r="E3900" s="528">
        <v>500</v>
      </c>
      <c r="F3900" s="502">
        <f t="shared" si="61"/>
        <v>0.93720185266062228</v>
      </c>
      <c r="G3900" s="503">
        <v>533.50300000000004</v>
      </c>
      <c r="H3900" s="505" t="s">
        <v>191</v>
      </c>
      <c r="I3900" s="519" t="s">
        <v>4405</v>
      </c>
      <c r="J3900" s="505" t="s">
        <v>96</v>
      </c>
      <c r="K3900" s="505" t="s">
        <v>2102</v>
      </c>
      <c r="L3900" s="505" t="s">
        <v>153</v>
      </c>
    </row>
    <row r="3901" spans="1:12" ht="15.6">
      <c r="A3901" s="515">
        <v>45965</v>
      </c>
      <c r="B3901" s="519" t="s">
        <v>4387</v>
      </c>
      <c r="C3901" s="505" t="s">
        <v>172</v>
      </c>
      <c r="D3901" s="505" t="s">
        <v>115</v>
      </c>
      <c r="E3901" s="528">
        <v>500</v>
      </c>
      <c r="F3901" s="502">
        <f t="shared" si="61"/>
        <v>0.93720185266062228</v>
      </c>
      <c r="G3901" s="503">
        <v>533.50300000000004</v>
      </c>
      <c r="H3901" s="505" t="s">
        <v>191</v>
      </c>
      <c r="I3901" s="519" t="s">
        <v>4405</v>
      </c>
      <c r="J3901" s="505" t="s">
        <v>96</v>
      </c>
      <c r="K3901" s="505" t="s">
        <v>2102</v>
      </c>
      <c r="L3901" s="505" t="s">
        <v>153</v>
      </c>
    </row>
    <row r="3902" spans="1:12" ht="15.6">
      <c r="A3902" s="515">
        <v>45965</v>
      </c>
      <c r="B3902" s="519" t="s">
        <v>4388</v>
      </c>
      <c r="C3902" s="505" t="s">
        <v>172</v>
      </c>
      <c r="D3902" s="505" t="s">
        <v>115</v>
      </c>
      <c r="E3902" s="528">
        <v>500</v>
      </c>
      <c r="F3902" s="502">
        <f t="shared" si="61"/>
        <v>0.93720185266062228</v>
      </c>
      <c r="G3902" s="503">
        <v>533.50300000000004</v>
      </c>
      <c r="H3902" s="505" t="s">
        <v>191</v>
      </c>
      <c r="I3902" s="519" t="s">
        <v>4405</v>
      </c>
      <c r="J3902" s="505" t="s">
        <v>96</v>
      </c>
      <c r="K3902" s="505" t="s">
        <v>2102</v>
      </c>
      <c r="L3902" s="505" t="s">
        <v>153</v>
      </c>
    </row>
    <row r="3903" spans="1:12" ht="15.6">
      <c r="A3903" s="515">
        <v>45965</v>
      </c>
      <c r="B3903" s="519" t="s">
        <v>3649</v>
      </c>
      <c r="C3903" s="505" t="s">
        <v>172</v>
      </c>
      <c r="D3903" s="505" t="s">
        <v>115</v>
      </c>
      <c r="E3903" s="528">
        <v>500</v>
      </c>
      <c r="F3903" s="502">
        <f t="shared" si="61"/>
        <v>0.93720185266062228</v>
      </c>
      <c r="G3903" s="503">
        <v>533.50300000000004</v>
      </c>
      <c r="H3903" s="505" t="s">
        <v>191</v>
      </c>
      <c r="I3903" s="519" t="s">
        <v>4405</v>
      </c>
      <c r="J3903" s="505" t="s">
        <v>96</v>
      </c>
      <c r="K3903" s="505" t="s">
        <v>2102</v>
      </c>
      <c r="L3903" s="505" t="s">
        <v>153</v>
      </c>
    </row>
    <row r="3904" spans="1:12" ht="15.6">
      <c r="A3904" s="515">
        <v>45965</v>
      </c>
      <c r="B3904" s="519" t="s">
        <v>4389</v>
      </c>
      <c r="C3904" s="505" t="s">
        <v>3317</v>
      </c>
      <c r="D3904" s="505" t="s">
        <v>115</v>
      </c>
      <c r="E3904" s="528">
        <v>1500</v>
      </c>
      <c r="F3904" s="502">
        <f t="shared" si="61"/>
        <v>2.8116055579818666</v>
      </c>
      <c r="G3904" s="503">
        <v>533.50300000000004</v>
      </c>
      <c r="H3904" s="505" t="s">
        <v>191</v>
      </c>
      <c r="I3904" s="519" t="s">
        <v>4409</v>
      </c>
      <c r="J3904" s="505" t="s">
        <v>96</v>
      </c>
      <c r="K3904" s="505" t="s">
        <v>2102</v>
      </c>
      <c r="L3904" s="505" t="s">
        <v>153</v>
      </c>
    </row>
    <row r="3905" spans="1:12" ht="15.6">
      <c r="A3905" s="515">
        <v>45965</v>
      </c>
      <c r="B3905" s="519" t="s">
        <v>4386</v>
      </c>
      <c r="C3905" s="505" t="s">
        <v>172</v>
      </c>
      <c r="D3905" s="505" t="s">
        <v>115</v>
      </c>
      <c r="E3905" s="528">
        <v>500</v>
      </c>
      <c r="F3905" s="502">
        <f t="shared" si="61"/>
        <v>0.93720185266062228</v>
      </c>
      <c r="G3905" s="503">
        <v>533.50300000000004</v>
      </c>
      <c r="H3905" s="505" t="s">
        <v>191</v>
      </c>
      <c r="I3905" s="519" t="s">
        <v>4405</v>
      </c>
      <c r="J3905" s="505" t="s">
        <v>96</v>
      </c>
      <c r="K3905" s="505" t="s">
        <v>2102</v>
      </c>
      <c r="L3905" s="505" t="s">
        <v>153</v>
      </c>
    </row>
    <row r="3906" spans="1:12" ht="15.6">
      <c r="A3906" s="515">
        <v>45965</v>
      </c>
      <c r="B3906" s="519" t="s">
        <v>4390</v>
      </c>
      <c r="C3906" s="505" t="s">
        <v>172</v>
      </c>
      <c r="D3906" s="505" t="s">
        <v>115</v>
      </c>
      <c r="E3906" s="528">
        <v>500</v>
      </c>
      <c r="F3906" s="502">
        <f t="shared" ref="F3906:F3969" si="62">E3906/G3906</f>
        <v>0.93720185266062228</v>
      </c>
      <c r="G3906" s="503">
        <v>533.50300000000004</v>
      </c>
      <c r="H3906" s="505" t="s">
        <v>191</v>
      </c>
      <c r="I3906" s="519" t="s">
        <v>4405</v>
      </c>
      <c r="J3906" s="505" t="s">
        <v>96</v>
      </c>
      <c r="K3906" s="505" t="s">
        <v>2102</v>
      </c>
      <c r="L3906" s="505" t="s">
        <v>153</v>
      </c>
    </row>
    <row r="3907" spans="1:12" ht="15.6">
      <c r="A3907" s="532">
        <v>45965</v>
      </c>
      <c r="B3907" s="516" t="s">
        <v>4462</v>
      </c>
      <c r="C3907" s="516" t="s">
        <v>172</v>
      </c>
      <c r="D3907" s="516" t="s">
        <v>118</v>
      </c>
      <c r="E3907" s="533">
        <v>1000</v>
      </c>
      <c r="F3907" s="502">
        <f t="shared" si="62"/>
        <v>1.8744037053212446</v>
      </c>
      <c r="G3907" s="503">
        <v>533.50300000000004</v>
      </c>
      <c r="H3907" s="516" t="s">
        <v>211</v>
      </c>
      <c r="I3907" s="516" t="s">
        <v>4559</v>
      </c>
      <c r="J3907" s="505" t="s">
        <v>96</v>
      </c>
      <c r="K3907" s="505" t="s">
        <v>2102</v>
      </c>
      <c r="L3907" s="505" t="s">
        <v>153</v>
      </c>
    </row>
    <row r="3908" spans="1:12" ht="15.6">
      <c r="A3908" s="532">
        <v>45965</v>
      </c>
      <c r="B3908" s="516" t="s">
        <v>4464</v>
      </c>
      <c r="C3908" s="516" t="s">
        <v>172</v>
      </c>
      <c r="D3908" s="516" t="s">
        <v>118</v>
      </c>
      <c r="E3908" s="533">
        <v>1000</v>
      </c>
      <c r="F3908" s="502">
        <f t="shared" si="62"/>
        <v>1.8744037053212446</v>
      </c>
      <c r="G3908" s="503">
        <v>533.50300000000004</v>
      </c>
      <c r="H3908" s="516" t="s">
        <v>211</v>
      </c>
      <c r="I3908" s="516" t="s">
        <v>4559</v>
      </c>
      <c r="J3908" s="505" t="s">
        <v>96</v>
      </c>
      <c r="K3908" s="505" t="s">
        <v>2102</v>
      </c>
      <c r="L3908" s="505" t="s">
        <v>153</v>
      </c>
    </row>
    <row r="3909" spans="1:12" ht="15.6">
      <c r="A3909" s="532">
        <v>45965</v>
      </c>
      <c r="B3909" s="516" t="s">
        <v>4465</v>
      </c>
      <c r="C3909" s="516" t="s">
        <v>172</v>
      </c>
      <c r="D3909" s="516" t="s">
        <v>118</v>
      </c>
      <c r="E3909" s="533">
        <v>1000</v>
      </c>
      <c r="F3909" s="502">
        <f t="shared" si="62"/>
        <v>1.8744037053212446</v>
      </c>
      <c r="G3909" s="503">
        <v>533.50300000000004</v>
      </c>
      <c r="H3909" s="516" t="s">
        <v>211</v>
      </c>
      <c r="I3909" s="516" t="s">
        <v>4559</v>
      </c>
      <c r="J3909" s="505" t="s">
        <v>96</v>
      </c>
      <c r="K3909" s="505" t="s">
        <v>2102</v>
      </c>
      <c r="L3909" s="505" t="s">
        <v>153</v>
      </c>
    </row>
    <row r="3910" spans="1:12" ht="15.6">
      <c r="A3910" s="515">
        <v>45965</v>
      </c>
      <c r="B3910" s="505" t="s">
        <v>4466</v>
      </c>
      <c r="C3910" s="505" t="s">
        <v>2092</v>
      </c>
      <c r="D3910" s="505" t="s">
        <v>118</v>
      </c>
      <c r="E3910" s="518">
        <v>6000</v>
      </c>
      <c r="F3910" s="502">
        <f t="shared" si="62"/>
        <v>11.246422231927466</v>
      </c>
      <c r="G3910" s="503">
        <v>533.50300000000004</v>
      </c>
      <c r="H3910" s="505" t="s">
        <v>211</v>
      </c>
      <c r="I3910" s="505" t="s">
        <v>4562</v>
      </c>
      <c r="J3910" s="505" t="s">
        <v>96</v>
      </c>
      <c r="K3910" s="505" t="s">
        <v>2102</v>
      </c>
      <c r="L3910" s="505" t="s">
        <v>153</v>
      </c>
    </row>
    <row r="3911" spans="1:12" ht="15.6">
      <c r="A3911" s="515">
        <v>45965</v>
      </c>
      <c r="B3911" s="505" t="s">
        <v>4467</v>
      </c>
      <c r="C3911" s="505" t="s">
        <v>2092</v>
      </c>
      <c r="D3911" s="505" t="s">
        <v>118</v>
      </c>
      <c r="E3911" s="518">
        <v>6000</v>
      </c>
      <c r="F3911" s="502">
        <f t="shared" si="62"/>
        <v>11.246422231927466</v>
      </c>
      <c r="G3911" s="503">
        <v>533.50300000000004</v>
      </c>
      <c r="H3911" s="505" t="s">
        <v>211</v>
      </c>
      <c r="I3911" s="505" t="s">
        <v>4562</v>
      </c>
      <c r="J3911" s="505" t="s">
        <v>96</v>
      </c>
      <c r="K3911" s="505" t="s">
        <v>2102</v>
      </c>
      <c r="L3911" s="505" t="s">
        <v>153</v>
      </c>
    </row>
    <row r="3912" spans="1:12" ht="15.6">
      <c r="A3912" s="515">
        <v>45965</v>
      </c>
      <c r="B3912" s="505" t="s">
        <v>4468</v>
      </c>
      <c r="C3912" s="505" t="s">
        <v>2092</v>
      </c>
      <c r="D3912" s="505" t="s">
        <v>118</v>
      </c>
      <c r="E3912" s="518">
        <v>6000</v>
      </c>
      <c r="F3912" s="502">
        <f t="shared" si="62"/>
        <v>11.246422231927466</v>
      </c>
      <c r="G3912" s="503">
        <v>533.50300000000004</v>
      </c>
      <c r="H3912" s="505" t="s">
        <v>211</v>
      </c>
      <c r="I3912" s="505" t="s">
        <v>4562</v>
      </c>
      <c r="J3912" s="505" t="s">
        <v>96</v>
      </c>
      <c r="K3912" s="505" t="s">
        <v>2102</v>
      </c>
      <c r="L3912" s="505" t="s">
        <v>153</v>
      </c>
    </row>
    <row r="3913" spans="1:12" ht="15.6">
      <c r="A3913" s="515">
        <v>45965</v>
      </c>
      <c r="B3913" s="505" t="s">
        <v>4469</v>
      </c>
      <c r="C3913" s="505" t="s">
        <v>2092</v>
      </c>
      <c r="D3913" s="505" t="s">
        <v>118</v>
      </c>
      <c r="E3913" s="518">
        <v>6000</v>
      </c>
      <c r="F3913" s="502">
        <f t="shared" si="62"/>
        <v>11.246422231927466</v>
      </c>
      <c r="G3913" s="503">
        <v>533.50300000000004</v>
      </c>
      <c r="H3913" s="505" t="s">
        <v>211</v>
      </c>
      <c r="I3913" s="505" t="s">
        <v>4562</v>
      </c>
      <c r="J3913" s="505" t="s">
        <v>96</v>
      </c>
      <c r="K3913" s="505" t="s">
        <v>2102</v>
      </c>
      <c r="L3913" s="505" t="s">
        <v>153</v>
      </c>
    </row>
    <row r="3914" spans="1:12" ht="15.6">
      <c r="A3914" s="515">
        <v>45965</v>
      </c>
      <c r="B3914" s="505" t="s">
        <v>4470</v>
      </c>
      <c r="C3914" s="505" t="s">
        <v>2092</v>
      </c>
      <c r="D3914" s="505" t="s">
        <v>118</v>
      </c>
      <c r="E3914" s="518">
        <v>6000</v>
      </c>
      <c r="F3914" s="502">
        <f t="shared" si="62"/>
        <v>11.246422231927466</v>
      </c>
      <c r="G3914" s="503">
        <v>533.50300000000004</v>
      </c>
      <c r="H3914" s="505" t="s">
        <v>211</v>
      </c>
      <c r="I3914" s="505" t="s">
        <v>4562</v>
      </c>
      <c r="J3914" s="505" t="s">
        <v>96</v>
      </c>
      <c r="K3914" s="505" t="s">
        <v>2102</v>
      </c>
      <c r="L3914" s="505" t="s">
        <v>153</v>
      </c>
    </row>
    <row r="3915" spans="1:12" ht="15.6">
      <c r="A3915" s="515">
        <v>45965</v>
      </c>
      <c r="B3915" s="505" t="s">
        <v>4471</v>
      </c>
      <c r="C3915" s="505" t="s">
        <v>2092</v>
      </c>
      <c r="D3915" s="505" t="s">
        <v>118</v>
      </c>
      <c r="E3915" s="518">
        <v>6000</v>
      </c>
      <c r="F3915" s="502">
        <f t="shared" si="62"/>
        <v>11.246422231927466</v>
      </c>
      <c r="G3915" s="503">
        <v>533.50300000000004</v>
      </c>
      <c r="H3915" s="505" t="s">
        <v>211</v>
      </c>
      <c r="I3915" s="505" t="s">
        <v>4562</v>
      </c>
      <c r="J3915" s="505" t="s">
        <v>96</v>
      </c>
      <c r="K3915" s="505" t="s">
        <v>2102</v>
      </c>
      <c r="L3915" s="505" t="s">
        <v>153</v>
      </c>
    </row>
    <row r="3916" spans="1:12" ht="15.6">
      <c r="A3916" s="515">
        <v>45965</v>
      </c>
      <c r="B3916" s="505" t="s">
        <v>4472</v>
      </c>
      <c r="C3916" s="505" t="s">
        <v>2092</v>
      </c>
      <c r="D3916" s="505" t="s">
        <v>118</v>
      </c>
      <c r="E3916" s="518">
        <v>6000</v>
      </c>
      <c r="F3916" s="502">
        <f t="shared" si="62"/>
        <v>11.246422231927466</v>
      </c>
      <c r="G3916" s="503">
        <v>533.50300000000004</v>
      </c>
      <c r="H3916" s="505" t="s">
        <v>211</v>
      </c>
      <c r="I3916" s="505" t="s">
        <v>4562</v>
      </c>
      <c r="J3916" s="505" t="s">
        <v>96</v>
      </c>
      <c r="K3916" s="505" t="s">
        <v>2102</v>
      </c>
      <c r="L3916" s="505" t="s">
        <v>153</v>
      </c>
    </row>
    <row r="3917" spans="1:12" ht="15.6">
      <c r="A3917" s="515">
        <v>45965</v>
      </c>
      <c r="B3917" s="505" t="s">
        <v>4473</v>
      </c>
      <c r="C3917" s="505" t="s">
        <v>2092</v>
      </c>
      <c r="D3917" s="505" t="s">
        <v>118</v>
      </c>
      <c r="E3917" s="518">
        <v>6000</v>
      </c>
      <c r="F3917" s="502">
        <f t="shared" si="62"/>
        <v>11.246422231927466</v>
      </c>
      <c r="G3917" s="503">
        <v>533.50300000000004</v>
      </c>
      <c r="H3917" s="505" t="s">
        <v>211</v>
      </c>
      <c r="I3917" s="505" t="s">
        <v>4562</v>
      </c>
      <c r="J3917" s="505" t="s">
        <v>96</v>
      </c>
      <c r="K3917" s="505" t="s">
        <v>2102</v>
      </c>
      <c r="L3917" s="505" t="s">
        <v>153</v>
      </c>
    </row>
    <row r="3918" spans="1:12" ht="15.6">
      <c r="A3918" s="515">
        <v>45965</v>
      </c>
      <c r="B3918" s="505" t="s">
        <v>4474</v>
      </c>
      <c r="C3918" s="505" t="s">
        <v>2092</v>
      </c>
      <c r="D3918" s="505" t="s">
        <v>118</v>
      </c>
      <c r="E3918" s="518">
        <v>6000</v>
      </c>
      <c r="F3918" s="502">
        <f t="shared" si="62"/>
        <v>11.246422231927466</v>
      </c>
      <c r="G3918" s="503">
        <v>533.50300000000004</v>
      </c>
      <c r="H3918" s="505" t="s">
        <v>211</v>
      </c>
      <c r="I3918" s="505" t="s">
        <v>4562</v>
      </c>
      <c r="J3918" s="505" t="s">
        <v>96</v>
      </c>
      <c r="K3918" s="505" t="s">
        <v>2102</v>
      </c>
      <c r="L3918" s="505" t="s">
        <v>153</v>
      </c>
    </row>
    <row r="3919" spans="1:12" ht="15.6">
      <c r="A3919" s="515">
        <v>45965</v>
      </c>
      <c r="B3919" s="505" t="s">
        <v>4475</v>
      </c>
      <c r="C3919" s="505" t="s">
        <v>2092</v>
      </c>
      <c r="D3919" s="505" t="s">
        <v>118</v>
      </c>
      <c r="E3919" s="518">
        <v>6000</v>
      </c>
      <c r="F3919" s="502">
        <f t="shared" si="62"/>
        <v>11.246422231927466</v>
      </c>
      <c r="G3919" s="503">
        <v>533.50300000000004</v>
      </c>
      <c r="H3919" s="505" t="s">
        <v>211</v>
      </c>
      <c r="I3919" s="505" t="s">
        <v>4562</v>
      </c>
      <c r="J3919" s="505" t="s">
        <v>96</v>
      </c>
      <c r="K3919" s="505" t="s">
        <v>2102</v>
      </c>
      <c r="L3919" s="505" t="s">
        <v>153</v>
      </c>
    </row>
    <row r="3920" spans="1:12" ht="15.6">
      <c r="A3920" s="515">
        <v>45965</v>
      </c>
      <c r="B3920" s="505" t="s">
        <v>4476</v>
      </c>
      <c r="C3920" s="505" t="s">
        <v>2092</v>
      </c>
      <c r="D3920" s="505" t="s">
        <v>118</v>
      </c>
      <c r="E3920" s="518">
        <v>6000</v>
      </c>
      <c r="F3920" s="502">
        <f t="shared" si="62"/>
        <v>11.246422231927466</v>
      </c>
      <c r="G3920" s="503">
        <v>533.50300000000004</v>
      </c>
      <c r="H3920" s="505" t="s">
        <v>211</v>
      </c>
      <c r="I3920" s="505" t="s">
        <v>4562</v>
      </c>
      <c r="J3920" s="505" t="s">
        <v>96</v>
      </c>
      <c r="K3920" s="505" t="s">
        <v>2102</v>
      </c>
      <c r="L3920" s="505" t="s">
        <v>153</v>
      </c>
    </row>
    <row r="3921" spans="1:12" ht="15.6">
      <c r="A3921" s="515">
        <v>45965</v>
      </c>
      <c r="B3921" s="505" t="s">
        <v>4477</v>
      </c>
      <c r="C3921" s="505" t="s">
        <v>2092</v>
      </c>
      <c r="D3921" s="505" t="s">
        <v>118</v>
      </c>
      <c r="E3921" s="518">
        <v>6000</v>
      </c>
      <c r="F3921" s="502">
        <f t="shared" si="62"/>
        <v>11.246422231927466</v>
      </c>
      <c r="G3921" s="503">
        <v>533.50300000000004</v>
      </c>
      <c r="H3921" s="505" t="s">
        <v>211</v>
      </c>
      <c r="I3921" s="505" t="s">
        <v>4562</v>
      </c>
      <c r="J3921" s="505" t="s">
        <v>96</v>
      </c>
      <c r="K3921" s="505" t="s">
        <v>2102</v>
      </c>
      <c r="L3921" s="505" t="s">
        <v>153</v>
      </c>
    </row>
    <row r="3922" spans="1:12" ht="15.6">
      <c r="A3922" s="515">
        <v>45965</v>
      </c>
      <c r="B3922" s="505" t="s">
        <v>4478</v>
      </c>
      <c r="C3922" s="505" t="s">
        <v>2092</v>
      </c>
      <c r="D3922" s="505" t="s">
        <v>118</v>
      </c>
      <c r="E3922" s="518">
        <v>6000</v>
      </c>
      <c r="F3922" s="502">
        <f t="shared" si="62"/>
        <v>11.246422231927466</v>
      </c>
      <c r="G3922" s="503">
        <v>533.50300000000004</v>
      </c>
      <c r="H3922" s="505" t="s">
        <v>211</v>
      </c>
      <c r="I3922" s="505" t="s">
        <v>4562</v>
      </c>
      <c r="J3922" s="505" t="s">
        <v>96</v>
      </c>
      <c r="K3922" s="505" t="s">
        <v>2102</v>
      </c>
      <c r="L3922" s="505" t="s">
        <v>153</v>
      </c>
    </row>
    <row r="3923" spans="1:12" ht="15.6">
      <c r="A3923" s="515">
        <v>45965</v>
      </c>
      <c r="B3923" s="505" t="s">
        <v>4479</v>
      </c>
      <c r="C3923" s="505" t="s">
        <v>2092</v>
      </c>
      <c r="D3923" s="505" t="s">
        <v>118</v>
      </c>
      <c r="E3923" s="518">
        <v>6000</v>
      </c>
      <c r="F3923" s="502">
        <f t="shared" si="62"/>
        <v>11.246422231927466</v>
      </c>
      <c r="G3923" s="503">
        <v>533.50300000000004</v>
      </c>
      <c r="H3923" s="505" t="s">
        <v>211</v>
      </c>
      <c r="I3923" s="505" t="s">
        <v>4562</v>
      </c>
      <c r="J3923" s="505" t="s">
        <v>96</v>
      </c>
      <c r="K3923" s="505" t="s">
        <v>2102</v>
      </c>
      <c r="L3923" s="505" t="s">
        <v>153</v>
      </c>
    </row>
    <row r="3924" spans="1:12" ht="15.6">
      <c r="A3924" s="515">
        <v>45965</v>
      </c>
      <c r="B3924" s="505" t="s">
        <v>4480</v>
      </c>
      <c r="C3924" s="505" t="s">
        <v>2092</v>
      </c>
      <c r="D3924" s="505" t="s">
        <v>118</v>
      </c>
      <c r="E3924" s="518">
        <v>10000</v>
      </c>
      <c r="F3924" s="502">
        <f t="shared" si="62"/>
        <v>18.744037053212445</v>
      </c>
      <c r="G3924" s="503">
        <v>533.50300000000004</v>
      </c>
      <c r="H3924" s="505" t="s">
        <v>211</v>
      </c>
      <c r="I3924" s="505" t="s">
        <v>4563</v>
      </c>
      <c r="J3924" s="505" t="s">
        <v>96</v>
      </c>
      <c r="K3924" s="505" t="s">
        <v>2102</v>
      </c>
      <c r="L3924" s="505" t="s">
        <v>153</v>
      </c>
    </row>
    <row r="3925" spans="1:12" ht="15.6">
      <c r="A3925" s="515">
        <v>45965</v>
      </c>
      <c r="B3925" s="505" t="s">
        <v>4481</v>
      </c>
      <c r="C3925" s="505" t="s">
        <v>2092</v>
      </c>
      <c r="D3925" s="505" t="s">
        <v>118</v>
      </c>
      <c r="E3925" s="518">
        <v>10000</v>
      </c>
      <c r="F3925" s="502">
        <f t="shared" si="62"/>
        <v>18.744037053212445</v>
      </c>
      <c r="G3925" s="503">
        <v>533.50300000000004</v>
      </c>
      <c r="H3925" s="505" t="s">
        <v>211</v>
      </c>
      <c r="I3925" s="505" t="s">
        <v>4563</v>
      </c>
      <c r="J3925" s="505" t="s">
        <v>96</v>
      </c>
      <c r="K3925" s="505" t="s">
        <v>2102</v>
      </c>
      <c r="L3925" s="505" t="s">
        <v>153</v>
      </c>
    </row>
    <row r="3926" spans="1:12" ht="15.6">
      <c r="A3926" s="515">
        <v>45965</v>
      </c>
      <c r="B3926" s="505" t="s">
        <v>4482</v>
      </c>
      <c r="C3926" s="505" t="s">
        <v>2092</v>
      </c>
      <c r="D3926" s="505" t="s">
        <v>118</v>
      </c>
      <c r="E3926" s="518">
        <v>10000</v>
      </c>
      <c r="F3926" s="502">
        <f t="shared" si="62"/>
        <v>18.744037053212445</v>
      </c>
      <c r="G3926" s="503">
        <v>533.50300000000004</v>
      </c>
      <c r="H3926" s="505" t="s">
        <v>211</v>
      </c>
      <c r="I3926" s="505" t="s">
        <v>4563</v>
      </c>
      <c r="J3926" s="505" t="s">
        <v>96</v>
      </c>
      <c r="K3926" s="505" t="s">
        <v>2102</v>
      </c>
      <c r="L3926" s="505" t="s">
        <v>153</v>
      </c>
    </row>
    <row r="3927" spans="1:12" ht="15.6">
      <c r="A3927" s="515">
        <v>45965</v>
      </c>
      <c r="B3927" s="505" t="s">
        <v>4483</v>
      </c>
      <c r="C3927" s="505" t="s">
        <v>2092</v>
      </c>
      <c r="D3927" s="505" t="s">
        <v>118</v>
      </c>
      <c r="E3927" s="518">
        <v>6000</v>
      </c>
      <c r="F3927" s="502">
        <f t="shared" si="62"/>
        <v>11.246422231927466</v>
      </c>
      <c r="G3927" s="503">
        <v>533.50300000000004</v>
      </c>
      <c r="H3927" s="505" t="s">
        <v>211</v>
      </c>
      <c r="I3927" s="505" t="s">
        <v>4564</v>
      </c>
      <c r="J3927" s="505" t="s">
        <v>96</v>
      </c>
      <c r="K3927" s="505" t="s">
        <v>2102</v>
      </c>
      <c r="L3927" s="505" t="s">
        <v>153</v>
      </c>
    </row>
    <row r="3928" spans="1:12" ht="15.6">
      <c r="A3928" s="515">
        <v>45965</v>
      </c>
      <c r="B3928" s="505" t="s">
        <v>4484</v>
      </c>
      <c r="C3928" s="505" t="s">
        <v>2092</v>
      </c>
      <c r="D3928" s="505" t="s">
        <v>118</v>
      </c>
      <c r="E3928" s="518">
        <v>6000</v>
      </c>
      <c r="F3928" s="502">
        <f t="shared" si="62"/>
        <v>11.246422231927466</v>
      </c>
      <c r="G3928" s="503">
        <v>533.50300000000004</v>
      </c>
      <c r="H3928" s="505" t="s">
        <v>211</v>
      </c>
      <c r="I3928" s="505" t="s">
        <v>4564</v>
      </c>
      <c r="J3928" s="505" t="s">
        <v>96</v>
      </c>
      <c r="K3928" s="505" t="s">
        <v>2102</v>
      </c>
      <c r="L3928" s="505" t="s">
        <v>153</v>
      </c>
    </row>
    <row r="3929" spans="1:12" ht="15.6">
      <c r="A3929" s="515">
        <v>45965</v>
      </c>
      <c r="B3929" s="505" t="s">
        <v>4485</v>
      </c>
      <c r="C3929" s="505" t="s">
        <v>2092</v>
      </c>
      <c r="D3929" s="505" t="s">
        <v>118</v>
      </c>
      <c r="E3929" s="518">
        <v>6000</v>
      </c>
      <c r="F3929" s="502">
        <f t="shared" si="62"/>
        <v>11.246422231927466</v>
      </c>
      <c r="G3929" s="503">
        <v>533.50300000000004</v>
      </c>
      <c r="H3929" s="505" t="s">
        <v>211</v>
      </c>
      <c r="I3929" s="505" t="s">
        <v>4564</v>
      </c>
      <c r="J3929" s="505" t="s">
        <v>96</v>
      </c>
      <c r="K3929" s="505" t="s">
        <v>2102</v>
      </c>
      <c r="L3929" s="505" t="s">
        <v>153</v>
      </c>
    </row>
    <row r="3930" spans="1:12" ht="15.6">
      <c r="A3930" s="515">
        <v>45965</v>
      </c>
      <c r="B3930" s="505" t="s">
        <v>4486</v>
      </c>
      <c r="C3930" s="505" t="s">
        <v>2092</v>
      </c>
      <c r="D3930" s="505" t="s">
        <v>118</v>
      </c>
      <c r="E3930" s="518">
        <v>6000</v>
      </c>
      <c r="F3930" s="502">
        <f t="shared" si="62"/>
        <v>11.246422231927466</v>
      </c>
      <c r="G3930" s="503">
        <v>533.50300000000004</v>
      </c>
      <c r="H3930" s="505" t="s">
        <v>211</v>
      </c>
      <c r="I3930" s="505" t="s">
        <v>4564</v>
      </c>
      <c r="J3930" s="505" t="s">
        <v>96</v>
      </c>
      <c r="K3930" s="505" t="s">
        <v>2102</v>
      </c>
      <c r="L3930" s="505" t="s">
        <v>153</v>
      </c>
    </row>
    <row r="3931" spans="1:12" ht="15.6">
      <c r="A3931" s="526">
        <v>45965</v>
      </c>
      <c r="B3931" s="519" t="s">
        <v>4579</v>
      </c>
      <c r="C3931" s="519" t="s">
        <v>175</v>
      </c>
      <c r="D3931" s="519" t="s">
        <v>115</v>
      </c>
      <c r="E3931" s="519">
        <v>15000</v>
      </c>
      <c r="F3931" s="502">
        <f t="shared" si="62"/>
        <v>28.116055579818667</v>
      </c>
      <c r="G3931" s="503">
        <v>533.50300000000004</v>
      </c>
      <c r="H3931" s="519" t="s">
        <v>185</v>
      </c>
      <c r="I3931" s="519" t="s">
        <v>4633</v>
      </c>
      <c r="J3931" s="505" t="s">
        <v>96</v>
      </c>
      <c r="K3931" s="505" t="s">
        <v>2102</v>
      </c>
      <c r="L3931" s="505" t="s">
        <v>153</v>
      </c>
    </row>
    <row r="3932" spans="1:12" ht="15.6">
      <c r="A3932" s="526">
        <v>45965</v>
      </c>
      <c r="B3932" s="519" t="s">
        <v>4580</v>
      </c>
      <c r="C3932" s="519" t="s">
        <v>172</v>
      </c>
      <c r="D3932" s="519" t="s">
        <v>115</v>
      </c>
      <c r="E3932" s="519">
        <v>500</v>
      </c>
      <c r="F3932" s="502">
        <f t="shared" si="62"/>
        <v>0.93720185266062228</v>
      </c>
      <c r="G3932" s="503">
        <v>533.50300000000004</v>
      </c>
      <c r="H3932" s="519" t="s">
        <v>185</v>
      </c>
      <c r="I3932" s="519" t="s">
        <v>4631</v>
      </c>
      <c r="J3932" s="505" t="s">
        <v>96</v>
      </c>
      <c r="K3932" s="505" t="s">
        <v>2102</v>
      </c>
      <c r="L3932" s="505" t="s">
        <v>153</v>
      </c>
    </row>
    <row r="3933" spans="1:12" ht="15.6">
      <c r="A3933" s="526">
        <v>45965</v>
      </c>
      <c r="B3933" s="519" t="s">
        <v>4581</v>
      </c>
      <c r="C3933" s="519" t="s">
        <v>172</v>
      </c>
      <c r="D3933" s="519" t="s">
        <v>115</v>
      </c>
      <c r="E3933" s="519">
        <v>500</v>
      </c>
      <c r="F3933" s="502">
        <f t="shared" si="62"/>
        <v>0.93720185266062228</v>
      </c>
      <c r="G3933" s="503">
        <v>533.50300000000004</v>
      </c>
      <c r="H3933" s="519" t="s">
        <v>185</v>
      </c>
      <c r="I3933" s="519" t="s">
        <v>4631</v>
      </c>
      <c r="J3933" s="505" t="s">
        <v>96</v>
      </c>
      <c r="K3933" s="505" t="s">
        <v>2102</v>
      </c>
      <c r="L3933" s="505" t="s">
        <v>153</v>
      </c>
    </row>
    <row r="3934" spans="1:12" ht="15.6">
      <c r="A3934" s="543">
        <v>45965</v>
      </c>
      <c r="B3934" s="544" t="s">
        <v>4057</v>
      </c>
      <c r="C3934" s="505" t="s">
        <v>124</v>
      </c>
      <c r="D3934" s="546" t="s">
        <v>116</v>
      </c>
      <c r="E3934" s="518">
        <v>500000</v>
      </c>
      <c r="F3934" s="502">
        <f t="shared" si="62"/>
        <v>937.20185266062231</v>
      </c>
      <c r="G3934" s="503">
        <v>533.50300000000004</v>
      </c>
      <c r="H3934" s="125" t="s">
        <v>146</v>
      </c>
      <c r="I3934" s="125" t="s">
        <v>4709</v>
      </c>
      <c r="J3934" s="505" t="s">
        <v>96</v>
      </c>
      <c r="K3934" s="505" t="s">
        <v>2102</v>
      </c>
      <c r="L3934" s="505" t="s">
        <v>153</v>
      </c>
    </row>
    <row r="3935" spans="1:12" ht="15.6">
      <c r="A3935" s="486">
        <v>45966</v>
      </c>
      <c r="B3935" s="478" t="s">
        <v>2103</v>
      </c>
      <c r="C3935" s="478" t="s">
        <v>172</v>
      </c>
      <c r="D3935" s="501" t="s">
        <v>117</v>
      </c>
      <c r="E3935" s="481">
        <v>1000</v>
      </c>
      <c r="F3935" s="502">
        <f t="shared" si="62"/>
        <v>1.8744037053212446</v>
      </c>
      <c r="G3935" s="503">
        <v>533.50300000000004</v>
      </c>
      <c r="H3935" s="504" t="s">
        <v>151</v>
      </c>
      <c r="I3935" s="478" t="s">
        <v>4133</v>
      </c>
      <c r="J3935" s="505" t="s">
        <v>96</v>
      </c>
      <c r="K3935" s="505" t="s">
        <v>2102</v>
      </c>
      <c r="L3935" s="505" t="s">
        <v>153</v>
      </c>
    </row>
    <row r="3936" spans="1:12" ht="15.6">
      <c r="A3936" s="486">
        <v>45966</v>
      </c>
      <c r="B3936" s="478" t="s">
        <v>2104</v>
      </c>
      <c r="C3936" s="478" t="s">
        <v>172</v>
      </c>
      <c r="D3936" s="501" t="s">
        <v>117</v>
      </c>
      <c r="E3936" s="481">
        <v>1000</v>
      </c>
      <c r="F3936" s="502">
        <f t="shared" si="62"/>
        <v>1.8744037053212446</v>
      </c>
      <c r="G3936" s="503">
        <v>533.50300000000004</v>
      </c>
      <c r="H3936" s="504" t="s">
        <v>151</v>
      </c>
      <c r="I3936" s="478" t="s">
        <v>4133</v>
      </c>
      <c r="J3936" s="505" t="s">
        <v>96</v>
      </c>
      <c r="K3936" s="505" t="s">
        <v>2102</v>
      </c>
      <c r="L3936" s="505" t="s">
        <v>153</v>
      </c>
    </row>
    <row r="3937" spans="1:12" ht="15.6">
      <c r="A3937" s="515">
        <v>45966</v>
      </c>
      <c r="B3937" s="505" t="s">
        <v>4165</v>
      </c>
      <c r="C3937" s="505" t="s">
        <v>170</v>
      </c>
      <c r="D3937" s="519" t="s">
        <v>116</v>
      </c>
      <c r="E3937" s="518">
        <v>25000</v>
      </c>
      <c r="F3937" s="502">
        <f t="shared" si="62"/>
        <v>46.860092633031115</v>
      </c>
      <c r="G3937" s="503">
        <v>533.50300000000004</v>
      </c>
      <c r="H3937" s="505" t="s">
        <v>581</v>
      </c>
      <c r="I3937" s="505" t="s">
        <v>4216</v>
      </c>
      <c r="J3937" s="505" t="s">
        <v>96</v>
      </c>
      <c r="K3937" s="505" t="s">
        <v>2102</v>
      </c>
      <c r="L3937" s="505" t="s">
        <v>153</v>
      </c>
    </row>
    <row r="3938" spans="1:12" ht="15.6">
      <c r="A3938" s="515">
        <v>45966</v>
      </c>
      <c r="B3938" s="505" t="s">
        <v>4166</v>
      </c>
      <c r="C3938" s="505" t="s">
        <v>170</v>
      </c>
      <c r="D3938" s="519" t="s">
        <v>116</v>
      </c>
      <c r="E3938" s="518">
        <v>3500</v>
      </c>
      <c r="F3938" s="502">
        <f t="shared" si="62"/>
        <v>6.5604129686243562</v>
      </c>
      <c r="G3938" s="503">
        <v>533.50300000000004</v>
      </c>
      <c r="H3938" s="505" t="s">
        <v>581</v>
      </c>
      <c r="I3938" s="505" t="s">
        <v>4216</v>
      </c>
      <c r="J3938" s="505" t="s">
        <v>96</v>
      </c>
      <c r="K3938" s="505" t="s">
        <v>2102</v>
      </c>
      <c r="L3938" s="505" t="s">
        <v>153</v>
      </c>
    </row>
    <row r="3939" spans="1:12" ht="15.6">
      <c r="A3939" s="515">
        <v>45966</v>
      </c>
      <c r="B3939" s="505" t="s">
        <v>4167</v>
      </c>
      <c r="C3939" s="505" t="s">
        <v>170</v>
      </c>
      <c r="D3939" s="519" t="s">
        <v>116</v>
      </c>
      <c r="E3939" s="518">
        <v>34000</v>
      </c>
      <c r="F3939" s="502">
        <f t="shared" si="62"/>
        <v>63.729725980922311</v>
      </c>
      <c r="G3939" s="503">
        <v>533.50300000000004</v>
      </c>
      <c r="H3939" s="505" t="s">
        <v>581</v>
      </c>
      <c r="I3939" s="505" t="s">
        <v>4216</v>
      </c>
      <c r="J3939" s="505" t="s">
        <v>96</v>
      </c>
      <c r="K3939" s="505" t="s">
        <v>2102</v>
      </c>
      <c r="L3939" s="505" t="s">
        <v>153</v>
      </c>
    </row>
    <row r="3940" spans="1:12" ht="15.6">
      <c r="A3940" s="515">
        <v>45966</v>
      </c>
      <c r="B3940" s="505" t="s">
        <v>4168</v>
      </c>
      <c r="C3940" s="505" t="s">
        <v>170</v>
      </c>
      <c r="D3940" s="519" t="s">
        <v>116</v>
      </c>
      <c r="E3940" s="518">
        <v>7500</v>
      </c>
      <c r="F3940" s="502">
        <f t="shared" si="62"/>
        <v>14.058027789909334</v>
      </c>
      <c r="G3940" s="503">
        <v>533.50300000000004</v>
      </c>
      <c r="H3940" s="505" t="s">
        <v>581</v>
      </c>
      <c r="I3940" s="505" t="s">
        <v>4216</v>
      </c>
      <c r="J3940" s="505" t="s">
        <v>96</v>
      </c>
      <c r="K3940" s="505" t="s">
        <v>2102</v>
      </c>
      <c r="L3940" s="505" t="s">
        <v>153</v>
      </c>
    </row>
    <row r="3941" spans="1:12" ht="15.6">
      <c r="A3941" s="515">
        <v>45966</v>
      </c>
      <c r="B3941" s="505" t="s">
        <v>4169</v>
      </c>
      <c r="C3941" s="505" t="s">
        <v>170</v>
      </c>
      <c r="D3941" s="519" t="s">
        <v>116</v>
      </c>
      <c r="E3941" s="518">
        <v>1000</v>
      </c>
      <c r="F3941" s="502">
        <f t="shared" si="62"/>
        <v>1.8744037053212446</v>
      </c>
      <c r="G3941" s="503">
        <v>533.50300000000004</v>
      </c>
      <c r="H3941" s="505" t="s">
        <v>581</v>
      </c>
      <c r="I3941" s="505" t="s">
        <v>4216</v>
      </c>
      <c r="J3941" s="505" t="s">
        <v>96</v>
      </c>
      <c r="K3941" s="505" t="s">
        <v>2102</v>
      </c>
      <c r="L3941" s="505" t="s">
        <v>153</v>
      </c>
    </row>
    <row r="3942" spans="1:12" ht="15.6">
      <c r="A3942" s="515">
        <v>45966</v>
      </c>
      <c r="B3942" s="505" t="s">
        <v>4170</v>
      </c>
      <c r="C3942" s="505" t="s">
        <v>170</v>
      </c>
      <c r="D3942" s="519" t="s">
        <v>116</v>
      </c>
      <c r="E3942" s="518">
        <v>5000</v>
      </c>
      <c r="F3942" s="502">
        <f t="shared" si="62"/>
        <v>9.3720185266062224</v>
      </c>
      <c r="G3942" s="503">
        <v>533.50300000000004</v>
      </c>
      <c r="H3942" s="505" t="s">
        <v>581</v>
      </c>
      <c r="I3942" s="505" t="s">
        <v>4216</v>
      </c>
      <c r="J3942" s="505" t="s">
        <v>96</v>
      </c>
      <c r="K3942" s="505" t="s">
        <v>2102</v>
      </c>
      <c r="L3942" s="505" t="s">
        <v>153</v>
      </c>
    </row>
    <row r="3943" spans="1:12" ht="15.6">
      <c r="A3943" s="515">
        <v>45966</v>
      </c>
      <c r="B3943" s="505" t="s">
        <v>4171</v>
      </c>
      <c r="C3943" s="505" t="s">
        <v>170</v>
      </c>
      <c r="D3943" s="519" t="s">
        <v>116</v>
      </c>
      <c r="E3943" s="518">
        <v>5000</v>
      </c>
      <c r="F3943" s="502">
        <f t="shared" si="62"/>
        <v>9.3720185266062224</v>
      </c>
      <c r="G3943" s="503">
        <v>533.50300000000004</v>
      </c>
      <c r="H3943" s="505" t="s">
        <v>581</v>
      </c>
      <c r="I3943" s="505" t="s">
        <v>4216</v>
      </c>
      <c r="J3943" s="505" t="s">
        <v>96</v>
      </c>
      <c r="K3943" s="505" t="s">
        <v>2102</v>
      </c>
      <c r="L3943" s="505" t="s">
        <v>153</v>
      </c>
    </row>
    <row r="3944" spans="1:12" ht="15.6">
      <c r="A3944" s="515">
        <v>45966</v>
      </c>
      <c r="B3944" s="505" t="s">
        <v>4172</v>
      </c>
      <c r="C3944" s="505" t="s">
        <v>170</v>
      </c>
      <c r="D3944" s="519" t="s">
        <v>116</v>
      </c>
      <c r="E3944" s="518">
        <v>1000</v>
      </c>
      <c r="F3944" s="502">
        <f t="shared" si="62"/>
        <v>1.8744037053212446</v>
      </c>
      <c r="G3944" s="503">
        <v>533.50300000000004</v>
      </c>
      <c r="H3944" s="505" t="s">
        <v>581</v>
      </c>
      <c r="I3944" s="505" t="s">
        <v>4216</v>
      </c>
      <c r="J3944" s="505" t="s">
        <v>96</v>
      </c>
      <c r="K3944" s="505" t="s">
        <v>2102</v>
      </c>
      <c r="L3944" s="505" t="s">
        <v>153</v>
      </c>
    </row>
    <row r="3945" spans="1:12" ht="15.6">
      <c r="A3945" s="515">
        <v>45966</v>
      </c>
      <c r="B3945" s="505" t="s">
        <v>4173</v>
      </c>
      <c r="C3945" s="505" t="s">
        <v>170</v>
      </c>
      <c r="D3945" s="519" t="s">
        <v>116</v>
      </c>
      <c r="E3945" s="518">
        <v>3500</v>
      </c>
      <c r="F3945" s="502">
        <f t="shared" si="62"/>
        <v>6.5604129686243562</v>
      </c>
      <c r="G3945" s="503">
        <v>533.50300000000004</v>
      </c>
      <c r="H3945" s="505" t="s">
        <v>581</v>
      </c>
      <c r="I3945" s="505" t="s">
        <v>4216</v>
      </c>
      <c r="J3945" s="505" t="s">
        <v>96</v>
      </c>
      <c r="K3945" s="505" t="s">
        <v>2102</v>
      </c>
      <c r="L3945" s="505" t="s">
        <v>153</v>
      </c>
    </row>
    <row r="3946" spans="1:12" ht="15.6">
      <c r="A3946" s="517">
        <v>45966</v>
      </c>
      <c r="B3946" s="519" t="s">
        <v>4174</v>
      </c>
      <c r="C3946" s="519" t="s">
        <v>172</v>
      </c>
      <c r="D3946" s="519" t="s">
        <v>116</v>
      </c>
      <c r="E3946" s="520">
        <v>1000</v>
      </c>
      <c r="F3946" s="502">
        <f t="shared" si="62"/>
        <v>1.8744037053212446</v>
      </c>
      <c r="G3946" s="503">
        <v>533.50300000000004</v>
      </c>
      <c r="H3946" s="519" t="s">
        <v>581</v>
      </c>
      <c r="I3946" s="519" t="s">
        <v>4213</v>
      </c>
      <c r="J3946" s="505" t="s">
        <v>96</v>
      </c>
      <c r="K3946" s="505" t="s">
        <v>2102</v>
      </c>
      <c r="L3946" s="505" t="s">
        <v>153</v>
      </c>
    </row>
    <row r="3947" spans="1:12" ht="15.6">
      <c r="A3947" s="517">
        <v>45966</v>
      </c>
      <c r="B3947" s="519" t="s">
        <v>3382</v>
      </c>
      <c r="C3947" s="519" t="s">
        <v>172</v>
      </c>
      <c r="D3947" s="519" t="s">
        <v>116</v>
      </c>
      <c r="E3947" s="520">
        <v>1000</v>
      </c>
      <c r="F3947" s="502">
        <f t="shared" si="62"/>
        <v>1.8744037053212446</v>
      </c>
      <c r="G3947" s="503">
        <v>533.50300000000004</v>
      </c>
      <c r="H3947" s="519" t="s">
        <v>581</v>
      </c>
      <c r="I3947" s="519" t="s">
        <v>4213</v>
      </c>
      <c r="J3947" s="505" t="s">
        <v>96</v>
      </c>
      <c r="K3947" s="505" t="s">
        <v>2102</v>
      </c>
      <c r="L3947" s="505" t="s">
        <v>153</v>
      </c>
    </row>
    <row r="3948" spans="1:12" ht="15.6">
      <c r="A3948" s="517">
        <v>45966</v>
      </c>
      <c r="B3948" s="519" t="s">
        <v>4175</v>
      </c>
      <c r="C3948" s="519" t="s">
        <v>172</v>
      </c>
      <c r="D3948" s="519" t="s">
        <v>116</v>
      </c>
      <c r="E3948" s="520">
        <v>1000</v>
      </c>
      <c r="F3948" s="502">
        <f t="shared" si="62"/>
        <v>1.8744037053212446</v>
      </c>
      <c r="G3948" s="503">
        <v>533.50300000000004</v>
      </c>
      <c r="H3948" s="519" t="s">
        <v>581</v>
      </c>
      <c r="I3948" s="519" t="s">
        <v>4213</v>
      </c>
      <c r="J3948" s="505" t="s">
        <v>96</v>
      </c>
      <c r="K3948" s="505" t="s">
        <v>2102</v>
      </c>
      <c r="L3948" s="505" t="s">
        <v>153</v>
      </c>
    </row>
    <row r="3949" spans="1:12" ht="15.6">
      <c r="A3949" s="517">
        <v>45966</v>
      </c>
      <c r="B3949" s="519" t="s">
        <v>4176</v>
      </c>
      <c r="C3949" s="519" t="s">
        <v>172</v>
      </c>
      <c r="D3949" s="519" t="s">
        <v>116</v>
      </c>
      <c r="E3949" s="520">
        <v>1000</v>
      </c>
      <c r="F3949" s="502">
        <f t="shared" si="62"/>
        <v>1.8744037053212446</v>
      </c>
      <c r="G3949" s="503">
        <v>533.50300000000004</v>
      </c>
      <c r="H3949" s="519" t="s">
        <v>581</v>
      </c>
      <c r="I3949" s="519" t="s">
        <v>4213</v>
      </c>
      <c r="J3949" s="505" t="s">
        <v>96</v>
      </c>
      <c r="K3949" s="505" t="s">
        <v>2102</v>
      </c>
      <c r="L3949" s="505" t="s">
        <v>153</v>
      </c>
    </row>
    <row r="3950" spans="1:12" ht="15.6">
      <c r="A3950" s="515">
        <v>45966</v>
      </c>
      <c r="B3950" s="505" t="s">
        <v>4339</v>
      </c>
      <c r="C3950" s="519" t="s">
        <v>263</v>
      </c>
      <c r="D3950" s="519" t="s">
        <v>2417</v>
      </c>
      <c r="E3950" s="518">
        <v>25000</v>
      </c>
      <c r="F3950" s="502">
        <f t="shared" si="62"/>
        <v>46.860092633031115</v>
      </c>
      <c r="G3950" s="503">
        <v>533.50300000000004</v>
      </c>
      <c r="H3950" s="519" t="s">
        <v>188</v>
      </c>
      <c r="I3950" s="505" t="s">
        <v>4365</v>
      </c>
      <c r="J3950" s="505" t="s">
        <v>96</v>
      </c>
      <c r="K3950" s="505" t="s">
        <v>2102</v>
      </c>
      <c r="L3950" s="505" t="s">
        <v>153</v>
      </c>
    </row>
    <row r="3951" spans="1:12" ht="15.6">
      <c r="A3951" s="515">
        <v>45966</v>
      </c>
      <c r="B3951" s="519" t="s">
        <v>3649</v>
      </c>
      <c r="C3951" s="505" t="s">
        <v>172</v>
      </c>
      <c r="D3951" s="505" t="s">
        <v>115</v>
      </c>
      <c r="E3951" s="528">
        <v>500</v>
      </c>
      <c r="F3951" s="502">
        <f t="shared" si="62"/>
        <v>0.93720185266062228</v>
      </c>
      <c r="G3951" s="503">
        <v>533.50300000000004</v>
      </c>
      <c r="H3951" s="505" t="s">
        <v>191</v>
      </c>
      <c r="I3951" s="519" t="s">
        <v>4405</v>
      </c>
      <c r="J3951" s="505" t="s">
        <v>96</v>
      </c>
      <c r="K3951" s="505" t="s">
        <v>2102</v>
      </c>
      <c r="L3951" s="505" t="s">
        <v>153</v>
      </c>
    </row>
    <row r="3952" spans="1:12" ht="15.6">
      <c r="A3952" s="515">
        <v>45966</v>
      </c>
      <c r="B3952" s="519" t="s">
        <v>4391</v>
      </c>
      <c r="C3952" s="505" t="s">
        <v>3317</v>
      </c>
      <c r="D3952" s="505" t="s">
        <v>115</v>
      </c>
      <c r="E3952" s="528">
        <v>1500</v>
      </c>
      <c r="F3952" s="502">
        <f t="shared" si="62"/>
        <v>2.8116055579818666</v>
      </c>
      <c r="G3952" s="503">
        <v>533.50300000000004</v>
      </c>
      <c r="H3952" s="505" t="s">
        <v>191</v>
      </c>
      <c r="I3952" s="519" t="s">
        <v>4409</v>
      </c>
      <c r="J3952" s="505" t="s">
        <v>96</v>
      </c>
      <c r="K3952" s="505" t="s">
        <v>2102</v>
      </c>
      <c r="L3952" s="505" t="s">
        <v>153</v>
      </c>
    </row>
    <row r="3953" spans="1:12" ht="15.6">
      <c r="A3953" s="515">
        <v>45966</v>
      </c>
      <c r="B3953" s="519" t="s">
        <v>4386</v>
      </c>
      <c r="C3953" s="505" t="s">
        <v>172</v>
      </c>
      <c r="D3953" s="505" t="s">
        <v>115</v>
      </c>
      <c r="E3953" s="528">
        <v>500</v>
      </c>
      <c r="F3953" s="502">
        <f t="shared" si="62"/>
        <v>0.93720185266062228</v>
      </c>
      <c r="G3953" s="503">
        <v>533.50300000000004</v>
      </c>
      <c r="H3953" s="505" t="s">
        <v>191</v>
      </c>
      <c r="I3953" s="519" t="s">
        <v>4405</v>
      </c>
      <c r="J3953" s="505" t="s">
        <v>96</v>
      </c>
      <c r="K3953" s="505" t="s">
        <v>2102</v>
      </c>
      <c r="L3953" s="505" t="s">
        <v>153</v>
      </c>
    </row>
    <row r="3954" spans="1:12" ht="15.6">
      <c r="A3954" s="515">
        <v>45966</v>
      </c>
      <c r="B3954" s="519" t="s">
        <v>4390</v>
      </c>
      <c r="C3954" s="505" t="s">
        <v>172</v>
      </c>
      <c r="D3954" s="505" t="s">
        <v>115</v>
      </c>
      <c r="E3954" s="528">
        <v>500</v>
      </c>
      <c r="F3954" s="502">
        <f t="shared" si="62"/>
        <v>0.93720185266062228</v>
      </c>
      <c r="G3954" s="503">
        <v>533.50300000000004</v>
      </c>
      <c r="H3954" s="505" t="s">
        <v>191</v>
      </c>
      <c r="I3954" s="519" t="s">
        <v>4405</v>
      </c>
      <c r="J3954" s="505" t="s">
        <v>96</v>
      </c>
      <c r="K3954" s="505" t="s">
        <v>2102</v>
      </c>
      <c r="L3954" s="505" t="s">
        <v>153</v>
      </c>
    </row>
    <row r="3955" spans="1:12" ht="15.6">
      <c r="A3955" s="515">
        <v>45966</v>
      </c>
      <c r="B3955" s="519" t="s">
        <v>3649</v>
      </c>
      <c r="C3955" s="505" t="s">
        <v>172</v>
      </c>
      <c r="D3955" s="505" t="s">
        <v>115</v>
      </c>
      <c r="E3955" s="528">
        <v>500</v>
      </c>
      <c r="F3955" s="502">
        <f t="shared" si="62"/>
        <v>0.93720185266062228</v>
      </c>
      <c r="G3955" s="503">
        <v>533.50300000000004</v>
      </c>
      <c r="H3955" s="505" t="s">
        <v>191</v>
      </c>
      <c r="I3955" s="519" t="s">
        <v>4405</v>
      </c>
      <c r="J3955" s="505" t="s">
        <v>96</v>
      </c>
      <c r="K3955" s="505" t="s">
        <v>2102</v>
      </c>
      <c r="L3955" s="505" t="s">
        <v>153</v>
      </c>
    </row>
    <row r="3956" spans="1:12" ht="15.6">
      <c r="A3956" s="515">
        <v>45966</v>
      </c>
      <c r="B3956" s="519" t="s">
        <v>4392</v>
      </c>
      <c r="C3956" s="505" t="s">
        <v>3317</v>
      </c>
      <c r="D3956" s="505" t="s">
        <v>115</v>
      </c>
      <c r="E3956" s="528">
        <v>1500</v>
      </c>
      <c r="F3956" s="502">
        <f t="shared" si="62"/>
        <v>2.8116055579818666</v>
      </c>
      <c r="G3956" s="503">
        <v>533.50300000000004</v>
      </c>
      <c r="H3956" s="505" t="s">
        <v>191</v>
      </c>
      <c r="I3956" s="519" t="s">
        <v>4409</v>
      </c>
      <c r="J3956" s="505" t="s">
        <v>96</v>
      </c>
      <c r="K3956" s="505" t="s">
        <v>2102</v>
      </c>
      <c r="L3956" s="505" t="s">
        <v>153</v>
      </c>
    </row>
    <row r="3957" spans="1:12" ht="15.6">
      <c r="A3957" s="515">
        <v>45966</v>
      </c>
      <c r="B3957" s="519" t="s">
        <v>4386</v>
      </c>
      <c r="C3957" s="505" t="s">
        <v>172</v>
      </c>
      <c r="D3957" s="505" t="s">
        <v>115</v>
      </c>
      <c r="E3957" s="528">
        <v>500</v>
      </c>
      <c r="F3957" s="502">
        <f t="shared" si="62"/>
        <v>0.93720185266062228</v>
      </c>
      <c r="G3957" s="503">
        <v>533.50300000000004</v>
      </c>
      <c r="H3957" s="505" t="s">
        <v>191</v>
      </c>
      <c r="I3957" s="519" t="s">
        <v>4405</v>
      </c>
      <c r="J3957" s="505" t="s">
        <v>96</v>
      </c>
      <c r="K3957" s="505" t="s">
        <v>2102</v>
      </c>
      <c r="L3957" s="505" t="s">
        <v>153</v>
      </c>
    </row>
    <row r="3958" spans="1:12" ht="15.6">
      <c r="A3958" s="515">
        <v>45966</v>
      </c>
      <c r="B3958" s="519" t="s">
        <v>4390</v>
      </c>
      <c r="C3958" s="505" t="s">
        <v>172</v>
      </c>
      <c r="D3958" s="505" t="s">
        <v>115</v>
      </c>
      <c r="E3958" s="528">
        <v>500</v>
      </c>
      <c r="F3958" s="502">
        <f t="shared" si="62"/>
        <v>0.93720185266062228</v>
      </c>
      <c r="G3958" s="503">
        <v>533.50300000000004</v>
      </c>
      <c r="H3958" s="505" t="s">
        <v>191</v>
      </c>
      <c r="I3958" s="519" t="s">
        <v>4405</v>
      </c>
      <c r="J3958" s="505" t="s">
        <v>96</v>
      </c>
      <c r="K3958" s="505" t="s">
        <v>2102</v>
      </c>
      <c r="L3958" s="505" t="s">
        <v>153</v>
      </c>
    </row>
    <row r="3959" spans="1:12" ht="15.6">
      <c r="A3959" s="515">
        <v>45966</v>
      </c>
      <c r="B3959" s="505" t="s">
        <v>4339</v>
      </c>
      <c r="C3959" s="519" t="s">
        <v>263</v>
      </c>
      <c r="D3959" s="519" t="s">
        <v>2417</v>
      </c>
      <c r="E3959" s="518">
        <v>25000</v>
      </c>
      <c r="F3959" s="502">
        <f t="shared" si="62"/>
        <v>46.860092633031115</v>
      </c>
      <c r="G3959" s="503">
        <v>533.50300000000004</v>
      </c>
      <c r="H3959" s="519" t="s">
        <v>211</v>
      </c>
      <c r="I3959" s="505" t="s">
        <v>4565</v>
      </c>
      <c r="J3959" s="505" t="s">
        <v>96</v>
      </c>
      <c r="K3959" s="505" t="s">
        <v>2102</v>
      </c>
      <c r="L3959" s="505" t="s">
        <v>153</v>
      </c>
    </row>
    <row r="3960" spans="1:12" ht="15.6">
      <c r="A3960" s="532">
        <v>45966</v>
      </c>
      <c r="B3960" s="516" t="s">
        <v>4487</v>
      </c>
      <c r="C3960" s="516" t="s">
        <v>172</v>
      </c>
      <c r="D3960" s="516" t="s">
        <v>118</v>
      </c>
      <c r="E3960" s="533">
        <v>1000</v>
      </c>
      <c r="F3960" s="502">
        <f t="shared" si="62"/>
        <v>1.8744037053212446</v>
      </c>
      <c r="G3960" s="503">
        <v>533.50300000000004</v>
      </c>
      <c r="H3960" s="516" t="s">
        <v>211</v>
      </c>
      <c r="I3960" s="516" t="s">
        <v>4559</v>
      </c>
      <c r="J3960" s="505" t="s">
        <v>96</v>
      </c>
      <c r="K3960" s="505" t="s">
        <v>2102</v>
      </c>
      <c r="L3960" s="505" t="s">
        <v>153</v>
      </c>
    </row>
    <row r="3961" spans="1:12" ht="15.6">
      <c r="A3961" s="532">
        <v>45966</v>
      </c>
      <c r="B3961" s="516" t="s">
        <v>4488</v>
      </c>
      <c r="C3961" s="516" t="s">
        <v>172</v>
      </c>
      <c r="D3961" s="516" t="s">
        <v>118</v>
      </c>
      <c r="E3961" s="533">
        <v>1000</v>
      </c>
      <c r="F3961" s="502">
        <f t="shared" si="62"/>
        <v>1.8744037053212446</v>
      </c>
      <c r="G3961" s="503">
        <v>533.50300000000004</v>
      </c>
      <c r="H3961" s="516" t="s">
        <v>211</v>
      </c>
      <c r="I3961" s="516" t="s">
        <v>4559</v>
      </c>
      <c r="J3961" s="505" t="s">
        <v>96</v>
      </c>
      <c r="K3961" s="505" t="s">
        <v>2102</v>
      </c>
      <c r="L3961" s="505" t="s">
        <v>153</v>
      </c>
    </row>
    <row r="3962" spans="1:12" ht="15.6">
      <c r="A3962" s="532">
        <v>45966</v>
      </c>
      <c r="B3962" s="516" t="s">
        <v>4489</v>
      </c>
      <c r="C3962" s="516" t="s">
        <v>172</v>
      </c>
      <c r="D3962" s="516" t="s">
        <v>118</v>
      </c>
      <c r="E3962" s="533">
        <v>1000</v>
      </c>
      <c r="F3962" s="502">
        <f t="shared" si="62"/>
        <v>1.8744037053212446</v>
      </c>
      <c r="G3962" s="503">
        <v>533.50300000000004</v>
      </c>
      <c r="H3962" s="516" t="s">
        <v>211</v>
      </c>
      <c r="I3962" s="516" t="s">
        <v>4559</v>
      </c>
      <c r="J3962" s="505" t="s">
        <v>96</v>
      </c>
      <c r="K3962" s="505" t="s">
        <v>2102</v>
      </c>
      <c r="L3962" s="505" t="s">
        <v>153</v>
      </c>
    </row>
    <row r="3963" spans="1:12" ht="15.6">
      <c r="A3963" s="532">
        <v>45966</v>
      </c>
      <c r="B3963" s="516" t="s">
        <v>4490</v>
      </c>
      <c r="C3963" s="516" t="s">
        <v>172</v>
      </c>
      <c r="D3963" s="516" t="s">
        <v>118</v>
      </c>
      <c r="E3963" s="533">
        <v>1000</v>
      </c>
      <c r="F3963" s="502">
        <f t="shared" si="62"/>
        <v>1.8744037053212446</v>
      </c>
      <c r="G3963" s="503">
        <v>533.50300000000004</v>
      </c>
      <c r="H3963" s="516" t="s">
        <v>211</v>
      </c>
      <c r="I3963" s="516" t="s">
        <v>4559</v>
      </c>
      <c r="J3963" s="505" t="s">
        <v>96</v>
      </c>
      <c r="K3963" s="505" t="s">
        <v>2102</v>
      </c>
      <c r="L3963" s="505" t="s">
        <v>153</v>
      </c>
    </row>
    <row r="3964" spans="1:12" ht="15.6">
      <c r="A3964" s="532">
        <v>45966</v>
      </c>
      <c r="B3964" s="516" t="s">
        <v>4491</v>
      </c>
      <c r="C3964" s="516" t="s">
        <v>172</v>
      </c>
      <c r="D3964" s="516" t="s">
        <v>118</v>
      </c>
      <c r="E3964" s="533">
        <v>1000</v>
      </c>
      <c r="F3964" s="502">
        <f t="shared" si="62"/>
        <v>1.8744037053212446</v>
      </c>
      <c r="G3964" s="503">
        <v>533.50300000000004</v>
      </c>
      <c r="H3964" s="516" t="s">
        <v>211</v>
      </c>
      <c r="I3964" s="516" t="s">
        <v>4559</v>
      </c>
      <c r="J3964" s="505" t="s">
        <v>96</v>
      </c>
      <c r="K3964" s="505" t="s">
        <v>2102</v>
      </c>
      <c r="L3964" s="505" t="s">
        <v>153</v>
      </c>
    </row>
    <row r="3965" spans="1:12" ht="15.6">
      <c r="A3965" s="532">
        <v>45966</v>
      </c>
      <c r="B3965" s="516" t="s">
        <v>4492</v>
      </c>
      <c r="C3965" s="516" t="s">
        <v>172</v>
      </c>
      <c r="D3965" s="516" t="s">
        <v>118</v>
      </c>
      <c r="E3965" s="533">
        <v>1000</v>
      </c>
      <c r="F3965" s="502">
        <f t="shared" si="62"/>
        <v>1.8744037053212446</v>
      </c>
      <c r="G3965" s="503">
        <v>533.50300000000004</v>
      </c>
      <c r="H3965" s="516" t="s">
        <v>211</v>
      </c>
      <c r="I3965" s="516" t="s">
        <v>4559</v>
      </c>
      <c r="J3965" s="505" t="s">
        <v>96</v>
      </c>
      <c r="K3965" s="505" t="s">
        <v>2102</v>
      </c>
      <c r="L3965" s="505" t="s">
        <v>153</v>
      </c>
    </row>
    <row r="3966" spans="1:12" ht="15.6">
      <c r="A3966" s="532">
        <v>45966</v>
      </c>
      <c r="B3966" s="516" t="s">
        <v>4493</v>
      </c>
      <c r="C3966" s="516" t="s">
        <v>172</v>
      </c>
      <c r="D3966" s="516" t="s">
        <v>118</v>
      </c>
      <c r="E3966" s="533">
        <v>1000</v>
      </c>
      <c r="F3966" s="502">
        <f t="shared" si="62"/>
        <v>1.8744037053212446</v>
      </c>
      <c r="G3966" s="503">
        <v>533.50300000000004</v>
      </c>
      <c r="H3966" s="516" t="s">
        <v>211</v>
      </c>
      <c r="I3966" s="516" t="s">
        <v>4559</v>
      </c>
      <c r="J3966" s="505" t="s">
        <v>96</v>
      </c>
      <c r="K3966" s="505" t="s">
        <v>2102</v>
      </c>
      <c r="L3966" s="505" t="s">
        <v>153</v>
      </c>
    </row>
    <row r="3967" spans="1:12" ht="15.6">
      <c r="A3967" s="532">
        <v>45966</v>
      </c>
      <c r="B3967" s="516" t="s">
        <v>3118</v>
      </c>
      <c r="C3967" s="516" t="s">
        <v>172</v>
      </c>
      <c r="D3967" s="516" t="s">
        <v>118</v>
      </c>
      <c r="E3967" s="533">
        <v>1000</v>
      </c>
      <c r="F3967" s="502">
        <f t="shared" si="62"/>
        <v>1.8744037053212446</v>
      </c>
      <c r="G3967" s="503">
        <v>533.50300000000004</v>
      </c>
      <c r="H3967" s="516" t="s">
        <v>211</v>
      </c>
      <c r="I3967" s="516" t="s">
        <v>4559</v>
      </c>
      <c r="J3967" s="505" t="s">
        <v>96</v>
      </c>
      <c r="K3967" s="505" t="s">
        <v>2102</v>
      </c>
      <c r="L3967" s="505" t="s">
        <v>153</v>
      </c>
    </row>
    <row r="3968" spans="1:12" ht="15.6">
      <c r="A3968" s="532">
        <v>45966</v>
      </c>
      <c r="B3968" s="516" t="s">
        <v>4494</v>
      </c>
      <c r="C3968" s="516" t="s">
        <v>172</v>
      </c>
      <c r="D3968" s="516" t="s">
        <v>118</v>
      </c>
      <c r="E3968" s="533">
        <v>1000</v>
      </c>
      <c r="F3968" s="502">
        <f t="shared" si="62"/>
        <v>1.8744037053212446</v>
      </c>
      <c r="G3968" s="503">
        <v>533.50300000000004</v>
      </c>
      <c r="H3968" s="516" t="s">
        <v>211</v>
      </c>
      <c r="I3968" s="516" t="s">
        <v>4559</v>
      </c>
      <c r="J3968" s="505" t="s">
        <v>96</v>
      </c>
      <c r="K3968" s="505" t="s">
        <v>2102</v>
      </c>
      <c r="L3968" s="505" t="s">
        <v>153</v>
      </c>
    </row>
    <row r="3969" spans="1:12" ht="15.6">
      <c r="A3969" s="532">
        <v>45966</v>
      </c>
      <c r="B3969" s="516" t="s">
        <v>3859</v>
      </c>
      <c r="C3969" s="516" t="s">
        <v>172</v>
      </c>
      <c r="D3969" s="516" t="s">
        <v>118</v>
      </c>
      <c r="E3969" s="533">
        <v>1000</v>
      </c>
      <c r="F3969" s="502">
        <f t="shared" si="62"/>
        <v>1.8744037053212446</v>
      </c>
      <c r="G3969" s="503">
        <v>533.50300000000004</v>
      </c>
      <c r="H3969" s="516" t="s">
        <v>211</v>
      </c>
      <c r="I3969" s="516" t="s">
        <v>4559</v>
      </c>
      <c r="J3969" s="505" t="s">
        <v>96</v>
      </c>
      <c r="K3969" s="505" t="s">
        <v>2102</v>
      </c>
      <c r="L3969" s="505" t="s">
        <v>153</v>
      </c>
    </row>
    <row r="3970" spans="1:12" ht="15.6">
      <c r="A3970" s="532">
        <v>45966</v>
      </c>
      <c r="B3970" s="516" t="s">
        <v>3145</v>
      </c>
      <c r="C3970" s="516" t="s">
        <v>172</v>
      </c>
      <c r="D3970" s="516" t="s">
        <v>118</v>
      </c>
      <c r="E3970" s="533">
        <v>1000</v>
      </c>
      <c r="F3970" s="502">
        <f t="shared" ref="F3970:F4033" si="63">E3970/G3970</f>
        <v>1.8744037053212446</v>
      </c>
      <c r="G3970" s="503">
        <v>533.50300000000004</v>
      </c>
      <c r="H3970" s="516" t="s">
        <v>211</v>
      </c>
      <c r="I3970" s="516" t="s">
        <v>4559</v>
      </c>
      <c r="J3970" s="505" t="s">
        <v>96</v>
      </c>
      <c r="K3970" s="505" t="s">
        <v>2102</v>
      </c>
      <c r="L3970" s="505" t="s">
        <v>153</v>
      </c>
    </row>
    <row r="3971" spans="1:12" ht="15.6">
      <c r="A3971" s="526">
        <v>45966</v>
      </c>
      <c r="B3971" s="519" t="s">
        <v>4582</v>
      </c>
      <c r="C3971" s="519" t="s">
        <v>175</v>
      </c>
      <c r="D3971" s="519" t="s">
        <v>115</v>
      </c>
      <c r="E3971" s="519">
        <v>15000</v>
      </c>
      <c r="F3971" s="502">
        <f t="shared" si="63"/>
        <v>28.116055579818667</v>
      </c>
      <c r="G3971" s="503">
        <v>533.50300000000004</v>
      </c>
      <c r="H3971" s="519" t="s">
        <v>185</v>
      </c>
      <c r="I3971" s="519" t="s">
        <v>4634</v>
      </c>
      <c r="J3971" s="505" t="s">
        <v>96</v>
      </c>
      <c r="K3971" s="505" t="s">
        <v>2102</v>
      </c>
      <c r="L3971" s="505" t="s">
        <v>153</v>
      </c>
    </row>
    <row r="3972" spans="1:12" ht="15.6">
      <c r="A3972" s="526">
        <v>45966</v>
      </c>
      <c r="B3972" s="519" t="s">
        <v>4583</v>
      </c>
      <c r="C3972" s="519" t="s">
        <v>172</v>
      </c>
      <c r="D3972" s="519" t="s">
        <v>115</v>
      </c>
      <c r="E3972" s="519">
        <v>500</v>
      </c>
      <c r="F3972" s="502">
        <f t="shared" si="63"/>
        <v>0.93720185266062228</v>
      </c>
      <c r="G3972" s="503">
        <v>533.50300000000004</v>
      </c>
      <c r="H3972" s="519" t="s">
        <v>185</v>
      </c>
      <c r="I3972" s="519" t="s">
        <v>4631</v>
      </c>
      <c r="J3972" s="505" t="s">
        <v>96</v>
      </c>
      <c r="K3972" s="505" t="s">
        <v>2102</v>
      </c>
      <c r="L3972" s="505" t="s">
        <v>153</v>
      </c>
    </row>
    <row r="3973" spans="1:12" ht="15.6">
      <c r="A3973" s="526">
        <v>45966</v>
      </c>
      <c r="B3973" s="519" t="s">
        <v>4584</v>
      </c>
      <c r="C3973" s="519" t="s">
        <v>172</v>
      </c>
      <c r="D3973" s="519" t="s">
        <v>115</v>
      </c>
      <c r="E3973" s="519">
        <v>3000</v>
      </c>
      <c r="F3973" s="502">
        <f t="shared" si="63"/>
        <v>5.6232111159637332</v>
      </c>
      <c r="G3973" s="503">
        <v>533.50300000000004</v>
      </c>
      <c r="H3973" s="519" t="s">
        <v>185</v>
      </c>
      <c r="I3973" s="519" t="s">
        <v>4631</v>
      </c>
      <c r="J3973" s="505" t="s">
        <v>96</v>
      </c>
      <c r="K3973" s="505" t="s">
        <v>2102</v>
      </c>
      <c r="L3973" s="505" t="s">
        <v>153</v>
      </c>
    </row>
    <row r="3974" spans="1:12" ht="15.6">
      <c r="A3974" s="541">
        <v>45966</v>
      </c>
      <c r="B3974" s="505" t="s">
        <v>4702</v>
      </c>
      <c r="C3974" s="505" t="s">
        <v>302</v>
      </c>
      <c r="D3974" s="546" t="s">
        <v>116</v>
      </c>
      <c r="E3974" s="518">
        <v>260000</v>
      </c>
      <c r="F3974" s="502">
        <f t="shared" si="63"/>
        <v>487.34496338352358</v>
      </c>
      <c r="G3974" s="503">
        <v>533.50300000000004</v>
      </c>
      <c r="H3974" s="76" t="s">
        <v>146</v>
      </c>
      <c r="I3974" s="125" t="s">
        <v>4710</v>
      </c>
      <c r="J3974" s="505" t="s">
        <v>96</v>
      </c>
      <c r="K3974" s="505" t="s">
        <v>2102</v>
      </c>
      <c r="L3974" s="505" t="s">
        <v>153</v>
      </c>
    </row>
    <row r="3975" spans="1:12" ht="15.6">
      <c r="A3975" s="486">
        <v>45967</v>
      </c>
      <c r="B3975" s="478" t="s">
        <v>2103</v>
      </c>
      <c r="C3975" s="478" t="s">
        <v>172</v>
      </c>
      <c r="D3975" s="501" t="s">
        <v>117</v>
      </c>
      <c r="E3975" s="481">
        <v>1000</v>
      </c>
      <c r="F3975" s="502">
        <f t="shared" si="63"/>
        <v>1.8744037053212446</v>
      </c>
      <c r="G3975" s="503">
        <v>533.50300000000004</v>
      </c>
      <c r="H3975" s="504" t="s">
        <v>151</v>
      </c>
      <c r="I3975" s="478" t="s">
        <v>4133</v>
      </c>
      <c r="J3975" s="505" t="s">
        <v>96</v>
      </c>
      <c r="K3975" s="505" t="s">
        <v>2102</v>
      </c>
      <c r="L3975" s="505" t="s">
        <v>153</v>
      </c>
    </row>
    <row r="3976" spans="1:12" ht="15.6">
      <c r="A3976" s="486">
        <v>45967</v>
      </c>
      <c r="B3976" s="478" t="s">
        <v>2387</v>
      </c>
      <c r="C3976" s="478" t="s">
        <v>172</v>
      </c>
      <c r="D3976" s="501" t="s">
        <v>117</v>
      </c>
      <c r="E3976" s="481">
        <v>1000</v>
      </c>
      <c r="F3976" s="502">
        <f t="shared" si="63"/>
        <v>1.8744037053212446</v>
      </c>
      <c r="G3976" s="503">
        <v>533.50300000000004</v>
      </c>
      <c r="H3976" s="504" t="s">
        <v>151</v>
      </c>
      <c r="I3976" s="478" t="s">
        <v>4133</v>
      </c>
      <c r="J3976" s="505" t="s">
        <v>96</v>
      </c>
      <c r="K3976" s="505" t="s">
        <v>2102</v>
      </c>
      <c r="L3976" s="505" t="s">
        <v>153</v>
      </c>
    </row>
    <row r="3977" spans="1:12" ht="15.6">
      <c r="A3977" s="515">
        <v>45967</v>
      </c>
      <c r="B3977" s="505" t="s">
        <v>4177</v>
      </c>
      <c r="C3977" s="505" t="s">
        <v>170</v>
      </c>
      <c r="D3977" s="519" t="s">
        <v>116</v>
      </c>
      <c r="E3977" s="518">
        <v>11000</v>
      </c>
      <c r="F3977" s="502">
        <f t="shared" si="63"/>
        <v>20.618440758533691</v>
      </c>
      <c r="G3977" s="503">
        <v>533.50300000000004</v>
      </c>
      <c r="H3977" s="505" t="s">
        <v>581</v>
      </c>
      <c r="I3977" s="505" t="s">
        <v>4217</v>
      </c>
      <c r="J3977" s="505" t="s">
        <v>96</v>
      </c>
      <c r="K3977" s="505" t="s">
        <v>2102</v>
      </c>
      <c r="L3977" s="505" t="s">
        <v>153</v>
      </c>
    </row>
    <row r="3978" spans="1:12" ht="15.6">
      <c r="A3978" s="515">
        <v>45967</v>
      </c>
      <c r="B3978" s="505" t="s">
        <v>4178</v>
      </c>
      <c r="C3978" s="505" t="s">
        <v>170</v>
      </c>
      <c r="D3978" s="519" t="s">
        <v>116</v>
      </c>
      <c r="E3978" s="518">
        <v>5000</v>
      </c>
      <c r="F3978" s="502">
        <f t="shared" si="63"/>
        <v>9.3720185266062224</v>
      </c>
      <c r="G3978" s="503">
        <v>533.50300000000004</v>
      </c>
      <c r="H3978" s="505" t="s">
        <v>581</v>
      </c>
      <c r="I3978" s="505" t="s">
        <v>4217</v>
      </c>
      <c r="J3978" s="505" t="s">
        <v>96</v>
      </c>
      <c r="K3978" s="505" t="s">
        <v>2102</v>
      </c>
      <c r="L3978" s="505" t="s">
        <v>153</v>
      </c>
    </row>
    <row r="3979" spans="1:12" ht="15.6">
      <c r="A3979" s="515">
        <v>45967</v>
      </c>
      <c r="B3979" s="505" t="s">
        <v>4179</v>
      </c>
      <c r="C3979" s="505" t="s">
        <v>170</v>
      </c>
      <c r="D3979" s="519" t="s">
        <v>116</v>
      </c>
      <c r="E3979" s="518">
        <v>2750</v>
      </c>
      <c r="F3979" s="502">
        <f t="shared" si="63"/>
        <v>5.1546101896334227</v>
      </c>
      <c r="G3979" s="503">
        <v>533.50300000000004</v>
      </c>
      <c r="H3979" s="505" t="s">
        <v>581</v>
      </c>
      <c r="I3979" s="505" t="s">
        <v>4217</v>
      </c>
      <c r="J3979" s="505" t="s">
        <v>96</v>
      </c>
      <c r="K3979" s="505" t="s">
        <v>2102</v>
      </c>
      <c r="L3979" s="505" t="s">
        <v>153</v>
      </c>
    </row>
    <row r="3980" spans="1:12" ht="15.6">
      <c r="A3980" s="515">
        <v>45967</v>
      </c>
      <c r="B3980" s="505" t="s">
        <v>4180</v>
      </c>
      <c r="C3980" s="505" t="s">
        <v>170</v>
      </c>
      <c r="D3980" s="519" t="s">
        <v>116</v>
      </c>
      <c r="E3980" s="518">
        <v>11700</v>
      </c>
      <c r="F3980" s="502">
        <f t="shared" si="63"/>
        <v>21.930523352258561</v>
      </c>
      <c r="G3980" s="503">
        <v>533.50300000000004</v>
      </c>
      <c r="H3980" s="505" t="s">
        <v>581</v>
      </c>
      <c r="I3980" s="505" t="s">
        <v>4217</v>
      </c>
      <c r="J3980" s="505" t="s">
        <v>96</v>
      </c>
      <c r="K3980" s="505" t="s">
        <v>2102</v>
      </c>
      <c r="L3980" s="505" t="s">
        <v>153</v>
      </c>
    </row>
    <row r="3981" spans="1:12" ht="15.6">
      <c r="A3981" s="515">
        <v>45967</v>
      </c>
      <c r="B3981" s="550" t="s">
        <v>4181</v>
      </c>
      <c r="C3981" s="505" t="s">
        <v>170</v>
      </c>
      <c r="D3981" s="519" t="s">
        <v>116</v>
      </c>
      <c r="E3981" s="518">
        <v>4000</v>
      </c>
      <c r="F3981" s="502">
        <f t="shared" si="63"/>
        <v>7.4976148212849782</v>
      </c>
      <c r="G3981" s="503">
        <v>533.50300000000004</v>
      </c>
      <c r="H3981" s="505" t="s">
        <v>581</v>
      </c>
      <c r="I3981" s="505" t="s">
        <v>4217</v>
      </c>
      <c r="J3981" s="505" t="s">
        <v>96</v>
      </c>
      <c r="K3981" s="505" t="s">
        <v>2102</v>
      </c>
      <c r="L3981" s="505" t="s">
        <v>153</v>
      </c>
    </row>
    <row r="3982" spans="1:12" ht="15.6">
      <c r="A3982" s="515">
        <v>45967</v>
      </c>
      <c r="B3982" s="505" t="s">
        <v>4182</v>
      </c>
      <c r="C3982" s="505" t="s">
        <v>170</v>
      </c>
      <c r="D3982" s="519" t="s">
        <v>116</v>
      </c>
      <c r="E3982" s="518">
        <v>3000</v>
      </c>
      <c r="F3982" s="502">
        <f t="shared" si="63"/>
        <v>5.6232111159637332</v>
      </c>
      <c r="G3982" s="503">
        <v>533.50300000000004</v>
      </c>
      <c r="H3982" s="505" t="s">
        <v>581</v>
      </c>
      <c r="I3982" s="505" t="s">
        <v>4217</v>
      </c>
      <c r="J3982" s="505" t="s">
        <v>96</v>
      </c>
      <c r="K3982" s="505" t="s">
        <v>2102</v>
      </c>
      <c r="L3982" s="505" t="s">
        <v>153</v>
      </c>
    </row>
    <row r="3983" spans="1:12" ht="15.6">
      <c r="A3983" s="515">
        <v>45967</v>
      </c>
      <c r="B3983" s="505" t="s">
        <v>4183</v>
      </c>
      <c r="C3983" s="505" t="s">
        <v>170</v>
      </c>
      <c r="D3983" s="519" t="s">
        <v>116</v>
      </c>
      <c r="E3983" s="518">
        <v>2750</v>
      </c>
      <c r="F3983" s="502">
        <f t="shared" si="63"/>
        <v>5.1546101896334227</v>
      </c>
      <c r="G3983" s="503">
        <v>533.50300000000004</v>
      </c>
      <c r="H3983" s="505" t="s">
        <v>581</v>
      </c>
      <c r="I3983" s="505" t="s">
        <v>4217</v>
      </c>
      <c r="J3983" s="505" t="s">
        <v>96</v>
      </c>
      <c r="K3983" s="505" t="s">
        <v>2102</v>
      </c>
      <c r="L3983" s="505" t="s">
        <v>153</v>
      </c>
    </row>
    <row r="3984" spans="1:12" ht="15.6">
      <c r="A3984" s="515">
        <v>45967</v>
      </c>
      <c r="B3984" s="505" t="s">
        <v>4184</v>
      </c>
      <c r="C3984" s="505" t="s">
        <v>170</v>
      </c>
      <c r="D3984" s="519" t="s">
        <v>116</v>
      </c>
      <c r="E3984" s="518">
        <v>1500</v>
      </c>
      <c r="F3984" s="502">
        <f t="shared" si="63"/>
        <v>2.8116055579818666</v>
      </c>
      <c r="G3984" s="503">
        <v>533.50300000000004</v>
      </c>
      <c r="H3984" s="505" t="s">
        <v>581</v>
      </c>
      <c r="I3984" s="505" t="s">
        <v>4217</v>
      </c>
      <c r="J3984" s="505" t="s">
        <v>96</v>
      </c>
      <c r="K3984" s="505" t="s">
        <v>2102</v>
      </c>
      <c r="L3984" s="505" t="s">
        <v>153</v>
      </c>
    </row>
    <row r="3985" spans="1:12" ht="15.6">
      <c r="A3985" s="515">
        <v>45967</v>
      </c>
      <c r="B3985" s="505" t="s">
        <v>4185</v>
      </c>
      <c r="C3985" s="505" t="s">
        <v>170</v>
      </c>
      <c r="D3985" s="519" t="s">
        <v>116</v>
      </c>
      <c r="E3985" s="518">
        <v>2000</v>
      </c>
      <c r="F3985" s="502">
        <f t="shared" si="63"/>
        <v>3.7488074106424891</v>
      </c>
      <c r="G3985" s="503">
        <v>533.50300000000004</v>
      </c>
      <c r="H3985" s="505" t="s">
        <v>581</v>
      </c>
      <c r="I3985" s="505" t="s">
        <v>4217</v>
      </c>
      <c r="J3985" s="505" t="s">
        <v>96</v>
      </c>
      <c r="K3985" s="505" t="s">
        <v>2102</v>
      </c>
      <c r="L3985" s="505" t="s">
        <v>153</v>
      </c>
    </row>
    <row r="3986" spans="1:12" ht="15.6">
      <c r="A3986" s="515">
        <v>45967</v>
      </c>
      <c r="B3986" s="505" t="s">
        <v>4186</v>
      </c>
      <c r="C3986" s="505" t="s">
        <v>170</v>
      </c>
      <c r="D3986" s="519" t="s">
        <v>116</v>
      </c>
      <c r="E3986" s="518">
        <v>3700</v>
      </c>
      <c r="F3986" s="502">
        <f t="shared" si="63"/>
        <v>6.9352937096886045</v>
      </c>
      <c r="G3986" s="503">
        <v>533.50300000000004</v>
      </c>
      <c r="H3986" s="505" t="s">
        <v>581</v>
      </c>
      <c r="I3986" s="505" t="s">
        <v>4217</v>
      </c>
      <c r="J3986" s="505" t="s">
        <v>96</v>
      </c>
      <c r="K3986" s="505" t="s">
        <v>2102</v>
      </c>
      <c r="L3986" s="505" t="s">
        <v>153</v>
      </c>
    </row>
    <row r="3987" spans="1:12" ht="15.6">
      <c r="A3987" s="515">
        <v>45967</v>
      </c>
      <c r="B3987" s="505" t="s">
        <v>4187</v>
      </c>
      <c r="C3987" s="505" t="s">
        <v>170</v>
      </c>
      <c r="D3987" s="519" t="s">
        <v>116</v>
      </c>
      <c r="E3987" s="518">
        <v>3750</v>
      </c>
      <c r="F3987" s="502">
        <f t="shared" si="63"/>
        <v>7.0290138949546668</v>
      </c>
      <c r="G3987" s="503">
        <v>533.50300000000004</v>
      </c>
      <c r="H3987" s="505" t="s">
        <v>581</v>
      </c>
      <c r="I3987" s="505" t="s">
        <v>4217</v>
      </c>
      <c r="J3987" s="505" t="s">
        <v>96</v>
      </c>
      <c r="K3987" s="505" t="s">
        <v>2102</v>
      </c>
      <c r="L3987" s="505" t="s">
        <v>153</v>
      </c>
    </row>
    <row r="3988" spans="1:12" ht="15.6">
      <c r="A3988" s="515">
        <v>45967</v>
      </c>
      <c r="B3988" s="505" t="s">
        <v>4188</v>
      </c>
      <c r="C3988" s="505" t="s">
        <v>170</v>
      </c>
      <c r="D3988" s="519" t="s">
        <v>116</v>
      </c>
      <c r="E3988" s="518">
        <v>8750</v>
      </c>
      <c r="F3988" s="502">
        <f t="shared" si="63"/>
        <v>16.401032421560888</v>
      </c>
      <c r="G3988" s="503">
        <v>533.50300000000004</v>
      </c>
      <c r="H3988" s="505" t="s">
        <v>581</v>
      </c>
      <c r="I3988" s="505" t="s">
        <v>4217</v>
      </c>
      <c r="J3988" s="505" t="s">
        <v>96</v>
      </c>
      <c r="K3988" s="505" t="s">
        <v>2102</v>
      </c>
      <c r="L3988" s="505" t="s">
        <v>153</v>
      </c>
    </row>
    <row r="3989" spans="1:12" ht="15.6">
      <c r="A3989" s="515">
        <v>45967</v>
      </c>
      <c r="B3989" s="505" t="s">
        <v>4189</v>
      </c>
      <c r="C3989" s="505" t="s">
        <v>170</v>
      </c>
      <c r="D3989" s="519" t="s">
        <v>116</v>
      </c>
      <c r="E3989" s="518">
        <v>1750</v>
      </c>
      <c r="F3989" s="502">
        <f t="shared" si="63"/>
        <v>3.2802064843121781</v>
      </c>
      <c r="G3989" s="503">
        <v>533.50300000000004</v>
      </c>
      <c r="H3989" s="505" t="s">
        <v>581</v>
      </c>
      <c r="I3989" s="505" t="s">
        <v>4217</v>
      </c>
      <c r="J3989" s="505" t="s">
        <v>96</v>
      </c>
      <c r="K3989" s="505" t="s">
        <v>2102</v>
      </c>
      <c r="L3989" s="505" t="s">
        <v>153</v>
      </c>
    </row>
    <row r="3990" spans="1:12" ht="15.6">
      <c r="A3990" s="517">
        <v>45967</v>
      </c>
      <c r="B3990" s="519" t="s">
        <v>4190</v>
      </c>
      <c r="C3990" s="519" t="s">
        <v>172</v>
      </c>
      <c r="D3990" s="519" t="s">
        <v>116</v>
      </c>
      <c r="E3990" s="520">
        <v>1000</v>
      </c>
      <c r="F3990" s="502">
        <f t="shared" si="63"/>
        <v>1.8744037053212446</v>
      </c>
      <c r="G3990" s="503">
        <v>533.50300000000004</v>
      </c>
      <c r="H3990" s="519" t="s">
        <v>581</v>
      </c>
      <c r="I3990" s="519" t="s">
        <v>4213</v>
      </c>
      <c r="J3990" s="505" t="s">
        <v>96</v>
      </c>
      <c r="K3990" s="505" t="s">
        <v>2102</v>
      </c>
      <c r="L3990" s="505" t="s">
        <v>153</v>
      </c>
    </row>
    <row r="3991" spans="1:12" ht="15.6">
      <c r="A3991" s="517">
        <v>45967</v>
      </c>
      <c r="B3991" s="519" t="s">
        <v>4191</v>
      </c>
      <c r="C3991" s="519" t="s">
        <v>172</v>
      </c>
      <c r="D3991" s="519" t="s">
        <v>116</v>
      </c>
      <c r="E3991" s="520">
        <v>1000</v>
      </c>
      <c r="F3991" s="502">
        <f t="shared" si="63"/>
        <v>1.8744037053212446</v>
      </c>
      <c r="G3991" s="503">
        <v>533.50300000000004</v>
      </c>
      <c r="H3991" s="519" t="s">
        <v>581</v>
      </c>
      <c r="I3991" s="519" t="s">
        <v>4213</v>
      </c>
      <c r="J3991" s="505" t="s">
        <v>96</v>
      </c>
      <c r="K3991" s="505" t="s">
        <v>2102</v>
      </c>
      <c r="L3991" s="505" t="s">
        <v>153</v>
      </c>
    </row>
    <row r="3992" spans="1:12" ht="15.6">
      <c r="A3992" s="524">
        <v>45967</v>
      </c>
      <c r="B3992" s="525" t="s">
        <v>4917</v>
      </c>
      <c r="C3992" s="525" t="s">
        <v>172</v>
      </c>
      <c r="D3992" s="510" t="s">
        <v>119</v>
      </c>
      <c r="E3992" s="525">
        <v>1500</v>
      </c>
      <c r="F3992" s="502">
        <f t="shared" si="63"/>
        <v>2.8116055579818666</v>
      </c>
      <c r="G3992" s="503">
        <v>533.50300000000004</v>
      </c>
      <c r="H3992" s="525" t="s">
        <v>182</v>
      </c>
      <c r="I3992" s="525" t="s">
        <v>4237</v>
      </c>
      <c r="J3992" s="505" t="s">
        <v>96</v>
      </c>
      <c r="K3992" s="505" t="s">
        <v>2102</v>
      </c>
      <c r="L3992" s="505" t="s">
        <v>153</v>
      </c>
    </row>
    <row r="3993" spans="1:12" ht="15.6">
      <c r="A3993" s="524">
        <v>45967</v>
      </c>
      <c r="B3993" s="525" t="s">
        <v>4917</v>
      </c>
      <c r="C3993" s="525" t="s">
        <v>172</v>
      </c>
      <c r="D3993" s="510" t="s">
        <v>119</v>
      </c>
      <c r="E3993" s="525">
        <v>1500</v>
      </c>
      <c r="F3993" s="502">
        <f t="shared" si="63"/>
        <v>2.8116055579818666</v>
      </c>
      <c r="G3993" s="503">
        <v>533.50300000000004</v>
      </c>
      <c r="H3993" s="525" t="s">
        <v>182</v>
      </c>
      <c r="I3993" s="525" t="s">
        <v>4237</v>
      </c>
      <c r="J3993" s="505" t="s">
        <v>96</v>
      </c>
      <c r="K3993" s="505" t="s">
        <v>2102</v>
      </c>
      <c r="L3993" s="505" t="s">
        <v>153</v>
      </c>
    </row>
    <row r="3994" spans="1:12" ht="15.6">
      <c r="A3994" s="524">
        <v>45967</v>
      </c>
      <c r="B3994" s="525" t="s">
        <v>4917</v>
      </c>
      <c r="C3994" s="525" t="s">
        <v>172</v>
      </c>
      <c r="D3994" s="510" t="s">
        <v>119</v>
      </c>
      <c r="E3994" s="525">
        <v>1000</v>
      </c>
      <c r="F3994" s="502">
        <f t="shared" si="63"/>
        <v>1.8744037053212446</v>
      </c>
      <c r="G3994" s="503">
        <v>533.50300000000004</v>
      </c>
      <c r="H3994" s="525" t="s">
        <v>182</v>
      </c>
      <c r="I3994" s="525" t="s">
        <v>4237</v>
      </c>
      <c r="J3994" s="505" t="s">
        <v>96</v>
      </c>
      <c r="K3994" s="505" t="s">
        <v>2102</v>
      </c>
      <c r="L3994" s="505" t="s">
        <v>153</v>
      </c>
    </row>
    <row r="3995" spans="1:12" ht="15.6">
      <c r="A3995" s="524">
        <v>45967</v>
      </c>
      <c r="B3995" s="525" t="s">
        <v>4917</v>
      </c>
      <c r="C3995" s="525" t="s">
        <v>172</v>
      </c>
      <c r="D3995" s="510" t="s">
        <v>119</v>
      </c>
      <c r="E3995" s="525">
        <v>1500</v>
      </c>
      <c r="F3995" s="502">
        <f t="shared" si="63"/>
        <v>2.8116055579818666</v>
      </c>
      <c r="G3995" s="503">
        <v>533.50300000000004</v>
      </c>
      <c r="H3995" s="525" t="s">
        <v>182</v>
      </c>
      <c r="I3995" s="525" t="s">
        <v>4237</v>
      </c>
      <c r="J3995" s="505" t="s">
        <v>96</v>
      </c>
      <c r="K3995" s="505" t="s">
        <v>2102</v>
      </c>
      <c r="L3995" s="505" t="s">
        <v>153</v>
      </c>
    </row>
    <row r="3996" spans="1:12" ht="15.6">
      <c r="A3996" s="524">
        <v>45967</v>
      </c>
      <c r="B3996" s="525" t="s">
        <v>4917</v>
      </c>
      <c r="C3996" s="525" t="s">
        <v>172</v>
      </c>
      <c r="D3996" s="510" t="s">
        <v>119</v>
      </c>
      <c r="E3996" s="525">
        <v>1000</v>
      </c>
      <c r="F3996" s="502">
        <f t="shared" si="63"/>
        <v>1.8744037053212446</v>
      </c>
      <c r="G3996" s="503">
        <v>533.50300000000004</v>
      </c>
      <c r="H3996" s="525" t="s">
        <v>182</v>
      </c>
      <c r="I3996" s="525" t="s">
        <v>4237</v>
      </c>
      <c r="J3996" s="505" t="s">
        <v>96</v>
      </c>
      <c r="K3996" s="505" t="s">
        <v>2102</v>
      </c>
      <c r="L3996" s="505" t="s">
        <v>153</v>
      </c>
    </row>
    <row r="3997" spans="1:12" ht="15.6">
      <c r="A3997" s="524">
        <v>45967</v>
      </c>
      <c r="B3997" s="525" t="s">
        <v>4912</v>
      </c>
      <c r="C3997" s="525" t="s">
        <v>172</v>
      </c>
      <c r="D3997" s="510" t="s">
        <v>119</v>
      </c>
      <c r="E3997" s="525">
        <v>1500</v>
      </c>
      <c r="F3997" s="502">
        <f t="shared" si="63"/>
        <v>2.8116055579818666</v>
      </c>
      <c r="G3997" s="503">
        <v>533.50300000000004</v>
      </c>
      <c r="H3997" s="525" t="s">
        <v>182</v>
      </c>
      <c r="I3997" s="525" t="s">
        <v>4237</v>
      </c>
      <c r="J3997" s="505" t="s">
        <v>96</v>
      </c>
      <c r="K3997" s="505" t="s">
        <v>2102</v>
      </c>
      <c r="L3997" s="505" t="s">
        <v>153</v>
      </c>
    </row>
    <row r="3998" spans="1:12" ht="15.6">
      <c r="A3998" s="524">
        <v>45967</v>
      </c>
      <c r="B3998" s="525" t="s">
        <v>4975</v>
      </c>
      <c r="C3998" s="525" t="s">
        <v>366</v>
      </c>
      <c r="D3998" s="510" t="s">
        <v>119</v>
      </c>
      <c r="E3998" s="525">
        <v>1000</v>
      </c>
      <c r="F3998" s="502">
        <f t="shared" si="63"/>
        <v>1.8401363172983856</v>
      </c>
      <c r="G3998" s="503">
        <v>543.43799999999999</v>
      </c>
      <c r="H3998" s="525" t="s">
        <v>182</v>
      </c>
      <c r="I3998" s="525" t="s">
        <v>4238</v>
      </c>
      <c r="J3998" s="505" t="s">
        <v>96</v>
      </c>
      <c r="K3998" s="505" t="s">
        <v>4104</v>
      </c>
      <c r="L3998" s="505" t="s">
        <v>153</v>
      </c>
    </row>
    <row r="3999" spans="1:12" ht="15.6">
      <c r="A3999" s="526">
        <v>45967</v>
      </c>
      <c r="B3999" s="519" t="s">
        <v>4876</v>
      </c>
      <c r="C3999" s="519" t="s">
        <v>1011</v>
      </c>
      <c r="D3999" s="510" t="s">
        <v>119</v>
      </c>
      <c r="E3999" s="519">
        <v>1000</v>
      </c>
      <c r="F3999" s="502">
        <f t="shared" si="63"/>
        <v>1.8744037053212446</v>
      </c>
      <c r="G3999" s="503">
        <v>533.50300000000004</v>
      </c>
      <c r="H3999" s="519" t="s">
        <v>173</v>
      </c>
      <c r="I3999" s="519" t="s">
        <v>4263</v>
      </c>
      <c r="J3999" s="505" t="s">
        <v>96</v>
      </c>
      <c r="K3999" s="505" t="s">
        <v>2102</v>
      </c>
      <c r="L3999" s="505" t="s">
        <v>153</v>
      </c>
    </row>
    <row r="4000" spans="1:12" ht="15.6">
      <c r="A4000" s="526">
        <v>45967</v>
      </c>
      <c r="B4000" s="519" t="s">
        <v>4876</v>
      </c>
      <c r="C4000" s="519" t="s">
        <v>1011</v>
      </c>
      <c r="D4000" s="510" t="s">
        <v>119</v>
      </c>
      <c r="E4000" s="519">
        <v>1000</v>
      </c>
      <c r="F4000" s="502">
        <f t="shared" si="63"/>
        <v>1.8744037053212446</v>
      </c>
      <c r="G4000" s="503">
        <v>533.50300000000004</v>
      </c>
      <c r="H4000" s="519" t="s">
        <v>173</v>
      </c>
      <c r="I4000" s="519" t="s">
        <v>4263</v>
      </c>
      <c r="J4000" s="505" t="s">
        <v>96</v>
      </c>
      <c r="K4000" s="505" t="s">
        <v>2102</v>
      </c>
      <c r="L4000" s="505" t="s">
        <v>153</v>
      </c>
    </row>
    <row r="4001" spans="1:12" ht="15.6">
      <c r="A4001" s="526">
        <v>45967</v>
      </c>
      <c r="B4001" s="519" t="s">
        <v>4876</v>
      </c>
      <c r="C4001" s="519" t="s">
        <v>1011</v>
      </c>
      <c r="D4001" s="510" t="s">
        <v>119</v>
      </c>
      <c r="E4001" s="519">
        <v>1000</v>
      </c>
      <c r="F4001" s="502">
        <f t="shared" si="63"/>
        <v>1.8744037053212446</v>
      </c>
      <c r="G4001" s="503">
        <v>533.50300000000004</v>
      </c>
      <c r="H4001" s="519" t="s">
        <v>173</v>
      </c>
      <c r="I4001" s="519" t="s">
        <v>4263</v>
      </c>
      <c r="J4001" s="505" t="s">
        <v>96</v>
      </c>
      <c r="K4001" s="505" t="s">
        <v>2102</v>
      </c>
      <c r="L4001" s="505" t="s">
        <v>153</v>
      </c>
    </row>
    <row r="4002" spans="1:12" ht="15.6">
      <c r="A4002" s="526">
        <v>45967</v>
      </c>
      <c r="B4002" s="519" t="s">
        <v>4876</v>
      </c>
      <c r="C4002" s="519" t="s">
        <v>1011</v>
      </c>
      <c r="D4002" s="510" t="s">
        <v>119</v>
      </c>
      <c r="E4002" s="519">
        <v>1000</v>
      </c>
      <c r="F4002" s="502">
        <f t="shared" si="63"/>
        <v>1.8744037053212446</v>
      </c>
      <c r="G4002" s="503">
        <v>533.50300000000004</v>
      </c>
      <c r="H4002" s="519" t="s">
        <v>173</v>
      </c>
      <c r="I4002" s="519" t="s">
        <v>4263</v>
      </c>
      <c r="J4002" s="505" t="s">
        <v>96</v>
      </c>
      <c r="K4002" s="505" t="s">
        <v>2102</v>
      </c>
      <c r="L4002" s="505" t="s">
        <v>153</v>
      </c>
    </row>
    <row r="4003" spans="1:12" ht="15.6">
      <c r="A4003" s="526">
        <v>45967</v>
      </c>
      <c r="B4003" s="519" t="s">
        <v>4917</v>
      </c>
      <c r="C4003" s="519" t="s">
        <v>1011</v>
      </c>
      <c r="D4003" s="510" t="s">
        <v>119</v>
      </c>
      <c r="E4003" s="519">
        <v>1000</v>
      </c>
      <c r="F4003" s="502">
        <f t="shared" si="63"/>
        <v>1.8744037053212446</v>
      </c>
      <c r="G4003" s="503">
        <v>533.50300000000004</v>
      </c>
      <c r="H4003" s="519" t="s">
        <v>173</v>
      </c>
      <c r="I4003" s="519" t="s">
        <v>4263</v>
      </c>
      <c r="J4003" s="505" t="s">
        <v>96</v>
      </c>
      <c r="K4003" s="505" t="s">
        <v>2102</v>
      </c>
      <c r="L4003" s="505" t="s">
        <v>153</v>
      </c>
    </row>
    <row r="4004" spans="1:12" ht="15.6">
      <c r="A4004" s="526">
        <v>45967</v>
      </c>
      <c r="B4004" s="519" t="s">
        <v>2954</v>
      </c>
      <c r="C4004" s="519" t="s">
        <v>366</v>
      </c>
      <c r="D4004" s="510" t="s">
        <v>119</v>
      </c>
      <c r="E4004" s="519">
        <v>2000</v>
      </c>
      <c r="F4004" s="502">
        <f t="shared" si="63"/>
        <v>3.6802726345967711</v>
      </c>
      <c r="G4004" s="503">
        <v>543.43799999999999</v>
      </c>
      <c r="H4004" s="519" t="s">
        <v>173</v>
      </c>
      <c r="I4004" s="519" t="s">
        <v>4264</v>
      </c>
      <c r="J4004" s="505" t="s">
        <v>96</v>
      </c>
      <c r="K4004" s="505" t="s">
        <v>4104</v>
      </c>
      <c r="L4004" s="505" t="s">
        <v>153</v>
      </c>
    </row>
    <row r="4005" spans="1:12" ht="15.6">
      <c r="A4005" s="526">
        <v>45967</v>
      </c>
      <c r="B4005" s="519" t="s">
        <v>4876</v>
      </c>
      <c r="C4005" s="519" t="s">
        <v>172</v>
      </c>
      <c r="D4005" s="510" t="s">
        <v>119</v>
      </c>
      <c r="E4005" s="516">
        <v>2500</v>
      </c>
      <c r="F4005" s="502">
        <f t="shared" si="63"/>
        <v>4.6860092633031112</v>
      </c>
      <c r="G4005" s="503">
        <v>533.50300000000004</v>
      </c>
      <c r="H4005" s="519" t="s">
        <v>315</v>
      </c>
      <c r="I4005" s="519" t="s">
        <v>4288</v>
      </c>
      <c r="J4005" s="505" t="s">
        <v>96</v>
      </c>
      <c r="K4005" s="505" t="s">
        <v>2102</v>
      </c>
      <c r="L4005" s="505" t="s">
        <v>153</v>
      </c>
    </row>
    <row r="4006" spans="1:12" ht="15.6">
      <c r="A4006" s="526">
        <v>45967</v>
      </c>
      <c r="B4006" s="519" t="s">
        <v>4876</v>
      </c>
      <c r="C4006" s="519" t="s">
        <v>172</v>
      </c>
      <c r="D4006" s="510" t="s">
        <v>119</v>
      </c>
      <c r="E4006" s="519">
        <v>1000</v>
      </c>
      <c r="F4006" s="502">
        <f t="shared" si="63"/>
        <v>1.8744037053212446</v>
      </c>
      <c r="G4006" s="503">
        <v>533.50300000000004</v>
      </c>
      <c r="H4006" s="519" t="s">
        <v>315</v>
      </c>
      <c r="I4006" s="519" t="s">
        <v>4288</v>
      </c>
      <c r="J4006" s="505" t="s">
        <v>96</v>
      </c>
      <c r="K4006" s="505" t="s">
        <v>2102</v>
      </c>
      <c r="L4006" s="505" t="s">
        <v>153</v>
      </c>
    </row>
    <row r="4007" spans="1:12" ht="15.6">
      <c r="A4007" s="526">
        <v>45967</v>
      </c>
      <c r="B4007" s="519" t="s">
        <v>4876</v>
      </c>
      <c r="C4007" s="519" t="s">
        <v>172</v>
      </c>
      <c r="D4007" s="510" t="s">
        <v>119</v>
      </c>
      <c r="E4007" s="516">
        <v>1000</v>
      </c>
      <c r="F4007" s="502">
        <f t="shared" si="63"/>
        <v>1.8744037053212446</v>
      </c>
      <c r="G4007" s="503">
        <v>533.50300000000004</v>
      </c>
      <c r="H4007" s="519" t="s">
        <v>315</v>
      </c>
      <c r="I4007" s="519" t="s">
        <v>4288</v>
      </c>
      <c r="J4007" s="505" t="s">
        <v>96</v>
      </c>
      <c r="K4007" s="505" t="s">
        <v>2102</v>
      </c>
      <c r="L4007" s="505" t="s">
        <v>153</v>
      </c>
    </row>
    <row r="4008" spans="1:12" ht="15.6">
      <c r="A4008" s="526">
        <v>45967</v>
      </c>
      <c r="B4008" s="519" t="s">
        <v>4876</v>
      </c>
      <c r="C4008" s="519" t="s">
        <v>172</v>
      </c>
      <c r="D4008" s="510" t="s">
        <v>119</v>
      </c>
      <c r="E4008" s="519">
        <v>2000</v>
      </c>
      <c r="F4008" s="502">
        <f t="shared" si="63"/>
        <v>3.7488074106424891</v>
      </c>
      <c r="G4008" s="503">
        <v>533.50300000000004</v>
      </c>
      <c r="H4008" s="519" t="s">
        <v>315</v>
      </c>
      <c r="I4008" s="519" t="s">
        <v>4288</v>
      </c>
      <c r="J4008" s="505" t="s">
        <v>96</v>
      </c>
      <c r="K4008" s="505" t="s">
        <v>2102</v>
      </c>
      <c r="L4008" s="505" t="s">
        <v>153</v>
      </c>
    </row>
    <row r="4009" spans="1:12" ht="15.6">
      <c r="A4009" s="526">
        <v>45967</v>
      </c>
      <c r="B4009" s="519" t="s">
        <v>4907</v>
      </c>
      <c r="C4009" s="519" t="s">
        <v>172</v>
      </c>
      <c r="D4009" s="510" t="s">
        <v>119</v>
      </c>
      <c r="E4009" s="521">
        <v>1000</v>
      </c>
      <c r="F4009" s="502">
        <f t="shared" si="63"/>
        <v>1.8744037053212446</v>
      </c>
      <c r="G4009" s="503">
        <v>533.50300000000004</v>
      </c>
      <c r="H4009" s="519" t="s">
        <v>321</v>
      </c>
      <c r="I4009" s="519" t="s">
        <v>4314</v>
      </c>
      <c r="J4009" s="505" t="s">
        <v>96</v>
      </c>
      <c r="K4009" s="505" t="s">
        <v>2102</v>
      </c>
      <c r="L4009" s="505" t="s">
        <v>153</v>
      </c>
    </row>
    <row r="4010" spans="1:12" ht="15.6">
      <c r="A4010" s="526">
        <v>45967</v>
      </c>
      <c r="B4010" s="519" t="s">
        <v>4907</v>
      </c>
      <c r="C4010" s="519" t="s">
        <v>172</v>
      </c>
      <c r="D4010" s="510" t="s">
        <v>119</v>
      </c>
      <c r="E4010" s="521">
        <v>1000</v>
      </c>
      <c r="F4010" s="502">
        <f t="shared" si="63"/>
        <v>1.8744037053212446</v>
      </c>
      <c r="G4010" s="503">
        <v>533.50300000000004</v>
      </c>
      <c r="H4010" s="519" t="s">
        <v>321</v>
      </c>
      <c r="I4010" s="519" t="s">
        <v>4314</v>
      </c>
      <c r="J4010" s="505" t="s">
        <v>96</v>
      </c>
      <c r="K4010" s="505" t="s">
        <v>2102</v>
      </c>
      <c r="L4010" s="505" t="s">
        <v>153</v>
      </c>
    </row>
    <row r="4011" spans="1:12" ht="15.6">
      <c r="A4011" s="526">
        <v>45967</v>
      </c>
      <c r="B4011" s="519" t="s">
        <v>4907</v>
      </c>
      <c r="C4011" s="519" t="s">
        <v>172</v>
      </c>
      <c r="D4011" s="510" t="s">
        <v>119</v>
      </c>
      <c r="E4011" s="521">
        <v>1000</v>
      </c>
      <c r="F4011" s="502">
        <f t="shared" si="63"/>
        <v>1.8744037053212446</v>
      </c>
      <c r="G4011" s="503">
        <v>533.50300000000004</v>
      </c>
      <c r="H4011" s="519" t="s">
        <v>321</v>
      </c>
      <c r="I4011" s="519" t="s">
        <v>4314</v>
      </c>
      <c r="J4011" s="505" t="s">
        <v>96</v>
      </c>
      <c r="K4011" s="505" t="s">
        <v>2102</v>
      </c>
      <c r="L4011" s="505" t="s">
        <v>153</v>
      </c>
    </row>
    <row r="4012" spans="1:12" ht="15.6">
      <c r="A4012" s="526">
        <v>45967</v>
      </c>
      <c r="B4012" s="519" t="s">
        <v>4907</v>
      </c>
      <c r="C4012" s="519" t="s">
        <v>172</v>
      </c>
      <c r="D4012" s="510" t="s">
        <v>119</v>
      </c>
      <c r="E4012" s="521">
        <v>1000</v>
      </c>
      <c r="F4012" s="502">
        <f t="shared" si="63"/>
        <v>1.8744037053212446</v>
      </c>
      <c r="G4012" s="503">
        <v>533.50300000000004</v>
      </c>
      <c r="H4012" s="519" t="s">
        <v>321</v>
      </c>
      <c r="I4012" s="519" t="s">
        <v>4314</v>
      </c>
      <c r="J4012" s="505" t="s">
        <v>96</v>
      </c>
      <c r="K4012" s="505" t="s">
        <v>2102</v>
      </c>
      <c r="L4012" s="505" t="s">
        <v>153</v>
      </c>
    </row>
    <row r="4013" spans="1:12" ht="15.6">
      <c r="A4013" s="526">
        <v>45967</v>
      </c>
      <c r="B4013" s="519" t="s">
        <v>4907</v>
      </c>
      <c r="C4013" s="519" t="s">
        <v>172</v>
      </c>
      <c r="D4013" s="510" t="s">
        <v>119</v>
      </c>
      <c r="E4013" s="521">
        <v>1000</v>
      </c>
      <c r="F4013" s="502">
        <f t="shared" si="63"/>
        <v>1.8744037053212446</v>
      </c>
      <c r="G4013" s="503">
        <v>533.50300000000004</v>
      </c>
      <c r="H4013" s="519" t="s">
        <v>321</v>
      </c>
      <c r="I4013" s="519" t="s">
        <v>4314</v>
      </c>
      <c r="J4013" s="505" t="s">
        <v>96</v>
      </c>
      <c r="K4013" s="505" t="s">
        <v>2102</v>
      </c>
      <c r="L4013" s="505" t="s">
        <v>153</v>
      </c>
    </row>
    <row r="4014" spans="1:12" ht="15.6">
      <c r="A4014" s="515">
        <v>45967</v>
      </c>
      <c r="B4014" s="519" t="s">
        <v>3649</v>
      </c>
      <c r="C4014" s="505" t="s">
        <v>172</v>
      </c>
      <c r="D4014" s="505" t="s">
        <v>115</v>
      </c>
      <c r="E4014" s="528">
        <v>500</v>
      </c>
      <c r="F4014" s="502">
        <f t="shared" si="63"/>
        <v>0.93720185266062228</v>
      </c>
      <c r="G4014" s="503">
        <v>533.50300000000004</v>
      </c>
      <c r="H4014" s="505" t="s">
        <v>191</v>
      </c>
      <c r="I4014" s="519" t="s">
        <v>4405</v>
      </c>
      <c r="J4014" s="505" t="s">
        <v>96</v>
      </c>
      <c r="K4014" s="505" t="s">
        <v>2102</v>
      </c>
      <c r="L4014" s="505" t="s">
        <v>153</v>
      </c>
    </row>
    <row r="4015" spans="1:12" ht="15.6">
      <c r="A4015" s="515">
        <v>45967</v>
      </c>
      <c r="B4015" s="519" t="s">
        <v>4393</v>
      </c>
      <c r="C4015" s="505" t="s">
        <v>3317</v>
      </c>
      <c r="D4015" s="505" t="s">
        <v>115</v>
      </c>
      <c r="E4015" s="528">
        <v>1500</v>
      </c>
      <c r="F4015" s="502">
        <f t="shared" si="63"/>
        <v>2.8116055579818666</v>
      </c>
      <c r="G4015" s="503">
        <v>533.50300000000004</v>
      </c>
      <c r="H4015" s="505" t="s">
        <v>191</v>
      </c>
      <c r="I4015" s="519" t="s">
        <v>4409</v>
      </c>
      <c r="J4015" s="505" t="s">
        <v>96</v>
      </c>
      <c r="K4015" s="505" t="s">
        <v>2102</v>
      </c>
      <c r="L4015" s="505" t="s">
        <v>153</v>
      </c>
    </row>
    <row r="4016" spans="1:12" ht="15.6">
      <c r="A4016" s="515">
        <v>45967</v>
      </c>
      <c r="B4016" s="519" t="s">
        <v>4386</v>
      </c>
      <c r="C4016" s="505" t="s">
        <v>172</v>
      </c>
      <c r="D4016" s="505" t="s">
        <v>115</v>
      </c>
      <c r="E4016" s="528">
        <v>500</v>
      </c>
      <c r="F4016" s="502">
        <f t="shared" si="63"/>
        <v>0.93720185266062228</v>
      </c>
      <c r="G4016" s="503">
        <v>533.50300000000004</v>
      </c>
      <c r="H4016" s="505" t="s">
        <v>191</v>
      </c>
      <c r="I4016" s="519" t="s">
        <v>4405</v>
      </c>
      <c r="J4016" s="505" t="s">
        <v>96</v>
      </c>
      <c r="K4016" s="505" t="s">
        <v>2102</v>
      </c>
      <c r="L4016" s="505" t="s">
        <v>153</v>
      </c>
    </row>
    <row r="4017" spans="1:12" ht="15.6">
      <c r="A4017" s="515">
        <v>45967</v>
      </c>
      <c r="B4017" s="519" t="s">
        <v>4390</v>
      </c>
      <c r="C4017" s="505" t="s">
        <v>172</v>
      </c>
      <c r="D4017" s="505" t="s">
        <v>115</v>
      </c>
      <c r="E4017" s="528">
        <v>500</v>
      </c>
      <c r="F4017" s="502">
        <f t="shared" si="63"/>
        <v>0.93720185266062228</v>
      </c>
      <c r="G4017" s="503">
        <v>533.50300000000004</v>
      </c>
      <c r="H4017" s="505" t="s">
        <v>191</v>
      </c>
      <c r="I4017" s="519" t="s">
        <v>4405</v>
      </c>
      <c r="J4017" s="505" t="s">
        <v>96</v>
      </c>
      <c r="K4017" s="505" t="s">
        <v>2102</v>
      </c>
      <c r="L4017" s="505" t="s">
        <v>153</v>
      </c>
    </row>
    <row r="4018" spans="1:12" ht="15.6">
      <c r="A4018" s="515">
        <v>45967</v>
      </c>
      <c r="B4018" s="519" t="s">
        <v>4394</v>
      </c>
      <c r="C4018" s="505" t="s">
        <v>172</v>
      </c>
      <c r="D4018" s="505" t="s">
        <v>115</v>
      </c>
      <c r="E4018" s="528">
        <v>500</v>
      </c>
      <c r="F4018" s="502">
        <f t="shared" si="63"/>
        <v>0.93720185266062228</v>
      </c>
      <c r="G4018" s="503">
        <v>533.50300000000004</v>
      </c>
      <c r="H4018" s="505" t="s">
        <v>191</v>
      </c>
      <c r="I4018" s="519" t="s">
        <v>4405</v>
      </c>
      <c r="J4018" s="505" t="s">
        <v>96</v>
      </c>
      <c r="K4018" s="505" t="s">
        <v>2102</v>
      </c>
      <c r="L4018" s="505" t="s">
        <v>153</v>
      </c>
    </row>
    <row r="4019" spans="1:12" ht="15.6">
      <c r="A4019" s="515">
        <v>45967</v>
      </c>
      <c r="B4019" s="519" t="s">
        <v>4395</v>
      </c>
      <c r="C4019" s="505" t="s">
        <v>172</v>
      </c>
      <c r="D4019" s="505" t="s">
        <v>115</v>
      </c>
      <c r="E4019" s="528">
        <v>500</v>
      </c>
      <c r="F4019" s="502">
        <f t="shared" si="63"/>
        <v>0.93720185266062228</v>
      </c>
      <c r="G4019" s="503">
        <v>533.50300000000004</v>
      </c>
      <c r="H4019" s="505" t="s">
        <v>191</v>
      </c>
      <c r="I4019" s="519" t="s">
        <v>4405</v>
      </c>
      <c r="J4019" s="505" t="s">
        <v>96</v>
      </c>
      <c r="K4019" s="505" t="s">
        <v>2102</v>
      </c>
      <c r="L4019" s="505" t="s">
        <v>153</v>
      </c>
    </row>
    <row r="4020" spans="1:12" ht="15.6">
      <c r="A4020" s="515">
        <v>45967</v>
      </c>
      <c r="B4020" s="519" t="s">
        <v>4396</v>
      </c>
      <c r="C4020" s="505" t="s">
        <v>172</v>
      </c>
      <c r="D4020" s="505" t="s">
        <v>115</v>
      </c>
      <c r="E4020" s="528">
        <v>500</v>
      </c>
      <c r="F4020" s="502">
        <f t="shared" si="63"/>
        <v>0.93720185266062228</v>
      </c>
      <c r="G4020" s="503">
        <v>533.50300000000004</v>
      </c>
      <c r="H4020" s="505" t="s">
        <v>191</v>
      </c>
      <c r="I4020" s="519" t="s">
        <v>4405</v>
      </c>
      <c r="J4020" s="505" t="s">
        <v>96</v>
      </c>
      <c r="K4020" s="505" t="s">
        <v>2102</v>
      </c>
      <c r="L4020" s="505" t="s">
        <v>153</v>
      </c>
    </row>
    <row r="4021" spans="1:12" ht="15.6">
      <c r="A4021" s="515">
        <v>45967</v>
      </c>
      <c r="B4021" s="519" t="s">
        <v>3649</v>
      </c>
      <c r="C4021" s="505" t="s">
        <v>172</v>
      </c>
      <c r="D4021" s="505" t="s">
        <v>115</v>
      </c>
      <c r="E4021" s="528">
        <v>500</v>
      </c>
      <c r="F4021" s="502">
        <f t="shared" si="63"/>
        <v>0.93720185266062228</v>
      </c>
      <c r="G4021" s="503">
        <v>533.50300000000004</v>
      </c>
      <c r="H4021" s="505" t="s">
        <v>191</v>
      </c>
      <c r="I4021" s="519" t="s">
        <v>4405</v>
      </c>
      <c r="J4021" s="505" t="s">
        <v>96</v>
      </c>
      <c r="K4021" s="505" t="s">
        <v>2102</v>
      </c>
      <c r="L4021" s="505" t="s">
        <v>153</v>
      </c>
    </row>
    <row r="4022" spans="1:12" ht="15.6">
      <c r="A4022" s="515">
        <v>45967</v>
      </c>
      <c r="B4022" s="519" t="s">
        <v>4397</v>
      </c>
      <c r="C4022" s="505" t="s">
        <v>3317</v>
      </c>
      <c r="D4022" s="505" t="s">
        <v>115</v>
      </c>
      <c r="E4022" s="528">
        <v>1500</v>
      </c>
      <c r="F4022" s="502">
        <f t="shared" si="63"/>
        <v>2.8116055579818666</v>
      </c>
      <c r="G4022" s="503">
        <v>533.50300000000004</v>
      </c>
      <c r="H4022" s="505" t="s">
        <v>191</v>
      </c>
      <c r="I4022" s="519" t="s">
        <v>4409</v>
      </c>
      <c r="J4022" s="505" t="s">
        <v>96</v>
      </c>
      <c r="K4022" s="505" t="s">
        <v>2102</v>
      </c>
      <c r="L4022" s="505" t="s">
        <v>153</v>
      </c>
    </row>
    <row r="4023" spans="1:12" ht="15.6">
      <c r="A4023" s="515">
        <v>45967</v>
      </c>
      <c r="B4023" s="519" t="s">
        <v>4386</v>
      </c>
      <c r="C4023" s="505" t="s">
        <v>172</v>
      </c>
      <c r="D4023" s="505" t="s">
        <v>115</v>
      </c>
      <c r="E4023" s="528">
        <v>500</v>
      </c>
      <c r="F4023" s="502">
        <f t="shared" si="63"/>
        <v>0.93720185266062228</v>
      </c>
      <c r="G4023" s="503">
        <v>533.50300000000004</v>
      </c>
      <c r="H4023" s="505" t="s">
        <v>191</v>
      </c>
      <c r="I4023" s="519" t="s">
        <v>4405</v>
      </c>
      <c r="J4023" s="505" t="s">
        <v>96</v>
      </c>
      <c r="K4023" s="505" t="s">
        <v>2102</v>
      </c>
      <c r="L4023" s="505" t="s">
        <v>153</v>
      </c>
    </row>
    <row r="4024" spans="1:12" ht="15.6">
      <c r="A4024" s="515">
        <v>45967</v>
      </c>
      <c r="B4024" s="519" t="s">
        <v>4390</v>
      </c>
      <c r="C4024" s="505" t="s">
        <v>172</v>
      </c>
      <c r="D4024" s="505" t="s">
        <v>115</v>
      </c>
      <c r="E4024" s="528">
        <v>500</v>
      </c>
      <c r="F4024" s="502">
        <f t="shared" si="63"/>
        <v>0.93720185266062228</v>
      </c>
      <c r="G4024" s="503">
        <v>533.50300000000004</v>
      </c>
      <c r="H4024" s="505" t="s">
        <v>191</v>
      </c>
      <c r="I4024" s="519" t="s">
        <v>4405</v>
      </c>
      <c r="J4024" s="505" t="s">
        <v>96</v>
      </c>
      <c r="K4024" s="505" t="s">
        <v>2102</v>
      </c>
      <c r="L4024" s="505" t="s">
        <v>153</v>
      </c>
    </row>
    <row r="4025" spans="1:12" ht="15.6">
      <c r="A4025" s="526">
        <v>45967</v>
      </c>
      <c r="B4025" s="519" t="s">
        <v>4585</v>
      </c>
      <c r="C4025" s="519" t="s">
        <v>172</v>
      </c>
      <c r="D4025" s="519" t="s">
        <v>115</v>
      </c>
      <c r="E4025" s="519">
        <v>1000</v>
      </c>
      <c r="F4025" s="502">
        <f t="shared" si="63"/>
        <v>1.8744037053212446</v>
      </c>
      <c r="G4025" s="503">
        <v>533.50300000000004</v>
      </c>
      <c r="H4025" s="519" t="s">
        <v>185</v>
      </c>
      <c r="I4025" s="519" t="s">
        <v>4631</v>
      </c>
      <c r="J4025" s="505" t="s">
        <v>96</v>
      </c>
      <c r="K4025" s="505" t="s">
        <v>2102</v>
      </c>
      <c r="L4025" s="505" t="s">
        <v>153</v>
      </c>
    </row>
    <row r="4026" spans="1:12" ht="15.6">
      <c r="A4026" s="526">
        <v>45967</v>
      </c>
      <c r="B4026" s="519" t="s">
        <v>4586</v>
      </c>
      <c r="C4026" s="519" t="s">
        <v>172</v>
      </c>
      <c r="D4026" s="519" t="s">
        <v>115</v>
      </c>
      <c r="E4026" s="519">
        <v>2500</v>
      </c>
      <c r="F4026" s="502">
        <f t="shared" si="63"/>
        <v>4.6860092633031112</v>
      </c>
      <c r="G4026" s="503">
        <v>533.50300000000004</v>
      </c>
      <c r="H4026" s="519" t="s">
        <v>185</v>
      </c>
      <c r="I4026" s="519" t="s">
        <v>4631</v>
      </c>
      <c r="J4026" s="505" t="s">
        <v>96</v>
      </c>
      <c r="K4026" s="505" t="s">
        <v>2102</v>
      </c>
      <c r="L4026" s="505" t="s">
        <v>153</v>
      </c>
    </row>
    <row r="4027" spans="1:12" ht="15.6">
      <c r="A4027" s="515">
        <v>45968</v>
      </c>
      <c r="B4027" s="519" t="s">
        <v>4734</v>
      </c>
      <c r="C4027" s="505" t="s">
        <v>172</v>
      </c>
      <c r="D4027" s="505" t="s">
        <v>115</v>
      </c>
      <c r="E4027" s="528">
        <v>7000</v>
      </c>
      <c r="F4027" s="502">
        <f t="shared" si="63"/>
        <v>13.120825937248712</v>
      </c>
      <c r="G4027" s="503">
        <v>533.50300000000004</v>
      </c>
      <c r="H4027" s="505" t="s">
        <v>191</v>
      </c>
      <c r="I4027" s="519" t="s">
        <v>4410</v>
      </c>
      <c r="J4027" s="505" t="s">
        <v>96</v>
      </c>
      <c r="K4027" s="505" t="s">
        <v>2102</v>
      </c>
      <c r="L4027" s="505" t="s">
        <v>153</v>
      </c>
    </row>
    <row r="4028" spans="1:12" ht="15.6">
      <c r="A4028" s="486">
        <v>45968</v>
      </c>
      <c r="B4028" s="478" t="s">
        <v>4123</v>
      </c>
      <c r="C4028" s="478" t="s">
        <v>125</v>
      </c>
      <c r="D4028" s="501" t="s">
        <v>117</v>
      </c>
      <c r="E4028" s="481">
        <v>174625</v>
      </c>
      <c r="F4028" s="502">
        <f t="shared" si="63"/>
        <v>327.31774704172233</v>
      </c>
      <c r="G4028" s="503">
        <v>533.50300000000004</v>
      </c>
      <c r="H4028" s="504" t="s">
        <v>151</v>
      </c>
      <c r="I4028" s="478" t="s">
        <v>4136</v>
      </c>
      <c r="J4028" s="505" t="s">
        <v>96</v>
      </c>
      <c r="K4028" s="505" t="s">
        <v>2102</v>
      </c>
      <c r="L4028" s="505" t="s">
        <v>153</v>
      </c>
    </row>
    <row r="4029" spans="1:12" ht="15.6">
      <c r="A4029" s="486">
        <v>45968</v>
      </c>
      <c r="B4029" s="478" t="s">
        <v>2103</v>
      </c>
      <c r="C4029" s="478" t="s">
        <v>172</v>
      </c>
      <c r="D4029" s="501" t="s">
        <v>117</v>
      </c>
      <c r="E4029" s="481">
        <v>1000</v>
      </c>
      <c r="F4029" s="502">
        <f t="shared" si="63"/>
        <v>1.8744037053212446</v>
      </c>
      <c r="G4029" s="503">
        <v>533.50300000000004</v>
      </c>
      <c r="H4029" s="504" t="s">
        <v>151</v>
      </c>
      <c r="I4029" s="478" t="s">
        <v>4133</v>
      </c>
      <c r="J4029" s="505" t="s">
        <v>96</v>
      </c>
      <c r="K4029" s="505" t="s">
        <v>2102</v>
      </c>
      <c r="L4029" s="505" t="s">
        <v>153</v>
      </c>
    </row>
    <row r="4030" spans="1:12" ht="15.6">
      <c r="A4030" s="511">
        <v>45968</v>
      </c>
      <c r="B4030" s="512" t="s">
        <v>4733</v>
      </c>
      <c r="C4030" s="512" t="s">
        <v>2394</v>
      </c>
      <c r="D4030" s="508" t="s">
        <v>115</v>
      </c>
      <c r="E4030" s="513">
        <v>150000</v>
      </c>
      <c r="F4030" s="502">
        <f t="shared" si="63"/>
        <v>281.16055579818669</v>
      </c>
      <c r="G4030" s="503">
        <v>533.50300000000004</v>
      </c>
      <c r="H4030" s="510" t="s">
        <v>198</v>
      </c>
      <c r="I4030" s="512" t="s">
        <v>4156</v>
      </c>
      <c r="J4030" s="505" t="s">
        <v>96</v>
      </c>
      <c r="K4030" s="505" t="s">
        <v>2102</v>
      </c>
      <c r="L4030" s="505" t="s">
        <v>153</v>
      </c>
    </row>
    <row r="4031" spans="1:12" ht="15.6">
      <c r="A4031" s="511">
        <v>45968</v>
      </c>
      <c r="B4031" s="512" t="s">
        <v>4145</v>
      </c>
      <c r="C4031" s="512" t="s">
        <v>172</v>
      </c>
      <c r="D4031" s="508" t="s">
        <v>115</v>
      </c>
      <c r="E4031" s="513">
        <v>500</v>
      </c>
      <c r="F4031" s="502">
        <f t="shared" si="63"/>
        <v>0.93720185266062228</v>
      </c>
      <c r="G4031" s="503">
        <v>533.50300000000004</v>
      </c>
      <c r="H4031" s="510" t="s">
        <v>198</v>
      </c>
      <c r="I4031" s="512" t="s">
        <v>4153</v>
      </c>
      <c r="J4031" s="505" t="s">
        <v>96</v>
      </c>
      <c r="K4031" s="505" t="s">
        <v>2102</v>
      </c>
      <c r="L4031" s="505" t="s">
        <v>153</v>
      </c>
    </row>
    <row r="4032" spans="1:12" ht="15.6">
      <c r="A4032" s="511">
        <v>45968</v>
      </c>
      <c r="B4032" s="512" t="s">
        <v>1183</v>
      </c>
      <c r="C4032" s="512" t="s">
        <v>172</v>
      </c>
      <c r="D4032" s="508" t="s">
        <v>115</v>
      </c>
      <c r="E4032" s="513">
        <v>7000</v>
      </c>
      <c r="F4032" s="502">
        <f t="shared" si="63"/>
        <v>13.120825937248712</v>
      </c>
      <c r="G4032" s="503">
        <v>533.50300000000004</v>
      </c>
      <c r="H4032" s="510" t="s">
        <v>198</v>
      </c>
      <c r="I4032" s="512" t="s">
        <v>4157</v>
      </c>
      <c r="J4032" s="505" t="s">
        <v>96</v>
      </c>
      <c r="K4032" s="505" t="s">
        <v>2102</v>
      </c>
      <c r="L4032" s="505" t="s">
        <v>153</v>
      </c>
    </row>
    <row r="4033" spans="1:12" ht="15.6">
      <c r="A4033" s="511">
        <v>45968</v>
      </c>
      <c r="B4033" s="512" t="s">
        <v>4146</v>
      </c>
      <c r="C4033" s="512" t="s">
        <v>172</v>
      </c>
      <c r="D4033" s="508" t="s">
        <v>115</v>
      </c>
      <c r="E4033" s="513">
        <v>2000</v>
      </c>
      <c r="F4033" s="502">
        <f t="shared" si="63"/>
        <v>3.7488074106424891</v>
      </c>
      <c r="G4033" s="503">
        <v>533.50300000000004</v>
      </c>
      <c r="H4033" s="510" t="s">
        <v>198</v>
      </c>
      <c r="I4033" s="512" t="s">
        <v>4153</v>
      </c>
      <c r="J4033" s="505" t="s">
        <v>96</v>
      </c>
      <c r="K4033" s="505" t="s">
        <v>2102</v>
      </c>
      <c r="L4033" s="505" t="s">
        <v>153</v>
      </c>
    </row>
    <row r="4034" spans="1:12" ht="15.6">
      <c r="A4034" s="517">
        <v>45968</v>
      </c>
      <c r="B4034" s="519" t="s">
        <v>4192</v>
      </c>
      <c r="C4034" s="519" t="s">
        <v>172</v>
      </c>
      <c r="D4034" s="519" t="s">
        <v>116</v>
      </c>
      <c r="E4034" s="520">
        <v>1000</v>
      </c>
      <c r="F4034" s="502">
        <f t="shared" ref="F4034:F4097" si="64">E4034/G4034</f>
        <v>1.8744037053212446</v>
      </c>
      <c r="G4034" s="503">
        <v>533.50300000000004</v>
      </c>
      <c r="H4034" s="519" t="s">
        <v>581</v>
      </c>
      <c r="I4034" s="519" t="s">
        <v>4213</v>
      </c>
      <c r="J4034" s="505" t="s">
        <v>96</v>
      </c>
      <c r="K4034" s="505" t="s">
        <v>2102</v>
      </c>
      <c r="L4034" s="505" t="s">
        <v>153</v>
      </c>
    </row>
    <row r="4035" spans="1:12" ht="15.6">
      <c r="A4035" s="524">
        <v>45968</v>
      </c>
      <c r="B4035" s="525" t="s">
        <v>4917</v>
      </c>
      <c r="C4035" s="525" t="s">
        <v>172</v>
      </c>
      <c r="D4035" s="510" t="s">
        <v>119</v>
      </c>
      <c r="E4035" s="525">
        <v>1500</v>
      </c>
      <c r="F4035" s="502">
        <f t="shared" si="64"/>
        <v>2.8116055579818666</v>
      </c>
      <c r="G4035" s="503">
        <v>533.50300000000004</v>
      </c>
      <c r="H4035" s="525" t="s">
        <v>182</v>
      </c>
      <c r="I4035" s="525" t="s">
        <v>4237</v>
      </c>
      <c r="J4035" s="505" t="s">
        <v>96</v>
      </c>
      <c r="K4035" s="505" t="s">
        <v>2102</v>
      </c>
      <c r="L4035" s="505" t="s">
        <v>153</v>
      </c>
    </row>
    <row r="4036" spans="1:12" ht="15.6">
      <c r="A4036" s="524">
        <v>45968</v>
      </c>
      <c r="B4036" s="525" t="s">
        <v>4917</v>
      </c>
      <c r="C4036" s="525" t="s">
        <v>172</v>
      </c>
      <c r="D4036" s="510" t="s">
        <v>119</v>
      </c>
      <c r="E4036" s="525">
        <v>3000</v>
      </c>
      <c r="F4036" s="502">
        <f t="shared" si="64"/>
        <v>5.6232111159637332</v>
      </c>
      <c r="G4036" s="503">
        <v>533.50300000000004</v>
      </c>
      <c r="H4036" s="525" t="s">
        <v>182</v>
      </c>
      <c r="I4036" s="525" t="s">
        <v>4237</v>
      </c>
      <c r="J4036" s="505" t="s">
        <v>96</v>
      </c>
      <c r="K4036" s="505" t="s">
        <v>2102</v>
      </c>
      <c r="L4036" s="505" t="s">
        <v>153</v>
      </c>
    </row>
    <row r="4037" spans="1:12" ht="15.6">
      <c r="A4037" s="524">
        <v>45968</v>
      </c>
      <c r="B4037" s="525" t="s">
        <v>4917</v>
      </c>
      <c r="C4037" s="525" t="s">
        <v>172</v>
      </c>
      <c r="D4037" s="510" t="s">
        <v>119</v>
      </c>
      <c r="E4037" s="525">
        <v>2000</v>
      </c>
      <c r="F4037" s="502">
        <f t="shared" si="64"/>
        <v>3.7488074106424891</v>
      </c>
      <c r="G4037" s="503">
        <v>533.50300000000004</v>
      </c>
      <c r="H4037" s="525" t="s">
        <v>182</v>
      </c>
      <c r="I4037" s="525" t="s">
        <v>4237</v>
      </c>
      <c r="J4037" s="505" t="s">
        <v>96</v>
      </c>
      <c r="K4037" s="505" t="s">
        <v>2102</v>
      </c>
      <c r="L4037" s="505" t="s">
        <v>153</v>
      </c>
    </row>
    <row r="4038" spans="1:12" ht="15.6">
      <c r="A4038" s="524">
        <v>45968</v>
      </c>
      <c r="B4038" s="525" t="s">
        <v>4912</v>
      </c>
      <c r="C4038" s="525" t="s">
        <v>172</v>
      </c>
      <c r="D4038" s="510" t="s">
        <v>119</v>
      </c>
      <c r="E4038" s="525">
        <v>2000</v>
      </c>
      <c r="F4038" s="502">
        <f t="shared" si="64"/>
        <v>3.7488074106424891</v>
      </c>
      <c r="G4038" s="503">
        <v>533.50300000000004</v>
      </c>
      <c r="H4038" s="525" t="s">
        <v>182</v>
      </c>
      <c r="I4038" s="525" t="s">
        <v>4237</v>
      </c>
      <c r="J4038" s="505" t="s">
        <v>96</v>
      </c>
      <c r="K4038" s="505" t="s">
        <v>2102</v>
      </c>
      <c r="L4038" s="505" t="s">
        <v>153</v>
      </c>
    </row>
    <row r="4039" spans="1:12" ht="15.6">
      <c r="A4039" s="524">
        <v>45968</v>
      </c>
      <c r="B4039" s="525" t="s">
        <v>4917</v>
      </c>
      <c r="C4039" s="525" t="s">
        <v>172</v>
      </c>
      <c r="D4039" s="510" t="s">
        <v>119</v>
      </c>
      <c r="E4039" s="525">
        <v>3000</v>
      </c>
      <c r="F4039" s="502">
        <f t="shared" si="64"/>
        <v>5.6232111159637332</v>
      </c>
      <c r="G4039" s="503">
        <v>533.50300000000004</v>
      </c>
      <c r="H4039" s="525" t="s">
        <v>182</v>
      </c>
      <c r="I4039" s="525" t="s">
        <v>4237</v>
      </c>
      <c r="J4039" s="505" t="s">
        <v>96</v>
      </c>
      <c r="K4039" s="505" t="s">
        <v>2102</v>
      </c>
      <c r="L4039" s="505" t="s">
        <v>153</v>
      </c>
    </row>
    <row r="4040" spans="1:12" ht="15.6">
      <c r="A4040" s="524">
        <v>45968</v>
      </c>
      <c r="B4040" s="525" t="s">
        <v>4917</v>
      </c>
      <c r="C4040" s="525" t="s">
        <v>172</v>
      </c>
      <c r="D4040" s="510" t="s">
        <v>119</v>
      </c>
      <c r="E4040" s="525">
        <v>1500</v>
      </c>
      <c r="F4040" s="502">
        <f t="shared" si="64"/>
        <v>2.8116055579818666</v>
      </c>
      <c r="G4040" s="503">
        <v>533.50300000000004</v>
      </c>
      <c r="H4040" s="525" t="s">
        <v>182</v>
      </c>
      <c r="I4040" s="525" t="s">
        <v>4237</v>
      </c>
      <c r="J4040" s="505" t="s">
        <v>96</v>
      </c>
      <c r="K4040" s="505" t="s">
        <v>2102</v>
      </c>
      <c r="L4040" s="505" t="s">
        <v>153</v>
      </c>
    </row>
    <row r="4041" spans="1:12" ht="15.6">
      <c r="A4041" s="524">
        <v>45968</v>
      </c>
      <c r="B4041" s="525" t="s">
        <v>4975</v>
      </c>
      <c r="C4041" s="525" t="s">
        <v>366</v>
      </c>
      <c r="D4041" s="510" t="s">
        <v>119</v>
      </c>
      <c r="E4041" s="525">
        <v>900</v>
      </c>
      <c r="F4041" s="502">
        <f t="shared" si="64"/>
        <v>1.6561226855685469</v>
      </c>
      <c r="G4041" s="503">
        <v>543.43799999999999</v>
      </c>
      <c r="H4041" s="525" t="s">
        <v>182</v>
      </c>
      <c r="I4041" s="525" t="s">
        <v>4238</v>
      </c>
      <c r="J4041" s="505" t="s">
        <v>96</v>
      </c>
      <c r="K4041" s="505" t="s">
        <v>4104</v>
      </c>
      <c r="L4041" s="505" t="s">
        <v>153</v>
      </c>
    </row>
    <row r="4042" spans="1:12" ht="15.6">
      <c r="A4042" s="526">
        <v>45968</v>
      </c>
      <c r="B4042" s="519" t="s">
        <v>4876</v>
      </c>
      <c r="C4042" s="519" t="s">
        <v>1011</v>
      </c>
      <c r="D4042" s="510" t="s">
        <v>119</v>
      </c>
      <c r="E4042" s="519">
        <v>2500</v>
      </c>
      <c r="F4042" s="502">
        <f t="shared" si="64"/>
        <v>4.6860092633031112</v>
      </c>
      <c r="G4042" s="503">
        <v>533.50300000000004</v>
      </c>
      <c r="H4042" s="519" t="s">
        <v>173</v>
      </c>
      <c r="I4042" s="519" t="s">
        <v>4263</v>
      </c>
      <c r="J4042" s="505" t="s">
        <v>96</v>
      </c>
      <c r="K4042" s="505" t="s">
        <v>2102</v>
      </c>
      <c r="L4042" s="505" t="s">
        <v>153</v>
      </c>
    </row>
    <row r="4043" spans="1:12" ht="15.6">
      <c r="A4043" s="526">
        <v>45968</v>
      </c>
      <c r="B4043" s="519" t="s">
        <v>4876</v>
      </c>
      <c r="C4043" s="519" t="s">
        <v>1011</v>
      </c>
      <c r="D4043" s="510" t="s">
        <v>119</v>
      </c>
      <c r="E4043" s="519">
        <v>2500</v>
      </c>
      <c r="F4043" s="502">
        <f t="shared" si="64"/>
        <v>4.6860092633031112</v>
      </c>
      <c r="G4043" s="503">
        <v>533.50300000000004</v>
      </c>
      <c r="H4043" s="519" t="s">
        <v>173</v>
      </c>
      <c r="I4043" s="519" t="s">
        <v>4263</v>
      </c>
      <c r="J4043" s="505" t="s">
        <v>96</v>
      </c>
      <c r="K4043" s="505" t="s">
        <v>2102</v>
      </c>
      <c r="L4043" s="505" t="s">
        <v>153</v>
      </c>
    </row>
    <row r="4044" spans="1:12" ht="15.6">
      <c r="A4044" s="526">
        <v>45968</v>
      </c>
      <c r="B4044" s="519" t="s">
        <v>4876</v>
      </c>
      <c r="C4044" s="519" t="s">
        <v>172</v>
      </c>
      <c r="D4044" s="510" t="s">
        <v>119</v>
      </c>
      <c r="E4044" s="519">
        <v>3000</v>
      </c>
      <c r="F4044" s="502">
        <f t="shared" si="64"/>
        <v>5.6232111159637332</v>
      </c>
      <c r="G4044" s="503">
        <v>533.50300000000004</v>
      </c>
      <c r="H4044" s="519" t="s">
        <v>315</v>
      </c>
      <c r="I4044" s="519" t="s">
        <v>4288</v>
      </c>
      <c r="J4044" s="505" t="s">
        <v>96</v>
      </c>
      <c r="K4044" s="505" t="s">
        <v>2102</v>
      </c>
      <c r="L4044" s="505" t="s">
        <v>153</v>
      </c>
    </row>
    <row r="4045" spans="1:12" ht="15.6">
      <c r="A4045" s="526">
        <v>45968</v>
      </c>
      <c r="B4045" s="519" t="s">
        <v>4876</v>
      </c>
      <c r="C4045" s="519" t="s">
        <v>172</v>
      </c>
      <c r="D4045" s="510" t="s">
        <v>119</v>
      </c>
      <c r="E4045" s="519">
        <v>1000</v>
      </c>
      <c r="F4045" s="502">
        <f t="shared" si="64"/>
        <v>1.8744037053212446</v>
      </c>
      <c r="G4045" s="503">
        <v>533.50300000000004</v>
      </c>
      <c r="H4045" s="519" t="s">
        <v>315</v>
      </c>
      <c r="I4045" s="519" t="s">
        <v>4288</v>
      </c>
      <c r="J4045" s="505" t="s">
        <v>96</v>
      </c>
      <c r="K4045" s="505" t="s">
        <v>2102</v>
      </c>
      <c r="L4045" s="505" t="s">
        <v>153</v>
      </c>
    </row>
    <row r="4046" spans="1:12" ht="15.6">
      <c r="A4046" s="526">
        <v>45968</v>
      </c>
      <c r="B4046" s="519" t="s">
        <v>4917</v>
      </c>
      <c r="C4046" s="519" t="s">
        <v>172</v>
      </c>
      <c r="D4046" s="510" t="s">
        <v>119</v>
      </c>
      <c r="E4046" s="519">
        <v>1500</v>
      </c>
      <c r="F4046" s="502">
        <f t="shared" si="64"/>
        <v>2.8116055579818666</v>
      </c>
      <c r="G4046" s="503">
        <v>533.50300000000004</v>
      </c>
      <c r="H4046" s="519" t="s">
        <v>315</v>
      </c>
      <c r="I4046" s="519" t="s">
        <v>4288</v>
      </c>
      <c r="J4046" s="505" t="s">
        <v>96</v>
      </c>
      <c r="K4046" s="505" t="s">
        <v>2102</v>
      </c>
      <c r="L4046" s="505" t="s">
        <v>153</v>
      </c>
    </row>
    <row r="4047" spans="1:12" ht="15.6">
      <c r="A4047" s="526">
        <v>45968</v>
      </c>
      <c r="B4047" s="519" t="s">
        <v>4876</v>
      </c>
      <c r="C4047" s="519" t="s">
        <v>172</v>
      </c>
      <c r="D4047" s="510" t="s">
        <v>119</v>
      </c>
      <c r="E4047" s="519">
        <v>2500</v>
      </c>
      <c r="F4047" s="502">
        <f t="shared" si="64"/>
        <v>4.6860092633031112</v>
      </c>
      <c r="G4047" s="503">
        <v>533.50300000000004</v>
      </c>
      <c r="H4047" s="519" t="s">
        <v>315</v>
      </c>
      <c r="I4047" s="519" t="s">
        <v>4288</v>
      </c>
      <c r="J4047" s="505" t="s">
        <v>96</v>
      </c>
      <c r="K4047" s="505" t="s">
        <v>2102</v>
      </c>
      <c r="L4047" s="505" t="s">
        <v>153</v>
      </c>
    </row>
    <row r="4048" spans="1:12" ht="15.6">
      <c r="A4048" s="526">
        <v>45968</v>
      </c>
      <c r="B4048" s="519" t="s">
        <v>4907</v>
      </c>
      <c r="C4048" s="519" t="s">
        <v>172</v>
      </c>
      <c r="D4048" s="510" t="s">
        <v>119</v>
      </c>
      <c r="E4048" s="521">
        <v>2000</v>
      </c>
      <c r="F4048" s="502">
        <f t="shared" si="64"/>
        <v>3.7488074106424891</v>
      </c>
      <c r="G4048" s="503">
        <v>533.50300000000004</v>
      </c>
      <c r="H4048" s="519" t="s">
        <v>321</v>
      </c>
      <c r="I4048" s="519" t="s">
        <v>4314</v>
      </c>
      <c r="J4048" s="505" t="s">
        <v>96</v>
      </c>
      <c r="K4048" s="505" t="s">
        <v>2102</v>
      </c>
      <c r="L4048" s="505" t="s">
        <v>153</v>
      </c>
    </row>
    <row r="4049" spans="1:12" ht="15.6">
      <c r="A4049" s="526">
        <v>45968</v>
      </c>
      <c r="B4049" s="519" t="s">
        <v>4912</v>
      </c>
      <c r="C4049" s="519" t="s">
        <v>172</v>
      </c>
      <c r="D4049" s="510" t="s">
        <v>119</v>
      </c>
      <c r="E4049" s="521">
        <v>1000</v>
      </c>
      <c r="F4049" s="502">
        <f t="shared" si="64"/>
        <v>1.8744037053212446</v>
      </c>
      <c r="G4049" s="503">
        <v>533.50300000000004</v>
      </c>
      <c r="H4049" s="519" t="s">
        <v>321</v>
      </c>
      <c r="I4049" s="519" t="s">
        <v>4314</v>
      </c>
      <c r="J4049" s="505" t="s">
        <v>96</v>
      </c>
      <c r="K4049" s="505" t="s">
        <v>2102</v>
      </c>
      <c r="L4049" s="505" t="s">
        <v>153</v>
      </c>
    </row>
    <row r="4050" spans="1:12" ht="15.6">
      <c r="A4050" s="526">
        <v>45968</v>
      </c>
      <c r="B4050" s="519" t="s">
        <v>4907</v>
      </c>
      <c r="C4050" s="519" t="s">
        <v>172</v>
      </c>
      <c r="D4050" s="510" t="s">
        <v>119</v>
      </c>
      <c r="E4050" s="521">
        <v>1000</v>
      </c>
      <c r="F4050" s="502">
        <f t="shared" si="64"/>
        <v>1.8744037053212446</v>
      </c>
      <c r="G4050" s="503">
        <v>533.50300000000004</v>
      </c>
      <c r="H4050" s="519" t="s">
        <v>321</v>
      </c>
      <c r="I4050" s="519" t="s">
        <v>4314</v>
      </c>
      <c r="J4050" s="505" t="s">
        <v>96</v>
      </c>
      <c r="K4050" s="505" t="s">
        <v>2102</v>
      </c>
      <c r="L4050" s="505" t="s">
        <v>153</v>
      </c>
    </row>
    <row r="4051" spans="1:12" ht="15.6">
      <c r="A4051" s="526">
        <v>45968</v>
      </c>
      <c r="B4051" s="519" t="s">
        <v>4912</v>
      </c>
      <c r="C4051" s="519" t="s">
        <v>172</v>
      </c>
      <c r="D4051" s="510" t="s">
        <v>119</v>
      </c>
      <c r="E4051" s="521">
        <v>1500</v>
      </c>
      <c r="F4051" s="502">
        <f t="shared" si="64"/>
        <v>2.8116055579818666</v>
      </c>
      <c r="G4051" s="503">
        <v>533.50300000000004</v>
      </c>
      <c r="H4051" s="519" t="s">
        <v>321</v>
      </c>
      <c r="I4051" s="519" t="s">
        <v>4314</v>
      </c>
      <c r="J4051" s="505" t="s">
        <v>96</v>
      </c>
      <c r="K4051" s="505" t="s">
        <v>2102</v>
      </c>
      <c r="L4051" s="505" t="s">
        <v>153</v>
      </c>
    </row>
    <row r="4052" spans="1:12" ht="15.6">
      <c r="A4052" s="515">
        <v>45968</v>
      </c>
      <c r="B4052" s="519" t="s">
        <v>4398</v>
      </c>
      <c r="C4052" s="505" t="s">
        <v>175</v>
      </c>
      <c r="D4052" s="505" t="s">
        <v>115</v>
      </c>
      <c r="E4052" s="528">
        <v>150000</v>
      </c>
      <c r="F4052" s="502">
        <f t="shared" si="64"/>
        <v>281.16055579818669</v>
      </c>
      <c r="G4052" s="503">
        <v>533.50300000000004</v>
      </c>
      <c r="H4052" s="505" t="s">
        <v>191</v>
      </c>
      <c r="I4052" s="519" t="s">
        <v>4411</v>
      </c>
      <c r="J4052" s="505" t="s">
        <v>96</v>
      </c>
      <c r="K4052" s="505" t="s">
        <v>2102</v>
      </c>
      <c r="L4052" s="505" t="s">
        <v>153</v>
      </c>
    </row>
    <row r="4053" spans="1:12" ht="15.6">
      <c r="A4053" s="515">
        <v>45968</v>
      </c>
      <c r="B4053" s="519" t="s">
        <v>4399</v>
      </c>
      <c r="C4053" s="505" t="s">
        <v>172</v>
      </c>
      <c r="D4053" s="505" t="s">
        <v>115</v>
      </c>
      <c r="E4053" s="528">
        <v>1000</v>
      </c>
      <c r="F4053" s="502">
        <f t="shared" si="64"/>
        <v>1.8744037053212446</v>
      </c>
      <c r="G4053" s="503">
        <v>533.50300000000004</v>
      </c>
      <c r="H4053" s="505" t="s">
        <v>191</v>
      </c>
      <c r="I4053" s="519" t="s">
        <v>4405</v>
      </c>
      <c r="J4053" s="505" t="s">
        <v>96</v>
      </c>
      <c r="K4053" s="505" t="s">
        <v>2102</v>
      </c>
      <c r="L4053" s="505" t="s">
        <v>153</v>
      </c>
    </row>
    <row r="4054" spans="1:12" ht="15.6">
      <c r="A4054" s="526">
        <v>45968</v>
      </c>
      <c r="B4054" s="519" t="s">
        <v>4587</v>
      </c>
      <c r="C4054" s="519" t="s">
        <v>172</v>
      </c>
      <c r="D4054" s="519" t="s">
        <v>115</v>
      </c>
      <c r="E4054" s="519">
        <v>1000</v>
      </c>
      <c r="F4054" s="502">
        <f t="shared" si="64"/>
        <v>1.8744037053212446</v>
      </c>
      <c r="G4054" s="503">
        <v>533.50300000000004</v>
      </c>
      <c r="H4054" s="519" t="s">
        <v>185</v>
      </c>
      <c r="I4054" s="519" t="s">
        <v>4631</v>
      </c>
      <c r="J4054" s="505" t="s">
        <v>96</v>
      </c>
      <c r="K4054" s="505" t="s">
        <v>2102</v>
      </c>
      <c r="L4054" s="505" t="s">
        <v>153</v>
      </c>
    </row>
    <row r="4055" spans="1:12" ht="15.6">
      <c r="A4055" s="526">
        <v>45968</v>
      </c>
      <c r="B4055" s="519" t="s">
        <v>3002</v>
      </c>
      <c r="C4055" s="519" t="s">
        <v>172</v>
      </c>
      <c r="D4055" s="519" t="s">
        <v>115</v>
      </c>
      <c r="E4055" s="519">
        <v>1000</v>
      </c>
      <c r="F4055" s="502">
        <f t="shared" si="64"/>
        <v>1.8744037053212446</v>
      </c>
      <c r="G4055" s="503">
        <v>533.50300000000004</v>
      </c>
      <c r="H4055" s="519" t="s">
        <v>185</v>
      </c>
      <c r="I4055" s="519" t="s">
        <v>4631</v>
      </c>
      <c r="J4055" s="505" t="s">
        <v>96</v>
      </c>
      <c r="K4055" s="505" t="s">
        <v>2102</v>
      </c>
      <c r="L4055" s="505" t="s">
        <v>153</v>
      </c>
    </row>
    <row r="4056" spans="1:12" ht="15.6">
      <c r="A4056" s="526">
        <v>45968</v>
      </c>
      <c r="B4056" s="519" t="s">
        <v>4588</v>
      </c>
      <c r="C4056" s="519" t="s">
        <v>172</v>
      </c>
      <c r="D4056" s="519" t="s">
        <v>115</v>
      </c>
      <c r="E4056" s="519">
        <v>1000</v>
      </c>
      <c r="F4056" s="502">
        <f t="shared" si="64"/>
        <v>1.8744037053212446</v>
      </c>
      <c r="G4056" s="503">
        <v>533.50300000000004</v>
      </c>
      <c r="H4056" s="519" t="s">
        <v>185</v>
      </c>
      <c r="I4056" s="519" t="s">
        <v>4631</v>
      </c>
      <c r="J4056" s="505" t="s">
        <v>96</v>
      </c>
      <c r="K4056" s="505" t="s">
        <v>2102</v>
      </c>
      <c r="L4056" s="505" t="s">
        <v>153</v>
      </c>
    </row>
    <row r="4057" spans="1:12" ht="15.6">
      <c r="A4057" s="526">
        <v>45968</v>
      </c>
      <c r="B4057" s="519" t="s">
        <v>4586</v>
      </c>
      <c r="C4057" s="519" t="s">
        <v>172</v>
      </c>
      <c r="D4057" s="519" t="s">
        <v>115</v>
      </c>
      <c r="E4057" s="519">
        <v>2500</v>
      </c>
      <c r="F4057" s="502">
        <f t="shared" si="64"/>
        <v>4.6860092633031112</v>
      </c>
      <c r="G4057" s="503">
        <v>533.50300000000004</v>
      </c>
      <c r="H4057" s="519" t="s">
        <v>185</v>
      </c>
      <c r="I4057" s="519" t="s">
        <v>4631</v>
      </c>
      <c r="J4057" s="505" t="s">
        <v>96</v>
      </c>
      <c r="K4057" s="505" t="s">
        <v>2102</v>
      </c>
      <c r="L4057" s="505" t="s">
        <v>153</v>
      </c>
    </row>
    <row r="4058" spans="1:12" ht="15.6">
      <c r="A4058" s="517">
        <v>45969</v>
      </c>
      <c r="B4058" s="519" t="s">
        <v>4193</v>
      </c>
      <c r="C4058" s="519" t="s">
        <v>172</v>
      </c>
      <c r="D4058" s="519" t="s">
        <v>116</v>
      </c>
      <c r="E4058" s="520">
        <v>1000</v>
      </c>
      <c r="F4058" s="502">
        <f t="shared" si="64"/>
        <v>1.8744037053212446</v>
      </c>
      <c r="G4058" s="503">
        <v>533.50300000000004</v>
      </c>
      <c r="H4058" s="519" t="s">
        <v>581</v>
      </c>
      <c r="I4058" s="519" t="s">
        <v>4213</v>
      </c>
      <c r="J4058" s="505" t="s">
        <v>96</v>
      </c>
      <c r="K4058" s="505" t="s">
        <v>2102</v>
      </c>
      <c r="L4058" s="505" t="s">
        <v>153</v>
      </c>
    </row>
    <row r="4059" spans="1:12" ht="15.6">
      <c r="A4059" s="517">
        <v>45969</v>
      </c>
      <c r="B4059" s="519" t="s">
        <v>4194</v>
      </c>
      <c r="C4059" s="519" t="s">
        <v>172</v>
      </c>
      <c r="D4059" s="519" t="s">
        <v>116</v>
      </c>
      <c r="E4059" s="520">
        <v>1000</v>
      </c>
      <c r="F4059" s="502">
        <f t="shared" si="64"/>
        <v>1.8744037053212446</v>
      </c>
      <c r="G4059" s="503">
        <v>533.50300000000004</v>
      </c>
      <c r="H4059" s="519" t="s">
        <v>581</v>
      </c>
      <c r="I4059" s="519" t="s">
        <v>4213</v>
      </c>
      <c r="J4059" s="505" t="s">
        <v>96</v>
      </c>
      <c r="K4059" s="505" t="s">
        <v>2102</v>
      </c>
      <c r="L4059" s="505" t="s">
        <v>153</v>
      </c>
    </row>
    <row r="4060" spans="1:12" ht="15.6">
      <c r="A4060" s="526">
        <v>45969</v>
      </c>
      <c r="B4060" s="519" t="s">
        <v>3551</v>
      </c>
      <c r="C4060" s="519" t="s">
        <v>172</v>
      </c>
      <c r="D4060" s="519" t="s">
        <v>115</v>
      </c>
      <c r="E4060" s="520">
        <v>1500</v>
      </c>
      <c r="F4060" s="502">
        <f t="shared" si="64"/>
        <v>2.8116055579818666</v>
      </c>
      <c r="G4060" s="503">
        <v>533.50300000000004</v>
      </c>
      <c r="H4060" s="519" t="s">
        <v>188</v>
      </c>
      <c r="I4060" s="519" t="s">
        <v>4359</v>
      </c>
      <c r="J4060" s="505" t="s">
        <v>96</v>
      </c>
      <c r="K4060" s="505" t="s">
        <v>2102</v>
      </c>
      <c r="L4060" s="505" t="s">
        <v>153</v>
      </c>
    </row>
    <row r="4061" spans="1:12" ht="15.6">
      <c r="A4061" s="526">
        <v>45969</v>
      </c>
      <c r="B4061" s="519" t="s">
        <v>2843</v>
      </c>
      <c r="C4061" s="519" t="s">
        <v>172</v>
      </c>
      <c r="D4061" s="519" t="s">
        <v>115</v>
      </c>
      <c r="E4061" s="520">
        <v>1500</v>
      </c>
      <c r="F4061" s="502">
        <f t="shared" si="64"/>
        <v>2.8116055579818666</v>
      </c>
      <c r="G4061" s="503">
        <v>533.50300000000004</v>
      </c>
      <c r="H4061" s="519" t="s">
        <v>188</v>
      </c>
      <c r="I4061" s="519" t="s">
        <v>4359</v>
      </c>
      <c r="J4061" s="505" t="s">
        <v>96</v>
      </c>
      <c r="K4061" s="505" t="s">
        <v>2102</v>
      </c>
      <c r="L4061" s="505" t="s">
        <v>153</v>
      </c>
    </row>
    <row r="4062" spans="1:12" ht="15.6">
      <c r="A4062" s="486">
        <v>45971</v>
      </c>
      <c r="B4062" s="478" t="s">
        <v>2107</v>
      </c>
      <c r="C4062" s="478" t="s">
        <v>172</v>
      </c>
      <c r="D4062" s="501" t="s">
        <v>117</v>
      </c>
      <c r="E4062" s="481">
        <v>1000</v>
      </c>
      <c r="F4062" s="502">
        <f t="shared" si="64"/>
        <v>1.8744037053212446</v>
      </c>
      <c r="G4062" s="503">
        <v>533.50300000000004</v>
      </c>
      <c r="H4062" s="504" t="s">
        <v>151</v>
      </c>
      <c r="I4062" s="478" t="s">
        <v>4133</v>
      </c>
      <c r="J4062" s="505" t="s">
        <v>96</v>
      </c>
      <c r="K4062" s="505" t="s">
        <v>2102</v>
      </c>
      <c r="L4062" s="505" t="s">
        <v>153</v>
      </c>
    </row>
    <row r="4063" spans="1:12" ht="15.6">
      <c r="A4063" s="486">
        <v>45971</v>
      </c>
      <c r="B4063" s="478" t="s">
        <v>2108</v>
      </c>
      <c r="C4063" s="478" t="s">
        <v>172</v>
      </c>
      <c r="D4063" s="501" t="s">
        <v>117</v>
      </c>
      <c r="E4063" s="481">
        <v>1000</v>
      </c>
      <c r="F4063" s="502">
        <f t="shared" si="64"/>
        <v>1.8744037053212446</v>
      </c>
      <c r="G4063" s="503">
        <v>533.50300000000004</v>
      </c>
      <c r="H4063" s="504" t="s">
        <v>151</v>
      </c>
      <c r="I4063" s="478" t="s">
        <v>4133</v>
      </c>
      <c r="J4063" s="505" t="s">
        <v>96</v>
      </c>
      <c r="K4063" s="505" t="s">
        <v>2102</v>
      </c>
      <c r="L4063" s="505" t="s">
        <v>153</v>
      </c>
    </row>
    <row r="4064" spans="1:12" ht="15.6">
      <c r="A4064" s="486">
        <v>45971</v>
      </c>
      <c r="B4064" s="478" t="s">
        <v>2104</v>
      </c>
      <c r="C4064" s="478" t="s">
        <v>172</v>
      </c>
      <c r="D4064" s="501" t="s">
        <v>117</v>
      </c>
      <c r="E4064" s="481">
        <v>1000</v>
      </c>
      <c r="F4064" s="502">
        <f t="shared" si="64"/>
        <v>1.8744037053212446</v>
      </c>
      <c r="G4064" s="503">
        <v>533.50300000000004</v>
      </c>
      <c r="H4064" s="504" t="s">
        <v>151</v>
      </c>
      <c r="I4064" s="478" t="s">
        <v>4133</v>
      </c>
      <c r="J4064" s="505" t="s">
        <v>96</v>
      </c>
      <c r="K4064" s="505" t="s">
        <v>2102</v>
      </c>
      <c r="L4064" s="505" t="s">
        <v>153</v>
      </c>
    </row>
    <row r="4065" spans="1:12" ht="15.6">
      <c r="A4065" s="486">
        <v>45971</v>
      </c>
      <c r="B4065" s="298" t="s">
        <v>4124</v>
      </c>
      <c r="C4065" s="506" t="s">
        <v>150</v>
      </c>
      <c r="D4065" s="506" t="s">
        <v>117</v>
      </c>
      <c r="E4065" s="481">
        <v>12500</v>
      </c>
      <c r="F4065" s="502">
        <f t="shared" si="64"/>
        <v>23.430046316515558</v>
      </c>
      <c r="G4065" s="503">
        <v>533.50300000000004</v>
      </c>
      <c r="H4065" s="504" t="s">
        <v>151</v>
      </c>
      <c r="I4065" s="478" t="s">
        <v>4137</v>
      </c>
      <c r="J4065" s="505" t="s">
        <v>96</v>
      </c>
      <c r="K4065" s="505" t="s">
        <v>2102</v>
      </c>
      <c r="L4065" s="505" t="s">
        <v>153</v>
      </c>
    </row>
    <row r="4066" spans="1:12" ht="15.6">
      <c r="A4066" s="511">
        <v>45971</v>
      </c>
      <c r="B4066" s="514" t="s">
        <v>4147</v>
      </c>
      <c r="C4066" s="514" t="s">
        <v>150</v>
      </c>
      <c r="D4066" s="514" t="s">
        <v>115</v>
      </c>
      <c r="E4066" s="513">
        <v>10000</v>
      </c>
      <c r="F4066" s="502">
        <f t="shared" si="64"/>
        <v>18.744037053212445</v>
      </c>
      <c r="G4066" s="503">
        <v>533.50300000000004</v>
      </c>
      <c r="H4066" s="510" t="s">
        <v>198</v>
      </c>
      <c r="I4066" s="512" t="s">
        <v>4158</v>
      </c>
      <c r="J4066" s="505" t="s">
        <v>96</v>
      </c>
      <c r="K4066" s="505" t="s">
        <v>2102</v>
      </c>
      <c r="L4066" s="505" t="s">
        <v>153</v>
      </c>
    </row>
    <row r="4067" spans="1:12" ht="15.6">
      <c r="A4067" s="515">
        <v>45971</v>
      </c>
      <c r="B4067" s="514" t="s">
        <v>4148</v>
      </c>
      <c r="C4067" s="516" t="s">
        <v>263</v>
      </c>
      <c r="D4067" s="516" t="s">
        <v>2417</v>
      </c>
      <c r="E4067" s="513">
        <v>30000</v>
      </c>
      <c r="F4067" s="502">
        <f t="shared" si="64"/>
        <v>56.232111159637334</v>
      </c>
      <c r="G4067" s="503">
        <v>533.50300000000004</v>
      </c>
      <c r="H4067" s="516" t="s">
        <v>198</v>
      </c>
      <c r="I4067" s="514" t="s">
        <v>4159</v>
      </c>
      <c r="J4067" s="505" t="s">
        <v>96</v>
      </c>
      <c r="K4067" s="505" t="s">
        <v>2102</v>
      </c>
      <c r="L4067" s="505" t="s">
        <v>153</v>
      </c>
    </row>
    <row r="4068" spans="1:12" ht="15.6">
      <c r="A4068" s="517">
        <v>45971</v>
      </c>
      <c r="B4068" s="519" t="s">
        <v>3405</v>
      </c>
      <c r="C4068" s="519" t="s">
        <v>172</v>
      </c>
      <c r="D4068" s="519" t="s">
        <v>116</v>
      </c>
      <c r="E4068" s="520">
        <v>1000</v>
      </c>
      <c r="F4068" s="502">
        <f t="shared" si="64"/>
        <v>1.8744037053212446</v>
      </c>
      <c r="G4068" s="503">
        <v>533.50300000000004</v>
      </c>
      <c r="H4068" s="519" t="s">
        <v>581</v>
      </c>
      <c r="I4068" s="519" t="s">
        <v>4213</v>
      </c>
      <c r="J4068" s="505" t="s">
        <v>96</v>
      </c>
      <c r="K4068" s="505" t="s">
        <v>2102</v>
      </c>
      <c r="L4068" s="505" t="s">
        <v>153</v>
      </c>
    </row>
    <row r="4069" spans="1:12" ht="15.6">
      <c r="A4069" s="517">
        <v>45971</v>
      </c>
      <c r="B4069" s="519" t="s">
        <v>3406</v>
      </c>
      <c r="C4069" s="519" t="s">
        <v>172</v>
      </c>
      <c r="D4069" s="519" t="s">
        <v>116</v>
      </c>
      <c r="E4069" s="520">
        <v>1000</v>
      </c>
      <c r="F4069" s="502">
        <f t="shared" si="64"/>
        <v>1.8744037053212446</v>
      </c>
      <c r="G4069" s="503">
        <v>533.50300000000004</v>
      </c>
      <c r="H4069" s="519" t="s">
        <v>581</v>
      </c>
      <c r="I4069" s="519" t="s">
        <v>4213</v>
      </c>
      <c r="J4069" s="505" t="s">
        <v>96</v>
      </c>
      <c r="K4069" s="505" t="s">
        <v>2102</v>
      </c>
      <c r="L4069" s="505" t="s">
        <v>153</v>
      </c>
    </row>
    <row r="4070" spans="1:12" ht="15.6">
      <c r="A4070" s="517">
        <v>45971</v>
      </c>
      <c r="B4070" s="519" t="s">
        <v>4195</v>
      </c>
      <c r="C4070" s="519" t="s">
        <v>172</v>
      </c>
      <c r="D4070" s="519" t="s">
        <v>116</v>
      </c>
      <c r="E4070" s="520">
        <v>1000</v>
      </c>
      <c r="F4070" s="502">
        <f t="shared" si="64"/>
        <v>1.8744037053212446</v>
      </c>
      <c r="G4070" s="503">
        <v>533.50300000000004</v>
      </c>
      <c r="H4070" s="519" t="s">
        <v>581</v>
      </c>
      <c r="I4070" s="519" t="s">
        <v>4213</v>
      </c>
      <c r="J4070" s="505" t="s">
        <v>96</v>
      </c>
      <c r="K4070" s="505" t="s">
        <v>2102</v>
      </c>
      <c r="L4070" s="505" t="s">
        <v>153</v>
      </c>
    </row>
    <row r="4071" spans="1:12" ht="15.6">
      <c r="A4071" s="517">
        <v>45971</v>
      </c>
      <c r="B4071" s="519" t="s">
        <v>4196</v>
      </c>
      <c r="C4071" s="521" t="s">
        <v>150</v>
      </c>
      <c r="D4071" s="519" t="s">
        <v>117</v>
      </c>
      <c r="E4071" s="520">
        <v>7500</v>
      </c>
      <c r="F4071" s="502">
        <f t="shared" si="64"/>
        <v>14.058027789909334</v>
      </c>
      <c r="G4071" s="503">
        <v>533.50300000000004</v>
      </c>
      <c r="H4071" s="519" t="s">
        <v>581</v>
      </c>
      <c r="I4071" s="519" t="s">
        <v>4218</v>
      </c>
      <c r="J4071" s="505" t="s">
        <v>96</v>
      </c>
      <c r="K4071" s="505" t="s">
        <v>2102</v>
      </c>
      <c r="L4071" s="505" t="s">
        <v>153</v>
      </c>
    </row>
    <row r="4072" spans="1:12" ht="15.6">
      <c r="A4072" s="524">
        <v>45971</v>
      </c>
      <c r="B4072" s="510" t="s">
        <v>4234</v>
      </c>
      <c r="C4072" s="510" t="s">
        <v>150</v>
      </c>
      <c r="D4072" s="510" t="s">
        <v>119</v>
      </c>
      <c r="E4072" s="525">
        <v>10000</v>
      </c>
      <c r="F4072" s="502">
        <f t="shared" si="64"/>
        <v>18.744037053212445</v>
      </c>
      <c r="G4072" s="503">
        <v>533.50300000000004</v>
      </c>
      <c r="H4072" s="525" t="s">
        <v>182</v>
      </c>
      <c r="I4072" s="510" t="s">
        <v>4240</v>
      </c>
      <c r="J4072" s="505" t="s">
        <v>96</v>
      </c>
      <c r="K4072" s="505" t="s">
        <v>2102</v>
      </c>
      <c r="L4072" s="505" t="s">
        <v>153</v>
      </c>
    </row>
    <row r="4073" spans="1:12" ht="15.6">
      <c r="A4073" s="526">
        <v>45971</v>
      </c>
      <c r="B4073" s="510" t="s">
        <v>4257</v>
      </c>
      <c r="C4073" s="510" t="s">
        <v>150</v>
      </c>
      <c r="D4073" s="510" t="s">
        <v>119</v>
      </c>
      <c r="E4073" s="519">
        <v>10000</v>
      </c>
      <c r="F4073" s="502">
        <f t="shared" si="64"/>
        <v>18.744037053212445</v>
      </c>
      <c r="G4073" s="503">
        <v>533.50300000000004</v>
      </c>
      <c r="H4073" s="519" t="s">
        <v>173</v>
      </c>
      <c r="I4073" s="505" t="s">
        <v>4266</v>
      </c>
      <c r="J4073" s="505" t="s">
        <v>96</v>
      </c>
      <c r="K4073" s="505" t="s">
        <v>2102</v>
      </c>
      <c r="L4073" s="505" t="s">
        <v>153</v>
      </c>
    </row>
    <row r="4074" spans="1:12" ht="15.6">
      <c r="A4074" s="526">
        <v>45971</v>
      </c>
      <c r="B4074" s="505" t="s">
        <v>4280</v>
      </c>
      <c r="C4074" s="505" t="s">
        <v>150</v>
      </c>
      <c r="D4074" s="510" t="s">
        <v>119</v>
      </c>
      <c r="E4074" s="519">
        <v>10000</v>
      </c>
      <c r="F4074" s="502">
        <f t="shared" si="64"/>
        <v>18.744037053212445</v>
      </c>
      <c r="G4074" s="503">
        <v>533.50300000000004</v>
      </c>
      <c r="H4074" s="519" t="s">
        <v>315</v>
      </c>
      <c r="I4074" s="519" t="s">
        <v>4290</v>
      </c>
      <c r="J4074" s="505" t="s">
        <v>96</v>
      </c>
      <c r="K4074" s="505" t="s">
        <v>2102</v>
      </c>
      <c r="L4074" s="505" t="s">
        <v>153</v>
      </c>
    </row>
    <row r="4075" spans="1:12" ht="15.6">
      <c r="A4075" s="526">
        <v>45971</v>
      </c>
      <c r="B4075" s="505" t="s">
        <v>4308</v>
      </c>
      <c r="C4075" s="505" t="s">
        <v>150</v>
      </c>
      <c r="D4075" s="510" t="s">
        <v>119</v>
      </c>
      <c r="E4075" s="521">
        <v>10000</v>
      </c>
      <c r="F4075" s="502">
        <f t="shared" si="64"/>
        <v>18.744037053212445</v>
      </c>
      <c r="G4075" s="503">
        <v>533.50300000000004</v>
      </c>
      <c r="H4075" s="519" t="s">
        <v>321</v>
      </c>
      <c r="I4075" s="505" t="s">
        <v>4315</v>
      </c>
      <c r="J4075" s="505" t="s">
        <v>96</v>
      </c>
      <c r="K4075" s="505" t="s">
        <v>2102</v>
      </c>
      <c r="L4075" s="505" t="s">
        <v>153</v>
      </c>
    </row>
    <row r="4076" spans="1:12" ht="15.6">
      <c r="A4076" s="526">
        <v>45971</v>
      </c>
      <c r="B4076" s="519" t="s">
        <v>1313</v>
      </c>
      <c r="C4076" s="519" t="s">
        <v>172</v>
      </c>
      <c r="D4076" s="519" t="s">
        <v>115</v>
      </c>
      <c r="E4076" s="520">
        <v>8000</v>
      </c>
      <c r="F4076" s="502">
        <f t="shared" si="64"/>
        <v>14.995229642569956</v>
      </c>
      <c r="G4076" s="503">
        <v>533.50300000000004</v>
      </c>
      <c r="H4076" s="519" t="s">
        <v>188</v>
      </c>
      <c r="I4076" s="519" t="s">
        <v>4367</v>
      </c>
      <c r="J4076" s="505" t="s">
        <v>96</v>
      </c>
      <c r="K4076" s="505" t="s">
        <v>2102</v>
      </c>
      <c r="L4076" s="505" t="s">
        <v>153</v>
      </c>
    </row>
    <row r="4077" spans="1:12" ht="15.6">
      <c r="A4077" s="526">
        <v>45971</v>
      </c>
      <c r="B4077" s="519" t="s">
        <v>2843</v>
      </c>
      <c r="C4077" s="519" t="s">
        <v>172</v>
      </c>
      <c r="D4077" s="519" t="s">
        <v>115</v>
      </c>
      <c r="E4077" s="520">
        <v>1000</v>
      </c>
      <c r="F4077" s="502">
        <f t="shared" si="64"/>
        <v>1.8744037053212446</v>
      </c>
      <c r="G4077" s="503">
        <v>533.50300000000004</v>
      </c>
      <c r="H4077" s="519" t="s">
        <v>188</v>
      </c>
      <c r="I4077" s="519" t="s">
        <v>4359</v>
      </c>
      <c r="J4077" s="505" t="s">
        <v>96</v>
      </c>
      <c r="K4077" s="505" t="s">
        <v>2102</v>
      </c>
      <c r="L4077" s="505" t="s">
        <v>153</v>
      </c>
    </row>
    <row r="4078" spans="1:12" ht="15.6">
      <c r="A4078" s="526">
        <v>45971</v>
      </c>
      <c r="B4078" s="505" t="s">
        <v>4340</v>
      </c>
      <c r="C4078" s="505" t="s">
        <v>150</v>
      </c>
      <c r="D4078" s="505" t="s">
        <v>115</v>
      </c>
      <c r="E4078" s="520">
        <v>7500</v>
      </c>
      <c r="F4078" s="502">
        <f t="shared" si="64"/>
        <v>14.058027789909334</v>
      </c>
      <c r="G4078" s="503">
        <v>533.50300000000004</v>
      </c>
      <c r="H4078" s="519" t="s">
        <v>188</v>
      </c>
      <c r="I4078" s="519" t="s">
        <v>4368</v>
      </c>
      <c r="J4078" s="505" t="s">
        <v>96</v>
      </c>
      <c r="K4078" s="505" t="s">
        <v>2102</v>
      </c>
      <c r="L4078" s="505" t="s">
        <v>153</v>
      </c>
    </row>
    <row r="4079" spans="1:12" ht="15.6">
      <c r="A4079" s="515">
        <v>45971</v>
      </c>
      <c r="B4079" s="505" t="s">
        <v>4400</v>
      </c>
      <c r="C4079" s="505" t="s">
        <v>150</v>
      </c>
      <c r="D4079" s="505" t="s">
        <v>115</v>
      </c>
      <c r="E4079" s="528">
        <v>7500</v>
      </c>
      <c r="F4079" s="502">
        <f t="shared" si="64"/>
        <v>14.058027789909334</v>
      </c>
      <c r="G4079" s="503">
        <v>533.50300000000004</v>
      </c>
      <c r="H4079" s="505" t="s">
        <v>191</v>
      </c>
      <c r="I4079" s="519" t="s">
        <v>4412</v>
      </c>
      <c r="J4079" s="505" t="s">
        <v>96</v>
      </c>
      <c r="K4079" s="505" t="s">
        <v>2102</v>
      </c>
      <c r="L4079" s="505" t="s">
        <v>153</v>
      </c>
    </row>
    <row r="4080" spans="1:12" ht="15.6">
      <c r="A4080" s="515">
        <v>45971</v>
      </c>
      <c r="B4080" s="505" t="s">
        <v>4401</v>
      </c>
      <c r="C4080" s="519" t="s">
        <v>263</v>
      </c>
      <c r="D4080" s="519" t="s">
        <v>2417</v>
      </c>
      <c r="E4080" s="528">
        <v>25000</v>
      </c>
      <c r="F4080" s="502">
        <f t="shared" si="64"/>
        <v>46.860092633031115</v>
      </c>
      <c r="G4080" s="503">
        <v>533.50300000000004</v>
      </c>
      <c r="H4080" s="519" t="s">
        <v>191</v>
      </c>
      <c r="I4080" s="505" t="s">
        <v>4413</v>
      </c>
      <c r="J4080" s="505" t="s">
        <v>96</v>
      </c>
      <c r="K4080" s="505" t="s">
        <v>2102</v>
      </c>
      <c r="L4080" s="505" t="s">
        <v>153</v>
      </c>
    </row>
    <row r="4081" spans="1:12" ht="15.6">
      <c r="A4081" s="529">
        <v>45971</v>
      </c>
      <c r="B4081" s="505" t="s">
        <v>4417</v>
      </c>
      <c r="C4081" s="298" t="s">
        <v>150</v>
      </c>
      <c r="D4081" s="298" t="s">
        <v>115</v>
      </c>
      <c r="E4081" s="530">
        <v>10000</v>
      </c>
      <c r="F4081" s="502">
        <f t="shared" si="64"/>
        <v>18.744037053212445</v>
      </c>
      <c r="G4081" s="503">
        <v>533.50300000000004</v>
      </c>
      <c r="H4081" s="298" t="s">
        <v>435</v>
      </c>
      <c r="I4081" s="505" t="s">
        <v>4445</v>
      </c>
      <c r="J4081" s="505" t="s">
        <v>96</v>
      </c>
      <c r="K4081" s="505" t="s">
        <v>2102</v>
      </c>
      <c r="L4081" s="505" t="s">
        <v>153</v>
      </c>
    </row>
    <row r="4082" spans="1:12" ht="15.6">
      <c r="A4082" s="532">
        <v>45971</v>
      </c>
      <c r="B4082" s="514" t="s">
        <v>4496</v>
      </c>
      <c r="C4082" s="514" t="s">
        <v>150</v>
      </c>
      <c r="D4082" s="516" t="s">
        <v>118</v>
      </c>
      <c r="E4082" s="533">
        <v>10000</v>
      </c>
      <c r="F4082" s="502">
        <f t="shared" si="64"/>
        <v>18.744037053212445</v>
      </c>
      <c r="G4082" s="503">
        <v>533.50300000000004</v>
      </c>
      <c r="H4082" s="516" t="s">
        <v>211</v>
      </c>
      <c r="I4082" s="516" t="s">
        <v>4566</v>
      </c>
      <c r="J4082" s="505" t="s">
        <v>96</v>
      </c>
      <c r="K4082" s="505" t="s">
        <v>2102</v>
      </c>
      <c r="L4082" s="505" t="s">
        <v>153</v>
      </c>
    </row>
    <row r="4083" spans="1:12" ht="15.6">
      <c r="A4083" s="515">
        <v>45971</v>
      </c>
      <c r="B4083" s="519" t="s">
        <v>4589</v>
      </c>
      <c r="C4083" s="505" t="s">
        <v>172</v>
      </c>
      <c r="D4083" s="519" t="s">
        <v>115</v>
      </c>
      <c r="E4083" s="518">
        <v>22000</v>
      </c>
      <c r="F4083" s="502">
        <f t="shared" si="64"/>
        <v>41.236881517067381</v>
      </c>
      <c r="G4083" s="503">
        <v>533.50300000000004</v>
      </c>
      <c r="H4083" s="519" t="s">
        <v>185</v>
      </c>
      <c r="I4083" s="505" t="s">
        <v>4635</v>
      </c>
      <c r="J4083" s="505" t="s">
        <v>96</v>
      </c>
      <c r="K4083" s="505" t="s">
        <v>2102</v>
      </c>
      <c r="L4083" s="505" t="s">
        <v>153</v>
      </c>
    </row>
    <row r="4084" spans="1:12" ht="15.6">
      <c r="A4084" s="515">
        <v>45971</v>
      </c>
      <c r="B4084" s="519" t="s">
        <v>4590</v>
      </c>
      <c r="C4084" s="505" t="s">
        <v>175</v>
      </c>
      <c r="D4084" s="519" t="s">
        <v>115</v>
      </c>
      <c r="E4084" s="518">
        <v>50000</v>
      </c>
      <c r="F4084" s="502">
        <f t="shared" si="64"/>
        <v>93.720185266062231</v>
      </c>
      <c r="G4084" s="503">
        <v>533.50300000000004</v>
      </c>
      <c r="H4084" s="519" t="s">
        <v>185</v>
      </c>
      <c r="I4084" s="505" t="s">
        <v>4636</v>
      </c>
      <c r="J4084" s="505" t="s">
        <v>96</v>
      </c>
      <c r="K4084" s="505" t="s">
        <v>2102</v>
      </c>
      <c r="L4084" s="505" t="s">
        <v>153</v>
      </c>
    </row>
    <row r="4085" spans="1:12" ht="15.6">
      <c r="A4085" s="526">
        <v>45971</v>
      </c>
      <c r="B4085" s="519" t="s">
        <v>4591</v>
      </c>
      <c r="C4085" s="519" t="s">
        <v>172</v>
      </c>
      <c r="D4085" s="519" t="s">
        <v>115</v>
      </c>
      <c r="E4085" s="519">
        <v>1000</v>
      </c>
      <c r="F4085" s="502">
        <f t="shared" si="64"/>
        <v>1.8744037053212446</v>
      </c>
      <c r="G4085" s="503">
        <v>533.50300000000004</v>
      </c>
      <c r="H4085" s="519" t="s">
        <v>185</v>
      </c>
      <c r="I4085" s="519" t="s">
        <v>4631</v>
      </c>
      <c r="J4085" s="505" t="s">
        <v>96</v>
      </c>
      <c r="K4085" s="505" t="s">
        <v>2102</v>
      </c>
      <c r="L4085" s="505" t="s">
        <v>153</v>
      </c>
    </row>
    <row r="4086" spans="1:12" ht="15.6">
      <c r="A4086" s="526">
        <v>45971</v>
      </c>
      <c r="B4086" s="519" t="s">
        <v>3002</v>
      </c>
      <c r="C4086" s="519" t="s">
        <v>172</v>
      </c>
      <c r="D4086" s="519" t="s">
        <v>115</v>
      </c>
      <c r="E4086" s="519">
        <v>1000</v>
      </c>
      <c r="F4086" s="502">
        <f t="shared" si="64"/>
        <v>1.8744037053212446</v>
      </c>
      <c r="G4086" s="503">
        <v>533.50300000000004</v>
      </c>
      <c r="H4086" s="519" t="s">
        <v>185</v>
      </c>
      <c r="I4086" s="519" t="s">
        <v>4631</v>
      </c>
      <c r="J4086" s="505" t="s">
        <v>96</v>
      </c>
      <c r="K4086" s="505" t="s">
        <v>2102</v>
      </c>
      <c r="L4086" s="505" t="s">
        <v>153</v>
      </c>
    </row>
    <row r="4087" spans="1:12" ht="15.6">
      <c r="A4087" s="526">
        <v>45971</v>
      </c>
      <c r="B4087" s="519" t="s">
        <v>3945</v>
      </c>
      <c r="C4087" s="519" t="s">
        <v>172</v>
      </c>
      <c r="D4087" s="519" t="s">
        <v>115</v>
      </c>
      <c r="E4087" s="519">
        <v>1000</v>
      </c>
      <c r="F4087" s="502">
        <f t="shared" si="64"/>
        <v>1.8744037053212446</v>
      </c>
      <c r="G4087" s="503">
        <v>533.50300000000004</v>
      </c>
      <c r="H4087" s="519" t="s">
        <v>185</v>
      </c>
      <c r="I4087" s="519" t="s">
        <v>4631</v>
      </c>
      <c r="J4087" s="505" t="s">
        <v>96</v>
      </c>
      <c r="K4087" s="505" t="s">
        <v>2102</v>
      </c>
      <c r="L4087" s="505" t="s">
        <v>153</v>
      </c>
    </row>
    <row r="4088" spans="1:12" ht="15.6">
      <c r="A4088" s="526">
        <v>45971</v>
      </c>
      <c r="B4088" s="519" t="s">
        <v>4592</v>
      </c>
      <c r="C4088" s="519" t="s">
        <v>172</v>
      </c>
      <c r="D4088" s="519" t="s">
        <v>115</v>
      </c>
      <c r="E4088" s="519">
        <v>1000</v>
      </c>
      <c r="F4088" s="502">
        <f t="shared" si="64"/>
        <v>1.8744037053212446</v>
      </c>
      <c r="G4088" s="503">
        <v>533.50300000000004</v>
      </c>
      <c r="H4088" s="519" t="s">
        <v>185</v>
      </c>
      <c r="I4088" s="519" t="s">
        <v>4631</v>
      </c>
      <c r="J4088" s="505" t="s">
        <v>96</v>
      </c>
      <c r="K4088" s="505" t="s">
        <v>2102</v>
      </c>
      <c r="L4088" s="505" t="s">
        <v>153</v>
      </c>
    </row>
    <row r="4089" spans="1:12" ht="15.6">
      <c r="A4089" s="526">
        <v>45971</v>
      </c>
      <c r="B4089" s="519" t="s">
        <v>4593</v>
      </c>
      <c r="C4089" s="519" t="s">
        <v>172</v>
      </c>
      <c r="D4089" s="519" t="s">
        <v>115</v>
      </c>
      <c r="E4089" s="519">
        <v>1000</v>
      </c>
      <c r="F4089" s="502">
        <f t="shared" si="64"/>
        <v>1.8744037053212446</v>
      </c>
      <c r="G4089" s="503">
        <v>533.50300000000004</v>
      </c>
      <c r="H4089" s="519" t="s">
        <v>185</v>
      </c>
      <c r="I4089" s="519" t="s">
        <v>4631</v>
      </c>
      <c r="J4089" s="505" t="s">
        <v>96</v>
      </c>
      <c r="K4089" s="505" t="s">
        <v>2102</v>
      </c>
      <c r="L4089" s="505" t="s">
        <v>153</v>
      </c>
    </row>
    <row r="4090" spans="1:12" ht="15.6">
      <c r="A4090" s="526">
        <v>45971</v>
      </c>
      <c r="B4090" s="519" t="s">
        <v>4594</v>
      </c>
      <c r="C4090" s="519" t="s">
        <v>172</v>
      </c>
      <c r="D4090" s="519" t="s">
        <v>115</v>
      </c>
      <c r="E4090" s="519">
        <v>1000</v>
      </c>
      <c r="F4090" s="502">
        <f t="shared" si="64"/>
        <v>1.8744037053212446</v>
      </c>
      <c r="G4090" s="503">
        <v>533.50300000000004</v>
      </c>
      <c r="H4090" s="519" t="s">
        <v>185</v>
      </c>
      <c r="I4090" s="519" t="s">
        <v>4631</v>
      </c>
      <c r="J4090" s="505" t="s">
        <v>96</v>
      </c>
      <c r="K4090" s="505" t="s">
        <v>2102</v>
      </c>
      <c r="L4090" s="505" t="s">
        <v>153</v>
      </c>
    </row>
    <row r="4091" spans="1:12" ht="15.6">
      <c r="A4091" s="526">
        <v>45971</v>
      </c>
      <c r="B4091" s="519" t="s">
        <v>4595</v>
      </c>
      <c r="C4091" s="519" t="s">
        <v>150</v>
      </c>
      <c r="D4091" s="519" t="s">
        <v>115</v>
      </c>
      <c r="E4091" s="519">
        <v>7500</v>
      </c>
      <c r="F4091" s="502">
        <f t="shared" si="64"/>
        <v>14.058027789909334</v>
      </c>
      <c r="G4091" s="503">
        <v>533.50300000000004</v>
      </c>
      <c r="H4091" s="519" t="s">
        <v>185</v>
      </c>
      <c r="I4091" s="519" t="s">
        <v>4637</v>
      </c>
      <c r="J4091" s="505" t="s">
        <v>96</v>
      </c>
      <c r="K4091" s="505" t="s">
        <v>2102</v>
      </c>
      <c r="L4091" s="505" t="s">
        <v>153</v>
      </c>
    </row>
    <row r="4092" spans="1:12" ht="15.6">
      <c r="A4092" s="486">
        <v>45972</v>
      </c>
      <c r="B4092" s="478" t="s">
        <v>2103</v>
      </c>
      <c r="C4092" s="478" t="s">
        <v>172</v>
      </c>
      <c r="D4092" s="501" t="s">
        <v>117</v>
      </c>
      <c r="E4092" s="481">
        <v>1000</v>
      </c>
      <c r="F4092" s="502">
        <f t="shared" si="64"/>
        <v>1.8744037053212446</v>
      </c>
      <c r="G4092" s="503">
        <v>533.50300000000004</v>
      </c>
      <c r="H4092" s="504" t="s">
        <v>151</v>
      </c>
      <c r="I4092" s="478" t="s">
        <v>4133</v>
      </c>
      <c r="J4092" s="505" t="s">
        <v>96</v>
      </c>
      <c r="K4092" s="505" t="s">
        <v>2102</v>
      </c>
      <c r="L4092" s="505" t="s">
        <v>153</v>
      </c>
    </row>
    <row r="4093" spans="1:12" ht="15.6">
      <c r="A4093" s="486">
        <v>45972</v>
      </c>
      <c r="B4093" s="478" t="s">
        <v>2116</v>
      </c>
      <c r="C4093" s="478" t="s">
        <v>172</v>
      </c>
      <c r="D4093" s="501" t="s">
        <v>117</v>
      </c>
      <c r="E4093" s="481">
        <v>1000</v>
      </c>
      <c r="F4093" s="502">
        <f t="shared" si="64"/>
        <v>1.8744037053212446</v>
      </c>
      <c r="G4093" s="503">
        <v>533.50300000000004</v>
      </c>
      <c r="H4093" s="504" t="s">
        <v>151</v>
      </c>
      <c r="I4093" s="478" t="s">
        <v>4133</v>
      </c>
      <c r="J4093" s="505" t="s">
        <v>96</v>
      </c>
      <c r="K4093" s="505" t="s">
        <v>2102</v>
      </c>
      <c r="L4093" s="505" t="s">
        <v>153</v>
      </c>
    </row>
    <row r="4094" spans="1:12" ht="15.6">
      <c r="A4094" s="524">
        <v>45972</v>
      </c>
      <c r="B4094" s="525" t="s">
        <v>4917</v>
      </c>
      <c r="C4094" s="525" t="s">
        <v>172</v>
      </c>
      <c r="D4094" s="510" t="s">
        <v>119</v>
      </c>
      <c r="E4094" s="525">
        <v>3500</v>
      </c>
      <c r="F4094" s="502">
        <f t="shared" si="64"/>
        <v>6.5604129686243562</v>
      </c>
      <c r="G4094" s="503">
        <v>533.50300000000004</v>
      </c>
      <c r="H4094" s="525" t="s">
        <v>182</v>
      </c>
      <c r="I4094" s="525" t="s">
        <v>4237</v>
      </c>
      <c r="J4094" s="505" t="s">
        <v>96</v>
      </c>
      <c r="K4094" s="505" t="s">
        <v>2102</v>
      </c>
      <c r="L4094" s="505" t="s">
        <v>153</v>
      </c>
    </row>
    <row r="4095" spans="1:12" ht="15.6">
      <c r="A4095" s="524">
        <v>45972</v>
      </c>
      <c r="B4095" s="525" t="s">
        <v>4917</v>
      </c>
      <c r="C4095" s="525" t="s">
        <v>172</v>
      </c>
      <c r="D4095" s="510" t="s">
        <v>119</v>
      </c>
      <c r="E4095" s="525">
        <v>2000</v>
      </c>
      <c r="F4095" s="502">
        <f t="shared" si="64"/>
        <v>3.7488074106424891</v>
      </c>
      <c r="G4095" s="503">
        <v>533.50300000000004</v>
      </c>
      <c r="H4095" s="525" t="s">
        <v>182</v>
      </c>
      <c r="I4095" s="525" t="s">
        <v>4237</v>
      </c>
      <c r="J4095" s="505" t="s">
        <v>96</v>
      </c>
      <c r="K4095" s="505" t="s">
        <v>2102</v>
      </c>
      <c r="L4095" s="505" t="s">
        <v>153</v>
      </c>
    </row>
    <row r="4096" spans="1:12" ht="15.6">
      <c r="A4096" s="524">
        <v>45972</v>
      </c>
      <c r="B4096" s="525" t="s">
        <v>4917</v>
      </c>
      <c r="C4096" s="525" t="s">
        <v>172</v>
      </c>
      <c r="D4096" s="510" t="s">
        <v>119</v>
      </c>
      <c r="E4096" s="525">
        <v>1500</v>
      </c>
      <c r="F4096" s="502">
        <f t="shared" si="64"/>
        <v>2.8116055579818666</v>
      </c>
      <c r="G4096" s="503">
        <v>533.50300000000004</v>
      </c>
      <c r="H4096" s="525" t="s">
        <v>182</v>
      </c>
      <c r="I4096" s="525" t="s">
        <v>4237</v>
      </c>
      <c r="J4096" s="505" t="s">
        <v>96</v>
      </c>
      <c r="K4096" s="505" t="s">
        <v>2102</v>
      </c>
      <c r="L4096" s="505" t="s">
        <v>153</v>
      </c>
    </row>
    <row r="4097" spans="1:12" ht="15.6">
      <c r="A4097" s="524">
        <v>45972</v>
      </c>
      <c r="B4097" s="525" t="s">
        <v>4917</v>
      </c>
      <c r="C4097" s="525" t="s">
        <v>172</v>
      </c>
      <c r="D4097" s="510" t="s">
        <v>119</v>
      </c>
      <c r="E4097" s="525">
        <v>1500</v>
      </c>
      <c r="F4097" s="502">
        <f t="shared" si="64"/>
        <v>2.8116055579818666</v>
      </c>
      <c r="G4097" s="503">
        <v>533.50300000000004</v>
      </c>
      <c r="H4097" s="525" t="s">
        <v>182</v>
      </c>
      <c r="I4097" s="525" t="s">
        <v>4237</v>
      </c>
      <c r="J4097" s="505" t="s">
        <v>96</v>
      </c>
      <c r="K4097" s="505" t="s">
        <v>2102</v>
      </c>
      <c r="L4097" s="505" t="s">
        <v>153</v>
      </c>
    </row>
    <row r="4098" spans="1:12" ht="15.6">
      <c r="A4098" s="524">
        <v>45972</v>
      </c>
      <c r="B4098" s="525" t="s">
        <v>4975</v>
      </c>
      <c r="C4098" s="525" t="s">
        <v>366</v>
      </c>
      <c r="D4098" s="510" t="s">
        <v>119</v>
      </c>
      <c r="E4098" s="525">
        <v>1000</v>
      </c>
      <c r="F4098" s="502">
        <f t="shared" ref="F4098:F4138" si="65">E4098/G4098</f>
        <v>1.8401363172983856</v>
      </c>
      <c r="G4098" s="503">
        <v>543.43799999999999</v>
      </c>
      <c r="H4098" s="525" t="s">
        <v>182</v>
      </c>
      <c r="I4098" s="525" t="s">
        <v>4238</v>
      </c>
      <c r="J4098" s="505" t="s">
        <v>96</v>
      </c>
      <c r="K4098" s="505" t="s">
        <v>4104</v>
      </c>
      <c r="L4098" s="505" t="s">
        <v>153</v>
      </c>
    </row>
    <row r="4099" spans="1:12" ht="15.6">
      <c r="A4099" s="526">
        <v>45972</v>
      </c>
      <c r="B4099" s="519" t="s">
        <v>4876</v>
      </c>
      <c r="C4099" s="519" t="s">
        <v>1011</v>
      </c>
      <c r="D4099" s="510" t="s">
        <v>119</v>
      </c>
      <c r="E4099" s="519">
        <v>2000</v>
      </c>
      <c r="F4099" s="502">
        <f t="shared" si="65"/>
        <v>3.7488074106424891</v>
      </c>
      <c r="G4099" s="503">
        <v>533.50300000000004</v>
      </c>
      <c r="H4099" s="519" t="s">
        <v>173</v>
      </c>
      <c r="I4099" s="519" t="s">
        <v>4263</v>
      </c>
      <c r="J4099" s="505" t="s">
        <v>96</v>
      </c>
      <c r="K4099" s="505" t="s">
        <v>2102</v>
      </c>
      <c r="L4099" s="505" t="s">
        <v>153</v>
      </c>
    </row>
    <row r="4100" spans="1:12" ht="15.6">
      <c r="A4100" s="526">
        <v>45972</v>
      </c>
      <c r="B4100" s="519" t="s">
        <v>4876</v>
      </c>
      <c r="C4100" s="519" t="s">
        <v>1011</v>
      </c>
      <c r="D4100" s="510" t="s">
        <v>119</v>
      </c>
      <c r="E4100" s="519">
        <v>2000</v>
      </c>
      <c r="F4100" s="502">
        <f t="shared" si="65"/>
        <v>3.7488074106424891</v>
      </c>
      <c r="G4100" s="503">
        <v>533.50300000000004</v>
      </c>
      <c r="H4100" s="519" t="s">
        <v>173</v>
      </c>
      <c r="I4100" s="519" t="s">
        <v>4263</v>
      </c>
      <c r="J4100" s="505" t="s">
        <v>96</v>
      </c>
      <c r="K4100" s="505" t="s">
        <v>2102</v>
      </c>
      <c r="L4100" s="505" t="s">
        <v>153</v>
      </c>
    </row>
    <row r="4101" spans="1:12" ht="15.6">
      <c r="A4101" s="526">
        <v>45972</v>
      </c>
      <c r="B4101" s="519" t="s">
        <v>4876</v>
      </c>
      <c r="C4101" s="519" t="s">
        <v>1011</v>
      </c>
      <c r="D4101" s="510" t="s">
        <v>119</v>
      </c>
      <c r="E4101" s="519">
        <v>2000</v>
      </c>
      <c r="F4101" s="502">
        <f t="shared" si="65"/>
        <v>3.7488074106424891</v>
      </c>
      <c r="G4101" s="503">
        <v>533.50300000000004</v>
      </c>
      <c r="H4101" s="519" t="s">
        <v>173</v>
      </c>
      <c r="I4101" s="519" t="s">
        <v>4263</v>
      </c>
      <c r="J4101" s="505" t="s">
        <v>96</v>
      </c>
      <c r="K4101" s="505" t="s">
        <v>2102</v>
      </c>
      <c r="L4101" s="505" t="s">
        <v>153</v>
      </c>
    </row>
    <row r="4102" spans="1:12" ht="15.6">
      <c r="A4102" s="526">
        <v>45972</v>
      </c>
      <c r="B4102" s="519" t="s">
        <v>4876</v>
      </c>
      <c r="C4102" s="519" t="s">
        <v>1011</v>
      </c>
      <c r="D4102" s="510" t="s">
        <v>119</v>
      </c>
      <c r="E4102" s="519">
        <v>1000</v>
      </c>
      <c r="F4102" s="502">
        <f t="shared" si="65"/>
        <v>1.8744037053212446</v>
      </c>
      <c r="G4102" s="503">
        <v>533.50300000000004</v>
      </c>
      <c r="H4102" s="519" t="s">
        <v>173</v>
      </c>
      <c r="I4102" s="519" t="s">
        <v>4263</v>
      </c>
      <c r="J4102" s="505" t="s">
        <v>96</v>
      </c>
      <c r="K4102" s="505" t="s">
        <v>2102</v>
      </c>
      <c r="L4102" s="505" t="s">
        <v>153</v>
      </c>
    </row>
    <row r="4103" spans="1:12" ht="15.6">
      <c r="A4103" s="526">
        <v>45972</v>
      </c>
      <c r="B4103" s="519" t="s">
        <v>4876</v>
      </c>
      <c r="C4103" s="519" t="s">
        <v>1011</v>
      </c>
      <c r="D4103" s="510" t="s">
        <v>119</v>
      </c>
      <c r="E4103" s="519">
        <v>2000</v>
      </c>
      <c r="F4103" s="502">
        <f t="shared" si="65"/>
        <v>3.7488074106424891</v>
      </c>
      <c r="G4103" s="503">
        <v>533.50300000000004</v>
      </c>
      <c r="H4103" s="519" t="s">
        <v>173</v>
      </c>
      <c r="I4103" s="519" t="s">
        <v>4263</v>
      </c>
      <c r="J4103" s="505" t="s">
        <v>96</v>
      </c>
      <c r="K4103" s="505" t="s">
        <v>2102</v>
      </c>
      <c r="L4103" s="505" t="s">
        <v>153</v>
      </c>
    </row>
    <row r="4104" spans="1:12" ht="15.6">
      <c r="A4104" s="526">
        <v>45972</v>
      </c>
      <c r="B4104" s="519" t="s">
        <v>4765</v>
      </c>
      <c r="C4104" s="519" t="s">
        <v>366</v>
      </c>
      <c r="D4104" s="510" t="s">
        <v>119</v>
      </c>
      <c r="E4104" s="519">
        <v>2000</v>
      </c>
      <c r="F4104" s="502">
        <f t="shared" si="65"/>
        <v>3.6802726345967711</v>
      </c>
      <c r="G4104" s="503">
        <v>543.43799999999999</v>
      </c>
      <c r="H4104" s="519" t="s">
        <v>173</v>
      </c>
      <c r="I4104" s="519" t="s">
        <v>4264</v>
      </c>
      <c r="J4104" s="505" t="s">
        <v>96</v>
      </c>
      <c r="K4104" s="505" t="s">
        <v>4104</v>
      </c>
      <c r="L4104" s="505" t="s">
        <v>153</v>
      </c>
    </row>
    <row r="4105" spans="1:12" ht="15.6">
      <c r="A4105" s="526">
        <v>45972</v>
      </c>
      <c r="B4105" s="519" t="s">
        <v>4876</v>
      </c>
      <c r="C4105" s="519" t="s">
        <v>172</v>
      </c>
      <c r="D4105" s="510" t="s">
        <v>119</v>
      </c>
      <c r="E4105" s="519">
        <v>1500</v>
      </c>
      <c r="F4105" s="502">
        <f t="shared" si="65"/>
        <v>2.8116055579818666</v>
      </c>
      <c r="G4105" s="503">
        <v>533.50300000000004</v>
      </c>
      <c r="H4105" s="519" t="s">
        <v>315</v>
      </c>
      <c r="I4105" s="519" t="s">
        <v>4288</v>
      </c>
      <c r="J4105" s="505" t="s">
        <v>96</v>
      </c>
      <c r="K4105" s="505" t="s">
        <v>2102</v>
      </c>
      <c r="L4105" s="505" t="s">
        <v>153</v>
      </c>
    </row>
    <row r="4106" spans="1:12" ht="15.6">
      <c r="A4106" s="526">
        <v>45972</v>
      </c>
      <c r="B4106" s="519" t="s">
        <v>4876</v>
      </c>
      <c r="C4106" s="519" t="s">
        <v>172</v>
      </c>
      <c r="D4106" s="510" t="s">
        <v>119</v>
      </c>
      <c r="E4106" s="519">
        <v>1000</v>
      </c>
      <c r="F4106" s="502">
        <f t="shared" si="65"/>
        <v>1.8744037053212446</v>
      </c>
      <c r="G4106" s="503">
        <v>533.50300000000004</v>
      </c>
      <c r="H4106" s="519" t="s">
        <v>315</v>
      </c>
      <c r="I4106" s="519" t="s">
        <v>4288</v>
      </c>
      <c r="J4106" s="505" t="s">
        <v>96</v>
      </c>
      <c r="K4106" s="505" t="s">
        <v>2102</v>
      </c>
      <c r="L4106" s="505" t="s">
        <v>153</v>
      </c>
    </row>
    <row r="4107" spans="1:12" ht="15.6">
      <c r="A4107" s="526">
        <v>45972</v>
      </c>
      <c r="B4107" s="519" t="s">
        <v>4769</v>
      </c>
      <c r="C4107" s="519" t="s">
        <v>363</v>
      </c>
      <c r="D4107" s="510" t="s">
        <v>119</v>
      </c>
      <c r="E4107" s="519">
        <v>2000</v>
      </c>
      <c r="F4107" s="502">
        <f t="shared" si="65"/>
        <v>3.6802726345967711</v>
      </c>
      <c r="G4107" s="503">
        <v>543.43799999999999</v>
      </c>
      <c r="H4107" s="519" t="s">
        <v>315</v>
      </c>
      <c r="I4107" s="519" t="s">
        <v>4291</v>
      </c>
      <c r="J4107" s="505" t="s">
        <v>96</v>
      </c>
      <c r="K4107" s="505" t="s">
        <v>4104</v>
      </c>
      <c r="L4107" s="505" t="s">
        <v>153</v>
      </c>
    </row>
    <row r="4108" spans="1:12" ht="15.6">
      <c r="A4108" s="526">
        <v>45972</v>
      </c>
      <c r="B4108" s="519" t="s">
        <v>4876</v>
      </c>
      <c r="C4108" s="519" t="s">
        <v>172</v>
      </c>
      <c r="D4108" s="510" t="s">
        <v>119</v>
      </c>
      <c r="E4108" s="519">
        <v>1500</v>
      </c>
      <c r="F4108" s="502">
        <f t="shared" si="65"/>
        <v>2.8116055579818666</v>
      </c>
      <c r="G4108" s="503">
        <v>533.50300000000004</v>
      </c>
      <c r="H4108" s="519" t="s">
        <v>315</v>
      </c>
      <c r="I4108" s="519" t="s">
        <v>4288</v>
      </c>
      <c r="J4108" s="505" t="s">
        <v>96</v>
      </c>
      <c r="K4108" s="505" t="s">
        <v>2102</v>
      </c>
      <c r="L4108" s="505" t="s">
        <v>153</v>
      </c>
    </row>
    <row r="4109" spans="1:12" ht="15.6">
      <c r="A4109" s="526">
        <v>45972</v>
      </c>
      <c r="B4109" s="519" t="s">
        <v>4876</v>
      </c>
      <c r="C4109" s="519" t="s">
        <v>172</v>
      </c>
      <c r="D4109" s="510" t="s">
        <v>119</v>
      </c>
      <c r="E4109" s="519">
        <v>1500</v>
      </c>
      <c r="F4109" s="502">
        <f t="shared" si="65"/>
        <v>2.8116055579818666</v>
      </c>
      <c r="G4109" s="503">
        <v>533.50300000000004</v>
      </c>
      <c r="H4109" s="519" t="s">
        <v>315</v>
      </c>
      <c r="I4109" s="519" t="s">
        <v>4288</v>
      </c>
      <c r="J4109" s="505" t="s">
        <v>96</v>
      </c>
      <c r="K4109" s="505" t="s">
        <v>2102</v>
      </c>
      <c r="L4109" s="505" t="s">
        <v>153</v>
      </c>
    </row>
    <row r="4110" spans="1:12" ht="15.6">
      <c r="A4110" s="526">
        <v>45972</v>
      </c>
      <c r="B4110" s="519" t="s">
        <v>4907</v>
      </c>
      <c r="C4110" s="519" t="s">
        <v>172</v>
      </c>
      <c r="D4110" s="510" t="s">
        <v>119</v>
      </c>
      <c r="E4110" s="521">
        <v>1500</v>
      </c>
      <c r="F4110" s="502">
        <f t="shared" si="65"/>
        <v>2.8116055579818666</v>
      </c>
      <c r="G4110" s="503">
        <v>533.50300000000004</v>
      </c>
      <c r="H4110" s="519" t="s">
        <v>321</v>
      </c>
      <c r="I4110" s="519" t="s">
        <v>4314</v>
      </c>
      <c r="J4110" s="505" t="s">
        <v>96</v>
      </c>
      <c r="K4110" s="505" t="s">
        <v>2102</v>
      </c>
      <c r="L4110" s="505" t="s">
        <v>153</v>
      </c>
    </row>
    <row r="4111" spans="1:12" ht="15.6">
      <c r="A4111" s="526">
        <v>45972</v>
      </c>
      <c r="B4111" s="519" t="s">
        <v>4876</v>
      </c>
      <c r="C4111" s="519" t="s">
        <v>172</v>
      </c>
      <c r="D4111" s="510" t="s">
        <v>119</v>
      </c>
      <c r="E4111" s="521">
        <v>1000</v>
      </c>
      <c r="F4111" s="502">
        <f t="shared" si="65"/>
        <v>1.8744037053212446</v>
      </c>
      <c r="G4111" s="503">
        <v>533.50300000000004</v>
      </c>
      <c r="H4111" s="519" t="s">
        <v>321</v>
      </c>
      <c r="I4111" s="519" t="s">
        <v>4314</v>
      </c>
      <c r="J4111" s="505" t="s">
        <v>96</v>
      </c>
      <c r="K4111" s="505" t="s">
        <v>2102</v>
      </c>
      <c r="L4111" s="505" t="s">
        <v>153</v>
      </c>
    </row>
    <row r="4112" spans="1:12" ht="15.6">
      <c r="A4112" s="526">
        <v>45972</v>
      </c>
      <c r="B4112" s="519" t="s">
        <v>4876</v>
      </c>
      <c r="C4112" s="519" t="s">
        <v>172</v>
      </c>
      <c r="D4112" s="510" t="s">
        <v>119</v>
      </c>
      <c r="E4112" s="521">
        <v>1000</v>
      </c>
      <c r="F4112" s="502">
        <f t="shared" si="65"/>
        <v>1.8744037053212446</v>
      </c>
      <c r="G4112" s="503">
        <v>533.50300000000004</v>
      </c>
      <c r="H4112" s="519" t="s">
        <v>321</v>
      </c>
      <c r="I4112" s="519" t="s">
        <v>4314</v>
      </c>
      <c r="J4112" s="505" t="s">
        <v>96</v>
      </c>
      <c r="K4112" s="505" t="s">
        <v>2102</v>
      </c>
      <c r="L4112" s="505" t="s">
        <v>153</v>
      </c>
    </row>
    <row r="4113" spans="1:12" ht="15.6">
      <c r="A4113" s="526">
        <v>45972</v>
      </c>
      <c r="B4113" s="519" t="s">
        <v>4876</v>
      </c>
      <c r="C4113" s="519" t="s">
        <v>172</v>
      </c>
      <c r="D4113" s="510" t="s">
        <v>119</v>
      </c>
      <c r="E4113" s="521">
        <v>1500</v>
      </c>
      <c r="F4113" s="502">
        <f t="shared" si="65"/>
        <v>2.8116055579818666</v>
      </c>
      <c r="G4113" s="503">
        <v>533.50300000000004</v>
      </c>
      <c r="H4113" s="519" t="s">
        <v>321</v>
      </c>
      <c r="I4113" s="519" t="s">
        <v>4314</v>
      </c>
      <c r="J4113" s="505" t="s">
        <v>96</v>
      </c>
      <c r="K4113" s="505" t="s">
        <v>2102</v>
      </c>
      <c r="L4113" s="505" t="s">
        <v>153</v>
      </c>
    </row>
    <row r="4114" spans="1:12" ht="15.6">
      <c r="A4114" s="526">
        <v>45972</v>
      </c>
      <c r="B4114" s="519" t="s">
        <v>4341</v>
      </c>
      <c r="C4114" s="519" t="s">
        <v>2394</v>
      </c>
      <c r="D4114" s="519" t="s">
        <v>115</v>
      </c>
      <c r="E4114" s="520">
        <v>20000</v>
      </c>
      <c r="F4114" s="502">
        <f t="shared" si="65"/>
        <v>37.488074106424889</v>
      </c>
      <c r="G4114" s="503">
        <v>533.50300000000004</v>
      </c>
      <c r="H4114" s="519" t="s">
        <v>188</v>
      </c>
      <c r="I4114" s="519" t="s">
        <v>4369</v>
      </c>
      <c r="J4114" s="505" t="s">
        <v>96</v>
      </c>
      <c r="K4114" s="505" t="s">
        <v>2102</v>
      </c>
      <c r="L4114" s="505" t="s">
        <v>153</v>
      </c>
    </row>
    <row r="4115" spans="1:12" ht="15.6">
      <c r="A4115" s="526">
        <v>45972</v>
      </c>
      <c r="B4115" s="519" t="s">
        <v>3566</v>
      </c>
      <c r="C4115" s="519" t="s">
        <v>172</v>
      </c>
      <c r="D4115" s="519" t="s">
        <v>115</v>
      </c>
      <c r="E4115" s="520">
        <v>1000</v>
      </c>
      <c r="F4115" s="502">
        <f t="shared" si="65"/>
        <v>1.8744037053212446</v>
      </c>
      <c r="G4115" s="503">
        <v>533.50300000000004</v>
      </c>
      <c r="H4115" s="519" t="s">
        <v>188</v>
      </c>
      <c r="I4115" s="519" t="s">
        <v>4359</v>
      </c>
      <c r="J4115" s="505" t="s">
        <v>96</v>
      </c>
      <c r="K4115" s="505" t="s">
        <v>2102</v>
      </c>
      <c r="L4115" s="505" t="s">
        <v>153</v>
      </c>
    </row>
    <row r="4116" spans="1:12" ht="15.6">
      <c r="A4116" s="526">
        <v>45972</v>
      </c>
      <c r="B4116" s="519" t="s">
        <v>4342</v>
      </c>
      <c r="C4116" s="519" t="s">
        <v>172</v>
      </c>
      <c r="D4116" s="519" t="s">
        <v>115</v>
      </c>
      <c r="E4116" s="520">
        <v>500</v>
      </c>
      <c r="F4116" s="502">
        <f t="shared" si="65"/>
        <v>0.93720185266062228</v>
      </c>
      <c r="G4116" s="503">
        <v>533.50300000000004</v>
      </c>
      <c r="H4116" s="519" t="s">
        <v>188</v>
      </c>
      <c r="I4116" s="519" t="s">
        <v>4359</v>
      </c>
      <c r="J4116" s="505" t="s">
        <v>96</v>
      </c>
      <c r="K4116" s="505" t="s">
        <v>2102</v>
      </c>
      <c r="L4116" s="505" t="s">
        <v>153</v>
      </c>
    </row>
    <row r="4117" spans="1:12" ht="15.6">
      <c r="A4117" s="526">
        <v>45972</v>
      </c>
      <c r="B4117" s="519" t="s">
        <v>4343</v>
      </c>
      <c r="C4117" s="519" t="s">
        <v>172</v>
      </c>
      <c r="D4117" s="519" t="s">
        <v>115</v>
      </c>
      <c r="E4117" s="520">
        <v>500</v>
      </c>
      <c r="F4117" s="502">
        <f t="shared" si="65"/>
        <v>0.93720185266062228</v>
      </c>
      <c r="G4117" s="503">
        <v>533.50300000000004</v>
      </c>
      <c r="H4117" s="519" t="s">
        <v>188</v>
      </c>
      <c r="I4117" s="519" t="s">
        <v>4359</v>
      </c>
      <c r="J4117" s="505" t="s">
        <v>96</v>
      </c>
      <c r="K4117" s="505" t="s">
        <v>2102</v>
      </c>
      <c r="L4117" s="505" t="s">
        <v>153</v>
      </c>
    </row>
    <row r="4118" spans="1:12" ht="15.6">
      <c r="A4118" s="526">
        <v>45972</v>
      </c>
      <c r="B4118" s="519" t="s">
        <v>4344</v>
      </c>
      <c r="C4118" s="505" t="s">
        <v>3317</v>
      </c>
      <c r="D4118" s="519" t="s">
        <v>115</v>
      </c>
      <c r="E4118" s="520">
        <v>3000</v>
      </c>
      <c r="F4118" s="502">
        <f t="shared" si="65"/>
        <v>5.6232111159637332</v>
      </c>
      <c r="G4118" s="503">
        <v>533.50300000000004</v>
      </c>
      <c r="H4118" s="519" t="s">
        <v>188</v>
      </c>
      <c r="I4118" s="519" t="s">
        <v>4370</v>
      </c>
      <c r="J4118" s="505" t="s">
        <v>96</v>
      </c>
      <c r="K4118" s="505" t="s">
        <v>2102</v>
      </c>
      <c r="L4118" s="505" t="s">
        <v>153</v>
      </c>
    </row>
    <row r="4119" spans="1:12" ht="15.6">
      <c r="A4119" s="526">
        <v>45972</v>
      </c>
      <c r="B4119" s="519" t="s">
        <v>4345</v>
      </c>
      <c r="C4119" s="519" t="s">
        <v>172</v>
      </c>
      <c r="D4119" s="519" t="s">
        <v>115</v>
      </c>
      <c r="E4119" s="520">
        <v>250</v>
      </c>
      <c r="F4119" s="502">
        <f t="shared" si="65"/>
        <v>0.46860092633031114</v>
      </c>
      <c r="G4119" s="503">
        <v>533.50300000000004</v>
      </c>
      <c r="H4119" s="519" t="s">
        <v>188</v>
      </c>
      <c r="I4119" s="519" t="s">
        <v>4359</v>
      </c>
      <c r="J4119" s="505" t="s">
        <v>96</v>
      </c>
      <c r="K4119" s="505" t="s">
        <v>2102</v>
      </c>
      <c r="L4119" s="505" t="s">
        <v>153</v>
      </c>
    </row>
    <row r="4120" spans="1:12" ht="15.6">
      <c r="A4120" s="526">
        <v>45972</v>
      </c>
      <c r="B4120" s="519" t="s">
        <v>4346</v>
      </c>
      <c r="C4120" s="519" t="s">
        <v>172</v>
      </c>
      <c r="D4120" s="519" t="s">
        <v>115</v>
      </c>
      <c r="E4120" s="520">
        <v>500</v>
      </c>
      <c r="F4120" s="502">
        <f t="shared" si="65"/>
        <v>0.93720185266062228</v>
      </c>
      <c r="G4120" s="503">
        <v>533.50300000000004</v>
      </c>
      <c r="H4120" s="519" t="s">
        <v>188</v>
      </c>
      <c r="I4120" s="519" t="s">
        <v>4359</v>
      </c>
      <c r="J4120" s="505" t="s">
        <v>96</v>
      </c>
      <c r="K4120" s="505" t="s">
        <v>2102</v>
      </c>
      <c r="L4120" s="505" t="s">
        <v>153</v>
      </c>
    </row>
    <row r="4121" spans="1:12" ht="15.6">
      <c r="A4121" s="515">
        <v>45972</v>
      </c>
      <c r="B4121" s="519" t="s">
        <v>4596</v>
      </c>
      <c r="C4121" s="519" t="s">
        <v>124</v>
      </c>
      <c r="D4121" s="519" t="s">
        <v>116</v>
      </c>
      <c r="E4121" s="518">
        <v>31187</v>
      </c>
      <c r="F4121" s="502">
        <f t="shared" si="65"/>
        <v>58.457028357853652</v>
      </c>
      <c r="G4121" s="503">
        <v>533.50300000000004</v>
      </c>
      <c r="H4121" s="519" t="s">
        <v>185</v>
      </c>
      <c r="I4121" s="505" t="s">
        <v>4638</v>
      </c>
      <c r="J4121" s="505" t="s">
        <v>96</v>
      </c>
      <c r="K4121" s="505" t="s">
        <v>2102</v>
      </c>
      <c r="L4121" s="505" t="s">
        <v>153</v>
      </c>
    </row>
    <row r="4122" spans="1:12" ht="15.6">
      <c r="A4122" s="526">
        <v>45972</v>
      </c>
      <c r="B4122" s="519" t="s">
        <v>4597</v>
      </c>
      <c r="C4122" s="519" t="s">
        <v>172</v>
      </c>
      <c r="D4122" s="519" t="s">
        <v>115</v>
      </c>
      <c r="E4122" s="519">
        <v>1000</v>
      </c>
      <c r="F4122" s="502">
        <f t="shared" si="65"/>
        <v>1.8744037053212446</v>
      </c>
      <c r="G4122" s="503">
        <v>533.50300000000004</v>
      </c>
      <c r="H4122" s="519" t="s">
        <v>185</v>
      </c>
      <c r="I4122" s="519" t="s">
        <v>4631</v>
      </c>
      <c r="J4122" s="505" t="s">
        <v>96</v>
      </c>
      <c r="K4122" s="505" t="s">
        <v>2102</v>
      </c>
      <c r="L4122" s="505" t="s">
        <v>153</v>
      </c>
    </row>
    <row r="4123" spans="1:12" ht="15.6">
      <c r="A4123" s="526">
        <v>45972</v>
      </c>
      <c r="B4123" s="519" t="s">
        <v>3002</v>
      </c>
      <c r="C4123" s="519" t="s">
        <v>172</v>
      </c>
      <c r="D4123" s="519" t="s">
        <v>115</v>
      </c>
      <c r="E4123" s="519">
        <v>1000</v>
      </c>
      <c r="F4123" s="502">
        <f t="shared" si="65"/>
        <v>1.8744037053212446</v>
      </c>
      <c r="G4123" s="503">
        <v>533.50300000000004</v>
      </c>
      <c r="H4123" s="519" t="s">
        <v>185</v>
      </c>
      <c r="I4123" s="519" t="s">
        <v>4631</v>
      </c>
      <c r="J4123" s="505" t="s">
        <v>96</v>
      </c>
      <c r="K4123" s="505" t="s">
        <v>2102</v>
      </c>
      <c r="L4123" s="505" t="s">
        <v>153</v>
      </c>
    </row>
    <row r="4124" spans="1:12" ht="15.6">
      <c r="A4124" s="526">
        <v>45972</v>
      </c>
      <c r="B4124" s="519" t="s">
        <v>4598</v>
      </c>
      <c r="C4124" s="519" t="s">
        <v>172</v>
      </c>
      <c r="D4124" s="519" t="s">
        <v>115</v>
      </c>
      <c r="E4124" s="519">
        <v>1000</v>
      </c>
      <c r="F4124" s="502">
        <f t="shared" si="65"/>
        <v>1.8744037053212446</v>
      </c>
      <c r="G4124" s="503">
        <v>533.50300000000004</v>
      </c>
      <c r="H4124" s="519" t="s">
        <v>185</v>
      </c>
      <c r="I4124" s="519" t="s">
        <v>4631</v>
      </c>
      <c r="J4124" s="505" t="s">
        <v>96</v>
      </c>
      <c r="K4124" s="505" t="s">
        <v>2102</v>
      </c>
      <c r="L4124" s="505" t="s">
        <v>153</v>
      </c>
    </row>
    <row r="4125" spans="1:12" ht="15.6">
      <c r="A4125" s="526">
        <v>45972</v>
      </c>
      <c r="B4125" s="519" t="s">
        <v>4599</v>
      </c>
      <c r="C4125" s="519" t="s">
        <v>172</v>
      </c>
      <c r="D4125" s="519" t="s">
        <v>115</v>
      </c>
      <c r="E4125" s="519">
        <v>1000</v>
      </c>
      <c r="F4125" s="502">
        <f t="shared" si="65"/>
        <v>1.8744037053212446</v>
      </c>
      <c r="G4125" s="503">
        <v>533.50300000000004</v>
      </c>
      <c r="H4125" s="519" t="s">
        <v>185</v>
      </c>
      <c r="I4125" s="519" t="s">
        <v>4631</v>
      </c>
      <c r="J4125" s="505" t="s">
        <v>96</v>
      </c>
      <c r="K4125" s="505" t="s">
        <v>2102</v>
      </c>
      <c r="L4125" s="505" t="s">
        <v>153</v>
      </c>
    </row>
    <row r="4126" spans="1:12" ht="15.6">
      <c r="A4126" s="486">
        <v>45973</v>
      </c>
      <c r="B4126" s="478" t="s">
        <v>2103</v>
      </c>
      <c r="C4126" s="478" t="s">
        <v>172</v>
      </c>
      <c r="D4126" s="501" t="s">
        <v>117</v>
      </c>
      <c r="E4126" s="481">
        <v>1000</v>
      </c>
      <c r="F4126" s="502">
        <f t="shared" si="65"/>
        <v>1.8744037053212446</v>
      </c>
      <c r="G4126" s="503">
        <v>533.50300000000004</v>
      </c>
      <c r="H4126" s="504" t="s">
        <v>151</v>
      </c>
      <c r="I4126" s="478" t="s">
        <v>4133</v>
      </c>
      <c r="J4126" s="505" t="s">
        <v>96</v>
      </c>
      <c r="K4126" s="505" t="s">
        <v>2102</v>
      </c>
      <c r="L4126" s="505" t="s">
        <v>153</v>
      </c>
    </row>
    <row r="4127" spans="1:12" ht="15.6">
      <c r="A4127" s="486">
        <v>45973</v>
      </c>
      <c r="B4127" s="478" t="s">
        <v>2104</v>
      </c>
      <c r="C4127" s="478" t="s">
        <v>172</v>
      </c>
      <c r="D4127" s="501" t="s">
        <v>117</v>
      </c>
      <c r="E4127" s="481">
        <v>1000</v>
      </c>
      <c r="F4127" s="502">
        <f t="shared" si="65"/>
        <v>1.8744037053212446</v>
      </c>
      <c r="G4127" s="503">
        <v>533.50300000000004</v>
      </c>
      <c r="H4127" s="504" t="s">
        <v>151</v>
      </c>
      <c r="I4127" s="478" t="s">
        <v>4133</v>
      </c>
      <c r="J4127" s="505" t="s">
        <v>96</v>
      </c>
      <c r="K4127" s="505" t="s">
        <v>2102</v>
      </c>
      <c r="L4127" s="505" t="s">
        <v>153</v>
      </c>
    </row>
    <row r="4128" spans="1:12" ht="15.6">
      <c r="A4128" s="524">
        <v>45973</v>
      </c>
      <c r="B4128" s="525" t="s">
        <v>4917</v>
      </c>
      <c r="C4128" s="525" t="s">
        <v>172</v>
      </c>
      <c r="D4128" s="510" t="s">
        <v>119</v>
      </c>
      <c r="E4128" s="525">
        <v>1500</v>
      </c>
      <c r="F4128" s="502">
        <f t="shared" si="65"/>
        <v>2.8116055579818666</v>
      </c>
      <c r="G4128" s="503">
        <v>533.50300000000004</v>
      </c>
      <c r="H4128" s="525" t="s">
        <v>182</v>
      </c>
      <c r="I4128" s="525" t="s">
        <v>4237</v>
      </c>
      <c r="J4128" s="505" t="s">
        <v>96</v>
      </c>
      <c r="K4128" s="505" t="s">
        <v>2102</v>
      </c>
      <c r="L4128" s="505" t="s">
        <v>153</v>
      </c>
    </row>
    <row r="4129" spans="1:12" ht="15.6">
      <c r="A4129" s="524">
        <v>45973</v>
      </c>
      <c r="B4129" s="525" t="s">
        <v>4917</v>
      </c>
      <c r="C4129" s="525" t="s">
        <v>172</v>
      </c>
      <c r="D4129" s="510" t="s">
        <v>119</v>
      </c>
      <c r="E4129" s="525">
        <v>1000</v>
      </c>
      <c r="F4129" s="502">
        <f t="shared" si="65"/>
        <v>1.8744037053212446</v>
      </c>
      <c r="G4129" s="503">
        <v>533.50300000000004</v>
      </c>
      <c r="H4129" s="525" t="s">
        <v>182</v>
      </c>
      <c r="I4129" s="525" t="s">
        <v>4237</v>
      </c>
      <c r="J4129" s="505" t="s">
        <v>96</v>
      </c>
      <c r="K4129" s="505" t="s">
        <v>2102</v>
      </c>
      <c r="L4129" s="505" t="s">
        <v>153</v>
      </c>
    </row>
    <row r="4130" spans="1:12" ht="15.6">
      <c r="A4130" s="524">
        <v>45973</v>
      </c>
      <c r="B4130" s="525" t="s">
        <v>4917</v>
      </c>
      <c r="C4130" s="525" t="s">
        <v>172</v>
      </c>
      <c r="D4130" s="510" t="s">
        <v>119</v>
      </c>
      <c r="E4130" s="525">
        <v>1000</v>
      </c>
      <c r="F4130" s="502">
        <f t="shared" si="65"/>
        <v>1.8744037053212446</v>
      </c>
      <c r="G4130" s="503">
        <v>533.50300000000004</v>
      </c>
      <c r="H4130" s="525" t="s">
        <v>182</v>
      </c>
      <c r="I4130" s="525" t="s">
        <v>4237</v>
      </c>
      <c r="J4130" s="505" t="s">
        <v>96</v>
      </c>
      <c r="K4130" s="505" t="s">
        <v>2102</v>
      </c>
      <c r="L4130" s="505" t="s">
        <v>153</v>
      </c>
    </row>
    <row r="4131" spans="1:12" ht="15.6">
      <c r="A4131" s="524">
        <v>45973</v>
      </c>
      <c r="B4131" s="525" t="s">
        <v>4912</v>
      </c>
      <c r="C4131" s="525" t="s">
        <v>172</v>
      </c>
      <c r="D4131" s="510" t="s">
        <v>119</v>
      </c>
      <c r="E4131" s="525">
        <v>1500</v>
      </c>
      <c r="F4131" s="502">
        <f t="shared" si="65"/>
        <v>2.8116055579818666</v>
      </c>
      <c r="G4131" s="503">
        <v>533.50300000000004</v>
      </c>
      <c r="H4131" s="525" t="s">
        <v>182</v>
      </c>
      <c r="I4131" s="525" t="s">
        <v>4237</v>
      </c>
      <c r="J4131" s="505" t="s">
        <v>96</v>
      </c>
      <c r="K4131" s="505" t="s">
        <v>2102</v>
      </c>
      <c r="L4131" s="505" t="s">
        <v>153</v>
      </c>
    </row>
    <row r="4132" spans="1:12" ht="15.6">
      <c r="A4132" s="524">
        <v>45973</v>
      </c>
      <c r="B4132" s="525" t="s">
        <v>4975</v>
      </c>
      <c r="C4132" s="525" t="s">
        <v>366</v>
      </c>
      <c r="D4132" s="510" t="s">
        <v>119</v>
      </c>
      <c r="E4132" s="525">
        <v>1000</v>
      </c>
      <c r="F4132" s="502">
        <f t="shared" si="65"/>
        <v>1.8401363172983856</v>
      </c>
      <c r="G4132" s="503">
        <v>543.43799999999999</v>
      </c>
      <c r="H4132" s="525" t="s">
        <v>182</v>
      </c>
      <c r="I4132" s="525" t="s">
        <v>4238</v>
      </c>
      <c r="J4132" s="505" t="s">
        <v>96</v>
      </c>
      <c r="K4132" s="505" t="s">
        <v>4104</v>
      </c>
      <c r="L4132" s="505" t="s">
        <v>153</v>
      </c>
    </row>
    <row r="4133" spans="1:12" ht="15.6">
      <c r="A4133" s="526">
        <v>45973</v>
      </c>
      <c r="B4133" s="519" t="s">
        <v>4876</v>
      </c>
      <c r="C4133" s="519" t="s">
        <v>1011</v>
      </c>
      <c r="D4133" s="510" t="s">
        <v>119</v>
      </c>
      <c r="E4133" s="519">
        <v>1000</v>
      </c>
      <c r="F4133" s="502">
        <f t="shared" si="65"/>
        <v>1.8744037053212446</v>
      </c>
      <c r="G4133" s="503">
        <v>533.50300000000004</v>
      </c>
      <c r="H4133" s="519" t="s">
        <v>173</v>
      </c>
      <c r="I4133" s="519" t="s">
        <v>4263</v>
      </c>
      <c r="J4133" s="505" t="s">
        <v>96</v>
      </c>
      <c r="K4133" s="505" t="s">
        <v>2102</v>
      </c>
      <c r="L4133" s="505" t="s">
        <v>153</v>
      </c>
    </row>
    <row r="4134" spans="1:12" ht="15.6">
      <c r="A4134" s="526">
        <v>45973</v>
      </c>
      <c r="B4134" s="519" t="s">
        <v>4917</v>
      </c>
      <c r="C4134" s="519" t="s">
        <v>1011</v>
      </c>
      <c r="D4134" s="510" t="s">
        <v>119</v>
      </c>
      <c r="E4134" s="519">
        <v>1000</v>
      </c>
      <c r="F4134" s="502">
        <f t="shared" si="65"/>
        <v>1.8744037053212446</v>
      </c>
      <c r="G4134" s="503">
        <v>533.50300000000004</v>
      </c>
      <c r="H4134" s="519" t="s">
        <v>173</v>
      </c>
      <c r="I4134" s="519" t="s">
        <v>4263</v>
      </c>
      <c r="J4134" s="505" t="s">
        <v>96</v>
      </c>
      <c r="K4134" s="505" t="s">
        <v>2102</v>
      </c>
      <c r="L4134" s="505" t="s">
        <v>153</v>
      </c>
    </row>
    <row r="4135" spans="1:12" ht="15.6">
      <c r="A4135" s="526">
        <v>45973</v>
      </c>
      <c r="B4135" s="519" t="s">
        <v>4876</v>
      </c>
      <c r="C4135" s="519" t="s">
        <v>1011</v>
      </c>
      <c r="D4135" s="510" t="s">
        <v>119</v>
      </c>
      <c r="E4135" s="519">
        <v>1500</v>
      </c>
      <c r="F4135" s="502">
        <f t="shared" si="65"/>
        <v>2.8116055579818666</v>
      </c>
      <c r="G4135" s="503">
        <v>533.50300000000004</v>
      </c>
      <c r="H4135" s="519" t="s">
        <v>173</v>
      </c>
      <c r="I4135" s="519" t="s">
        <v>4263</v>
      </c>
      <c r="J4135" s="505" t="s">
        <v>96</v>
      </c>
      <c r="K4135" s="505" t="s">
        <v>2102</v>
      </c>
      <c r="L4135" s="505" t="s">
        <v>153</v>
      </c>
    </row>
    <row r="4136" spans="1:12" ht="15.6">
      <c r="A4136" s="526">
        <v>45973</v>
      </c>
      <c r="B4136" s="519" t="s">
        <v>4876</v>
      </c>
      <c r="C4136" s="519" t="s">
        <v>1011</v>
      </c>
      <c r="D4136" s="510" t="s">
        <v>119</v>
      </c>
      <c r="E4136" s="519">
        <v>1000</v>
      </c>
      <c r="F4136" s="502">
        <f t="shared" si="65"/>
        <v>1.8744037053212446</v>
      </c>
      <c r="G4136" s="503">
        <v>533.50300000000004</v>
      </c>
      <c r="H4136" s="519" t="s">
        <v>173</v>
      </c>
      <c r="I4136" s="519" t="s">
        <v>4263</v>
      </c>
      <c r="J4136" s="505" t="s">
        <v>96</v>
      </c>
      <c r="K4136" s="505" t="s">
        <v>2102</v>
      </c>
      <c r="L4136" s="505" t="s">
        <v>153</v>
      </c>
    </row>
    <row r="4137" spans="1:12" ht="15.6">
      <c r="A4137" s="526">
        <v>45973</v>
      </c>
      <c r="B4137" s="519" t="s">
        <v>4976</v>
      </c>
      <c r="C4137" s="519" t="s">
        <v>1011</v>
      </c>
      <c r="D4137" s="510" t="s">
        <v>119</v>
      </c>
      <c r="E4137" s="519">
        <v>1000</v>
      </c>
      <c r="F4137" s="502">
        <f t="shared" si="65"/>
        <v>1.8744037053212446</v>
      </c>
      <c r="G4137" s="503">
        <v>533.50300000000004</v>
      </c>
      <c r="H4137" s="519" t="s">
        <v>173</v>
      </c>
      <c r="I4137" s="519" t="s">
        <v>4263</v>
      </c>
      <c r="J4137" s="505" t="s">
        <v>96</v>
      </c>
      <c r="K4137" s="505" t="s">
        <v>2102</v>
      </c>
      <c r="L4137" s="505" t="s">
        <v>153</v>
      </c>
    </row>
    <row r="4138" spans="1:12" ht="15.6">
      <c r="A4138" s="526">
        <v>45973</v>
      </c>
      <c r="B4138" s="519" t="s">
        <v>2954</v>
      </c>
      <c r="C4138" s="519" t="s">
        <v>366</v>
      </c>
      <c r="D4138" s="510" t="s">
        <v>119</v>
      </c>
      <c r="E4138" s="519">
        <v>2000</v>
      </c>
      <c r="F4138" s="502">
        <f t="shared" si="65"/>
        <v>3.6802726345967711</v>
      </c>
      <c r="G4138" s="503">
        <v>543.43799999999999</v>
      </c>
      <c r="H4138" s="519" t="s">
        <v>173</v>
      </c>
      <c r="I4138" s="519" t="s">
        <v>4264</v>
      </c>
      <c r="J4138" s="505" t="s">
        <v>96</v>
      </c>
      <c r="K4138" s="505" t="s">
        <v>4104</v>
      </c>
      <c r="L4138" s="505" t="s">
        <v>153</v>
      </c>
    </row>
    <row r="4139" spans="1:12" ht="15.6">
      <c r="A4139" s="526">
        <v>45973</v>
      </c>
      <c r="B4139" s="519" t="s">
        <v>4876</v>
      </c>
      <c r="C4139" s="519" t="s">
        <v>172</v>
      </c>
      <c r="D4139" s="510" t="s">
        <v>119</v>
      </c>
      <c r="E4139" s="519">
        <v>1500</v>
      </c>
      <c r="F4139" s="502"/>
      <c r="G4139" s="503">
        <v>533.50300000000004</v>
      </c>
      <c r="H4139" s="519" t="s">
        <v>315</v>
      </c>
      <c r="I4139" s="519" t="s">
        <v>4288</v>
      </c>
      <c r="J4139" s="505" t="s">
        <v>96</v>
      </c>
      <c r="K4139" s="505" t="s">
        <v>2102</v>
      </c>
      <c r="L4139" s="505" t="s">
        <v>153</v>
      </c>
    </row>
    <row r="4140" spans="1:12" ht="15.6">
      <c r="A4140" s="526">
        <v>45973</v>
      </c>
      <c r="B4140" s="519" t="s">
        <v>4876</v>
      </c>
      <c r="C4140" s="519" t="s">
        <v>172</v>
      </c>
      <c r="D4140" s="510" t="s">
        <v>119</v>
      </c>
      <c r="E4140" s="519">
        <v>1000</v>
      </c>
      <c r="F4140" s="502"/>
      <c r="G4140" s="503">
        <v>533.50300000000004</v>
      </c>
      <c r="H4140" s="519" t="s">
        <v>315</v>
      </c>
      <c r="I4140" s="519" t="s">
        <v>4288</v>
      </c>
      <c r="J4140" s="505" t="s">
        <v>96</v>
      </c>
      <c r="K4140" s="505" t="s">
        <v>2102</v>
      </c>
      <c r="L4140" s="505" t="s">
        <v>153</v>
      </c>
    </row>
    <row r="4141" spans="1:12" ht="15.6">
      <c r="A4141" s="526">
        <v>45973</v>
      </c>
      <c r="B4141" s="519" t="s">
        <v>4876</v>
      </c>
      <c r="C4141" s="519" t="s">
        <v>172</v>
      </c>
      <c r="D4141" s="510" t="s">
        <v>119</v>
      </c>
      <c r="E4141" s="519">
        <v>2000</v>
      </c>
      <c r="F4141" s="502">
        <f t="shared" ref="F4141:F4204" si="66">E4141/G4141</f>
        <v>3.7488074106424891</v>
      </c>
      <c r="G4141" s="503">
        <v>533.50300000000004</v>
      </c>
      <c r="H4141" s="519" t="s">
        <v>315</v>
      </c>
      <c r="I4141" s="519" t="s">
        <v>4288</v>
      </c>
      <c r="J4141" s="505" t="s">
        <v>96</v>
      </c>
      <c r="K4141" s="505" t="s">
        <v>2102</v>
      </c>
      <c r="L4141" s="505" t="s">
        <v>153</v>
      </c>
    </row>
    <row r="4142" spans="1:12" ht="15.6">
      <c r="A4142" s="526">
        <v>45973</v>
      </c>
      <c r="B4142" s="519" t="s">
        <v>4876</v>
      </c>
      <c r="C4142" s="519" t="s">
        <v>172</v>
      </c>
      <c r="D4142" s="510" t="s">
        <v>119</v>
      </c>
      <c r="E4142" s="519">
        <v>3500</v>
      </c>
      <c r="F4142" s="502">
        <f t="shared" si="66"/>
        <v>6.5604129686243562</v>
      </c>
      <c r="G4142" s="503">
        <v>533.50300000000004</v>
      </c>
      <c r="H4142" s="519" t="s">
        <v>315</v>
      </c>
      <c r="I4142" s="519" t="s">
        <v>4288</v>
      </c>
      <c r="J4142" s="505" t="s">
        <v>96</v>
      </c>
      <c r="K4142" s="505" t="s">
        <v>2102</v>
      </c>
      <c r="L4142" s="505" t="s">
        <v>153</v>
      </c>
    </row>
    <row r="4143" spans="1:12" ht="15.6">
      <c r="A4143" s="526">
        <v>45973</v>
      </c>
      <c r="B4143" s="519" t="s">
        <v>4876</v>
      </c>
      <c r="C4143" s="519" t="s">
        <v>172</v>
      </c>
      <c r="D4143" s="510" t="s">
        <v>119</v>
      </c>
      <c r="E4143" s="521">
        <v>1000</v>
      </c>
      <c r="F4143" s="502">
        <f t="shared" si="66"/>
        <v>1.8744037053212446</v>
      </c>
      <c r="G4143" s="503">
        <v>533.50300000000004</v>
      </c>
      <c r="H4143" s="519" t="s">
        <v>321</v>
      </c>
      <c r="I4143" s="519" t="s">
        <v>4314</v>
      </c>
      <c r="J4143" s="505" t="s">
        <v>96</v>
      </c>
      <c r="K4143" s="505" t="s">
        <v>2102</v>
      </c>
      <c r="L4143" s="505" t="s">
        <v>153</v>
      </c>
    </row>
    <row r="4144" spans="1:12" ht="15.6">
      <c r="A4144" s="526">
        <v>45973</v>
      </c>
      <c r="B4144" s="519" t="s">
        <v>4907</v>
      </c>
      <c r="C4144" s="519" t="s">
        <v>172</v>
      </c>
      <c r="D4144" s="510" t="s">
        <v>119</v>
      </c>
      <c r="E4144" s="521">
        <v>1000</v>
      </c>
      <c r="F4144" s="502">
        <f t="shared" si="66"/>
        <v>1.8744037053212446</v>
      </c>
      <c r="G4144" s="503">
        <v>533.50300000000004</v>
      </c>
      <c r="H4144" s="519" t="s">
        <v>321</v>
      </c>
      <c r="I4144" s="519" t="s">
        <v>4314</v>
      </c>
      <c r="J4144" s="505" t="s">
        <v>96</v>
      </c>
      <c r="K4144" s="505" t="s">
        <v>2102</v>
      </c>
      <c r="L4144" s="505" t="s">
        <v>153</v>
      </c>
    </row>
    <row r="4145" spans="1:12" ht="15.6">
      <c r="A4145" s="526">
        <v>45973</v>
      </c>
      <c r="B4145" s="519" t="s">
        <v>4907</v>
      </c>
      <c r="C4145" s="519" t="s">
        <v>172</v>
      </c>
      <c r="D4145" s="510" t="s">
        <v>119</v>
      </c>
      <c r="E4145" s="521">
        <v>1000</v>
      </c>
      <c r="F4145" s="502">
        <f t="shared" si="66"/>
        <v>1.8744037053212446</v>
      </c>
      <c r="G4145" s="503">
        <v>533.50300000000004</v>
      </c>
      <c r="H4145" s="519" t="s">
        <v>321</v>
      </c>
      <c r="I4145" s="519" t="s">
        <v>4314</v>
      </c>
      <c r="J4145" s="505" t="s">
        <v>96</v>
      </c>
      <c r="K4145" s="505" t="s">
        <v>2102</v>
      </c>
      <c r="L4145" s="505" t="s">
        <v>153</v>
      </c>
    </row>
    <row r="4146" spans="1:12" ht="15.6">
      <c r="A4146" s="526">
        <v>45973</v>
      </c>
      <c r="B4146" s="519" t="s">
        <v>4917</v>
      </c>
      <c r="C4146" s="519" t="s">
        <v>172</v>
      </c>
      <c r="D4146" s="510" t="s">
        <v>119</v>
      </c>
      <c r="E4146" s="521">
        <v>1500</v>
      </c>
      <c r="F4146" s="502">
        <f t="shared" si="66"/>
        <v>2.8116055579818666</v>
      </c>
      <c r="G4146" s="503">
        <v>533.50300000000004</v>
      </c>
      <c r="H4146" s="519" t="s">
        <v>321</v>
      </c>
      <c r="I4146" s="519" t="s">
        <v>4314</v>
      </c>
      <c r="J4146" s="505" t="s">
        <v>96</v>
      </c>
      <c r="K4146" s="505" t="s">
        <v>2102</v>
      </c>
      <c r="L4146" s="505" t="s">
        <v>153</v>
      </c>
    </row>
    <row r="4147" spans="1:12" ht="15.6">
      <c r="A4147" s="526">
        <v>45973</v>
      </c>
      <c r="B4147" s="519" t="s">
        <v>4347</v>
      </c>
      <c r="C4147" s="519" t="s">
        <v>172</v>
      </c>
      <c r="D4147" s="519" t="s">
        <v>115</v>
      </c>
      <c r="E4147" s="520">
        <v>500</v>
      </c>
      <c r="F4147" s="502">
        <f t="shared" si="66"/>
        <v>0.93720185266062228</v>
      </c>
      <c r="G4147" s="503">
        <v>533.50300000000004</v>
      </c>
      <c r="H4147" s="519" t="s">
        <v>188</v>
      </c>
      <c r="I4147" s="519" t="s">
        <v>4359</v>
      </c>
      <c r="J4147" s="505" t="s">
        <v>96</v>
      </c>
      <c r="K4147" s="505" t="s">
        <v>2102</v>
      </c>
      <c r="L4147" s="505" t="s">
        <v>153</v>
      </c>
    </row>
    <row r="4148" spans="1:12" ht="15.6">
      <c r="A4148" s="526">
        <v>45973</v>
      </c>
      <c r="B4148" s="519" t="s">
        <v>4348</v>
      </c>
      <c r="C4148" s="505" t="s">
        <v>3317</v>
      </c>
      <c r="D4148" s="519" t="s">
        <v>115</v>
      </c>
      <c r="E4148" s="520">
        <v>3000</v>
      </c>
      <c r="F4148" s="502">
        <f t="shared" si="66"/>
        <v>5.6232111159637332</v>
      </c>
      <c r="G4148" s="503">
        <v>533.50300000000004</v>
      </c>
      <c r="H4148" s="519" t="s">
        <v>188</v>
      </c>
      <c r="I4148" s="519" t="s">
        <v>4370</v>
      </c>
      <c r="J4148" s="505" t="s">
        <v>96</v>
      </c>
      <c r="K4148" s="505" t="s">
        <v>2102</v>
      </c>
      <c r="L4148" s="505" t="s">
        <v>153</v>
      </c>
    </row>
    <row r="4149" spans="1:12" ht="15.6">
      <c r="A4149" s="526">
        <v>45973</v>
      </c>
      <c r="B4149" s="519" t="s">
        <v>4349</v>
      </c>
      <c r="C4149" s="519" t="s">
        <v>172</v>
      </c>
      <c r="D4149" s="519" t="s">
        <v>115</v>
      </c>
      <c r="E4149" s="520">
        <v>250</v>
      </c>
      <c r="F4149" s="502">
        <f t="shared" si="66"/>
        <v>0.46860092633031114</v>
      </c>
      <c r="G4149" s="503">
        <v>533.50300000000004</v>
      </c>
      <c r="H4149" s="519" t="s">
        <v>188</v>
      </c>
      <c r="I4149" s="519" t="s">
        <v>4359</v>
      </c>
      <c r="J4149" s="505" t="s">
        <v>96</v>
      </c>
      <c r="K4149" s="505" t="s">
        <v>2102</v>
      </c>
      <c r="L4149" s="505" t="s">
        <v>153</v>
      </c>
    </row>
    <row r="4150" spans="1:12" ht="15.6">
      <c r="A4150" s="526">
        <v>45973</v>
      </c>
      <c r="B4150" s="519" t="s">
        <v>4350</v>
      </c>
      <c r="C4150" s="519" t="s">
        <v>172</v>
      </c>
      <c r="D4150" s="519" t="s">
        <v>115</v>
      </c>
      <c r="E4150" s="520">
        <v>250</v>
      </c>
      <c r="F4150" s="502">
        <f t="shared" si="66"/>
        <v>0.46860092633031114</v>
      </c>
      <c r="G4150" s="503">
        <v>533.50300000000004</v>
      </c>
      <c r="H4150" s="519" t="s">
        <v>188</v>
      </c>
      <c r="I4150" s="519" t="s">
        <v>4359</v>
      </c>
      <c r="J4150" s="505" t="s">
        <v>96</v>
      </c>
      <c r="K4150" s="505" t="s">
        <v>2102</v>
      </c>
      <c r="L4150" s="505" t="s">
        <v>153</v>
      </c>
    </row>
    <row r="4151" spans="1:12" ht="15.6">
      <c r="A4151" s="526">
        <v>45973</v>
      </c>
      <c r="B4151" s="519" t="s">
        <v>1313</v>
      </c>
      <c r="C4151" s="519" t="s">
        <v>172</v>
      </c>
      <c r="D4151" s="519" t="s">
        <v>115</v>
      </c>
      <c r="E4151" s="520">
        <v>7000</v>
      </c>
      <c r="F4151" s="502">
        <f t="shared" si="66"/>
        <v>13.120825937248712</v>
      </c>
      <c r="G4151" s="503">
        <v>533.50300000000004</v>
      </c>
      <c r="H4151" s="519" t="s">
        <v>188</v>
      </c>
      <c r="I4151" s="519" t="s">
        <v>4371</v>
      </c>
      <c r="J4151" s="505" t="s">
        <v>96</v>
      </c>
      <c r="K4151" s="505" t="s">
        <v>2102</v>
      </c>
      <c r="L4151" s="505" t="s">
        <v>153</v>
      </c>
    </row>
    <row r="4152" spans="1:12" ht="15.6">
      <c r="A4152" s="526">
        <v>45973</v>
      </c>
      <c r="B4152" s="519" t="s">
        <v>4342</v>
      </c>
      <c r="C4152" s="519" t="s">
        <v>172</v>
      </c>
      <c r="D4152" s="519" t="s">
        <v>115</v>
      </c>
      <c r="E4152" s="520">
        <v>500</v>
      </c>
      <c r="F4152" s="502">
        <f t="shared" si="66"/>
        <v>0.93720185266062228</v>
      </c>
      <c r="G4152" s="503">
        <v>533.50300000000004</v>
      </c>
      <c r="H4152" s="519" t="s">
        <v>188</v>
      </c>
      <c r="I4152" s="519" t="s">
        <v>4359</v>
      </c>
      <c r="J4152" s="505" t="s">
        <v>96</v>
      </c>
      <c r="K4152" s="505" t="s">
        <v>2102</v>
      </c>
      <c r="L4152" s="505" t="s">
        <v>153</v>
      </c>
    </row>
    <row r="4153" spans="1:12" ht="15.6">
      <c r="A4153" s="526">
        <v>45973</v>
      </c>
      <c r="B4153" s="519" t="s">
        <v>4343</v>
      </c>
      <c r="C4153" s="519" t="s">
        <v>172</v>
      </c>
      <c r="D4153" s="519" t="s">
        <v>115</v>
      </c>
      <c r="E4153" s="520">
        <v>500</v>
      </c>
      <c r="F4153" s="502">
        <f t="shared" si="66"/>
        <v>0.93720185266062228</v>
      </c>
      <c r="G4153" s="503">
        <v>533.50300000000004</v>
      </c>
      <c r="H4153" s="519" t="s">
        <v>188</v>
      </c>
      <c r="I4153" s="519" t="s">
        <v>4359</v>
      </c>
      <c r="J4153" s="505" t="s">
        <v>96</v>
      </c>
      <c r="K4153" s="505" t="s">
        <v>2102</v>
      </c>
      <c r="L4153" s="505" t="s">
        <v>153</v>
      </c>
    </row>
    <row r="4154" spans="1:12" ht="15.6">
      <c r="A4154" s="526">
        <v>45973</v>
      </c>
      <c r="B4154" s="519" t="s">
        <v>4351</v>
      </c>
      <c r="C4154" s="505" t="s">
        <v>3317</v>
      </c>
      <c r="D4154" s="519" t="s">
        <v>115</v>
      </c>
      <c r="E4154" s="520">
        <v>3000</v>
      </c>
      <c r="F4154" s="502">
        <f t="shared" si="66"/>
        <v>5.6232111159637332</v>
      </c>
      <c r="G4154" s="503">
        <v>533.50300000000004</v>
      </c>
      <c r="H4154" s="519" t="s">
        <v>188</v>
      </c>
      <c r="I4154" s="519" t="s">
        <v>4370</v>
      </c>
      <c r="J4154" s="505" t="s">
        <v>96</v>
      </c>
      <c r="K4154" s="505" t="s">
        <v>2102</v>
      </c>
      <c r="L4154" s="505" t="s">
        <v>153</v>
      </c>
    </row>
    <row r="4155" spans="1:12" ht="15.6">
      <c r="A4155" s="526">
        <v>45973</v>
      </c>
      <c r="B4155" s="519" t="s">
        <v>4345</v>
      </c>
      <c r="C4155" s="519" t="s">
        <v>172</v>
      </c>
      <c r="D4155" s="519" t="s">
        <v>115</v>
      </c>
      <c r="E4155" s="520">
        <v>250</v>
      </c>
      <c r="F4155" s="502">
        <f t="shared" si="66"/>
        <v>0.46860092633031114</v>
      </c>
      <c r="G4155" s="503">
        <v>533.50300000000004</v>
      </c>
      <c r="H4155" s="519" t="s">
        <v>188</v>
      </c>
      <c r="I4155" s="519" t="s">
        <v>4359</v>
      </c>
      <c r="J4155" s="505" t="s">
        <v>96</v>
      </c>
      <c r="K4155" s="505" t="s">
        <v>2102</v>
      </c>
      <c r="L4155" s="505" t="s">
        <v>153</v>
      </c>
    </row>
    <row r="4156" spans="1:12" ht="15.6">
      <c r="A4156" s="526">
        <v>45973</v>
      </c>
      <c r="B4156" s="519" t="s">
        <v>4352</v>
      </c>
      <c r="C4156" s="519" t="s">
        <v>172</v>
      </c>
      <c r="D4156" s="519" t="s">
        <v>115</v>
      </c>
      <c r="E4156" s="520">
        <v>500</v>
      </c>
      <c r="F4156" s="502">
        <f t="shared" si="66"/>
        <v>0.93720185266062228</v>
      </c>
      <c r="G4156" s="503">
        <v>533.50300000000004</v>
      </c>
      <c r="H4156" s="519" t="s">
        <v>188</v>
      </c>
      <c r="I4156" s="519" t="s">
        <v>4359</v>
      </c>
      <c r="J4156" s="505" t="s">
        <v>96</v>
      </c>
      <c r="K4156" s="505" t="s">
        <v>2102</v>
      </c>
      <c r="L4156" s="505" t="s">
        <v>153</v>
      </c>
    </row>
    <row r="4157" spans="1:12" ht="15.6">
      <c r="A4157" s="526">
        <v>45973</v>
      </c>
      <c r="B4157" s="519" t="s">
        <v>4600</v>
      </c>
      <c r="C4157" s="519" t="s">
        <v>172</v>
      </c>
      <c r="D4157" s="519" t="s">
        <v>115</v>
      </c>
      <c r="E4157" s="519">
        <v>1000</v>
      </c>
      <c r="F4157" s="502">
        <f t="shared" si="66"/>
        <v>1.8744037053212446</v>
      </c>
      <c r="G4157" s="503">
        <v>533.50300000000004</v>
      </c>
      <c r="H4157" s="519" t="s">
        <v>185</v>
      </c>
      <c r="I4157" s="519" t="s">
        <v>4631</v>
      </c>
      <c r="J4157" s="505" t="s">
        <v>96</v>
      </c>
      <c r="K4157" s="505" t="s">
        <v>2102</v>
      </c>
      <c r="L4157" s="505" t="s">
        <v>153</v>
      </c>
    </row>
    <row r="4158" spans="1:12" ht="15.6">
      <c r="A4158" s="526">
        <v>45973</v>
      </c>
      <c r="B4158" s="519" t="s">
        <v>4601</v>
      </c>
      <c r="C4158" s="519" t="s">
        <v>172</v>
      </c>
      <c r="D4158" s="519" t="s">
        <v>115</v>
      </c>
      <c r="E4158" s="519">
        <v>1000</v>
      </c>
      <c r="F4158" s="502">
        <f t="shared" si="66"/>
        <v>1.8744037053212446</v>
      </c>
      <c r="G4158" s="503">
        <v>533.50300000000004</v>
      </c>
      <c r="H4158" s="519" t="s">
        <v>185</v>
      </c>
      <c r="I4158" s="519" t="s">
        <v>4631</v>
      </c>
      <c r="J4158" s="505" t="s">
        <v>96</v>
      </c>
      <c r="K4158" s="505" t="s">
        <v>2102</v>
      </c>
      <c r="L4158" s="505" t="s">
        <v>153</v>
      </c>
    </row>
    <row r="4159" spans="1:12" ht="15.6">
      <c r="A4159" s="486">
        <v>45974</v>
      </c>
      <c r="B4159" s="478" t="s">
        <v>2103</v>
      </c>
      <c r="C4159" s="478" t="s">
        <v>172</v>
      </c>
      <c r="D4159" s="501" t="s">
        <v>117</v>
      </c>
      <c r="E4159" s="481">
        <v>1000</v>
      </c>
      <c r="F4159" s="502">
        <f t="shared" si="66"/>
        <v>1.8744037053212446</v>
      </c>
      <c r="G4159" s="503">
        <v>533.50300000000004</v>
      </c>
      <c r="H4159" s="504" t="s">
        <v>151</v>
      </c>
      <c r="I4159" s="478" t="s">
        <v>4133</v>
      </c>
      <c r="J4159" s="505" t="s">
        <v>96</v>
      </c>
      <c r="K4159" s="505" t="s">
        <v>2102</v>
      </c>
      <c r="L4159" s="505" t="s">
        <v>153</v>
      </c>
    </row>
    <row r="4160" spans="1:12" ht="15.6">
      <c r="A4160" s="486">
        <v>45974</v>
      </c>
      <c r="B4160" s="478" t="s">
        <v>2104</v>
      </c>
      <c r="C4160" s="478" t="s">
        <v>172</v>
      </c>
      <c r="D4160" s="501" t="s">
        <v>117</v>
      </c>
      <c r="E4160" s="481">
        <v>1000</v>
      </c>
      <c r="F4160" s="502">
        <f t="shared" si="66"/>
        <v>1.8744037053212446</v>
      </c>
      <c r="G4160" s="503">
        <v>533.50300000000004</v>
      </c>
      <c r="H4160" s="504" t="s">
        <v>151</v>
      </c>
      <c r="I4160" s="478" t="s">
        <v>4133</v>
      </c>
      <c r="J4160" s="505" t="s">
        <v>96</v>
      </c>
      <c r="K4160" s="505" t="s">
        <v>2102</v>
      </c>
      <c r="L4160" s="505" t="s">
        <v>153</v>
      </c>
    </row>
    <row r="4161" spans="1:12" ht="15.6">
      <c r="A4161" s="517">
        <v>45974</v>
      </c>
      <c r="B4161" s="519" t="s">
        <v>4197</v>
      </c>
      <c r="C4161" s="519" t="s">
        <v>172</v>
      </c>
      <c r="D4161" s="519" t="s">
        <v>116</v>
      </c>
      <c r="E4161" s="520">
        <v>1000</v>
      </c>
      <c r="F4161" s="502">
        <f t="shared" si="66"/>
        <v>1.8744037053212446</v>
      </c>
      <c r="G4161" s="503">
        <v>533.50300000000004</v>
      </c>
      <c r="H4161" s="519" t="s">
        <v>581</v>
      </c>
      <c r="I4161" s="519" t="s">
        <v>4213</v>
      </c>
      <c r="J4161" s="505" t="s">
        <v>96</v>
      </c>
      <c r="K4161" s="505" t="s">
        <v>2102</v>
      </c>
      <c r="L4161" s="505" t="s">
        <v>153</v>
      </c>
    </row>
    <row r="4162" spans="1:12" ht="15.6">
      <c r="A4162" s="524">
        <v>45974</v>
      </c>
      <c r="B4162" s="525" t="s">
        <v>4917</v>
      </c>
      <c r="C4162" s="525" t="s">
        <v>172</v>
      </c>
      <c r="D4162" s="510" t="s">
        <v>119</v>
      </c>
      <c r="E4162" s="525">
        <v>1000</v>
      </c>
      <c r="F4162" s="502">
        <f t="shared" si="66"/>
        <v>1.8744037053212446</v>
      </c>
      <c r="G4162" s="503">
        <v>533.50300000000004</v>
      </c>
      <c r="H4162" s="525" t="s">
        <v>182</v>
      </c>
      <c r="I4162" s="525" t="s">
        <v>4237</v>
      </c>
      <c r="J4162" s="505" t="s">
        <v>96</v>
      </c>
      <c r="K4162" s="505" t="s">
        <v>2102</v>
      </c>
      <c r="L4162" s="505" t="s">
        <v>153</v>
      </c>
    </row>
    <row r="4163" spans="1:12" ht="15.6">
      <c r="A4163" s="524">
        <v>45974</v>
      </c>
      <c r="B4163" s="525" t="s">
        <v>4917</v>
      </c>
      <c r="C4163" s="525" t="s">
        <v>172</v>
      </c>
      <c r="D4163" s="510" t="s">
        <v>119</v>
      </c>
      <c r="E4163" s="525">
        <v>1000</v>
      </c>
      <c r="F4163" s="502">
        <f t="shared" si="66"/>
        <v>1.8744037053212446</v>
      </c>
      <c r="G4163" s="503">
        <v>533.50300000000004</v>
      </c>
      <c r="H4163" s="525" t="s">
        <v>182</v>
      </c>
      <c r="I4163" s="525" t="s">
        <v>4237</v>
      </c>
      <c r="J4163" s="505" t="s">
        <v>96</v>
      </c>
      <c r="K4163" s="505" t="s">
        <v>2102</v>
      </c>
      <c r="L4163" s="505" t="s">
        <v>153</v>
      </c>
    </row>
    <row r="4164" spans="1:12" ht="15.6">
      <c r="A4164" s="524">
        <v>45974</v>
      </c>
      <c r="B4164" s="525" t="s">
        <v>4917</v>
      </c>
      <c r="C4164" s="525" t="s">
        <v>172</v>
      </c>
      <c r="D4164" s="510" t="s">
        <v>119</v>
      </c>
      <c r="E4164" s="525">
        <v>1000</v>
      </c>
      <c r="F4164" s="502">
        <f t="shared" si="66"/>
        <v>1.8744037053212446</v>
      </c>
      <c r="G4164" s="503">
        <v>533.50300000000004</v>
      </c>
      <c r="H4164" s="525" t="s">
        <v>182</v>
      </c>
      <c r="I4164" s="525" t="s">
        <v>4237</v>
      </c>
      <c r="J4164" s="505" t="s">
        <v>96</v>
      </c>
      <c r="K4164" s="505" t="s">
        <v>2102</v>
      </c>
      <c r="L4164" s="505" t="s">
        <v>153</v>
      </c>
    </row>
    <row r="4165" spans="1:12" ht="15.6">
      <c r="A4165" s="524">
        <v>45974</v>
      </c>
      <c r="B4165" s="525" t="s">
        <v>4917</v>
      </c>
      <c r="C4165" s="525" t="s">
        <v>172</v>
      </c>
      <c r="D4165" s="510" t="s">
        <v>119</v>
      </c>
      <c r="E4165" s="525">
        <v>1500</v>
      </c>
      <c r="F4165" s="502">
        <f t="shared" si="66"/>
        <v>2.8116055579818666</v>
      </c>
      <c r="G4165" s="503">
        <v>533.50300000000004</v>
      </c>
      <c r="H4165" s="525" t="s">
        <v>182</v>
      </c>
      <c r="I4165" s="525" t="s">
        <v>4237</v>
      </c>
      <c r="J4165" s="505" t="s">
        <v>96</v>
      </c>
      <c r="K4165" s="505" t="s">
        <v>2102</v>
      </c>
      <c r="L4165" s="505" t="s">
        <v>153</v>
      </c>
    </row>
    <row r="4166" spans="1:12" ht="15.6">
      <c r="A4166" s="526">
        <v>45974</v>
      </c>
      <c r="B4166" s="519" t="s">
        <v>4876</v>
      </c>
      <c r="C4166" s="519" t="s">
        <v>172</v>
      </c>
      <c r="D4166" s="510" t="s">
        <v>119</v>
      </c>
      <c r="E4166" s="519">
        <v>1000</v>
      </c>
      <c r="F4166" s="502">
        <f t="shared" si="66"/>
        <v>1.8744037053212446</v>
      </c>
      <c r="G4166" s="503">
        <v>533.50300000000004</v>
      </c>
      <c r="H4166" s="519" t="s">
        <v>173</v>
      </c>
      <c r="I4166" s="519" t="s">
        <v>4263</v>
      </c>
      <c r="J4166" s="505" t="s">
        <v>96</v>
      </c>
      <c r="K4166" s="505" t="s">
        <v>2102</v>
      </c>
      <c r="L4166" s="505" t="s">
        <v>153</v>
      </c>
    </row>
    <row r="4167" spans="1:12" ht="15.6">
      <c r="A4167" s="526">
        <v>45974</v>
      </c>
      <c r="B4167" s="519" t="s">
        <v>4744</v>
      </c>
      <c r="C4167" s="519" t="s">
        <v>172</v>
      </c>
      <c r="D4167" s="510" t="s">
        <v>119</v>
      </c>
      <c r="E4167" s="519">
        <v>12000</v>
      </c>
      <c r="F4167" s="502">
        <f t="shared" si="66"/>
        <v>22.492844463854933</v>
      </c>
      <c r="G4167" s="503">
        <v>533.50300000000004</v>
      </c>
      <c r="H4167" s="519" t="s">
        <v>173</v>
      </c>
      <c r="I4167" s="505" t="s">
        <v>4268</v>
      </c>
      <c r="J4167" s="505" t="s">
        <v>96</v>
      </c>
      <c r="K4167" s="505" t="s">
        <v>2102</v>
      </c>
      <c r="L4167" s="505" t="s">
        <v>153</v>
      </c>
    </row>
    <row r="4168" spans="1:12" ht="15.6">
      <c r="A4168" s="526">
        <v>45974</v>
      </c>
      <c r="B4168" s="519" t="s">
        <v>4876</v>
      </c>
      <c r="C4168" s="519" t="s">
        <v>172</v>
      </c>
      <c r="D4168" s="510" t="s">
        <v>119</v>
      </c>
      <c r="E4168" s="519">
        <v>2500</v>
      </c>
      <c r="F4168" s="502">
        <f t="shared" si="66"/>
        <v>4.6860092633031112</v>
      </c>
      <c r="G4168" s="503">
        <v>533.50300000000004</v>
      </c>
      <c r="H4168" s="519" t="s">
        <v>173</v>
      </c>
      <c r="I4168" s="519" t="s">
        <v>4263</v>
      </c>
      <c r="J4168" s="505" t="s">
        <v>96</v>
      </c>
      <c r="K4168" s="505" t="s">
        <v>2102</v>
      </c>
      <c r="L4168" s="505" t="s">
        <v>153</v>
      </c>
    </row>
    <row r="4169" spans="1:12" ht="15.6">
      <c r="A4169" s="526">
        <v>45974</v>
      </c>
      <c r="B4169" s="519" t="s">
        <v>4876</v>
      </c>
      <c r="C4169" s="519" t="s">
        <v>172</v>
      </c>
      <c r="D4169" s="510" t="s">
        <v>119</v>
      </c>
      <c r="E4169" s="519">
        <v>2000</v>
      </c>
      <c r="F4169" s="502">
        <f t="shared" si="66"/>
        <v>3.7488074106424891</v>
      </c>
      <c r="G4169" s="503">
        <v>533.50300000000004</v>
      </c>
      <c r="H4169" s="519" t="s">
        <v>173</v>
      </c>
      <c r="I4169" s="519" t="s">
        <v>4263</v>
      </c>
      <c r="J4169" s="505" t="s">
        <v>96</v>
      </c>
      <c r="K4169" s="505" t="s">
        <v>2102</v>
      </c>
      <c r="L4169" s="505" t="s">
        <v>153</v>
      </c>
    </row>
    <row r="4170" spans="1:12" ht="15.6">
      <c r="A4170" s="526">
        <v>45974</v>
      </c>
      <c r="B4170" s="519" t="s">
        <v>4876</v>
      </c>
      <c r="C4170" s="519" t="s">
        <v>172</v>
      </c>
      <c r="D4170" s="510" t="s">
        <v>119</v>
      </c>
      <c r="E4170" s="519">
        <v>1000</v>
      </c>
      <c r="F4170" s="502">
        <f t="shared" si="66"/>
        <v>1.8744037053212446</v>
      </c>
      <c r="G4170" s="503">
        <v>533.50300000000004</v>
      </c>
      <c r="H4170" s="519" t="s">
        <v>173</v>
      </c>
      <c r="I4170" s="519" t="s">
        <v>4263</v>
      </c>
      <c r="J4170" s="505" t="s">
        <v>96</v>
      </c>
      <c r="K4170" s="505" t="s">
        <v>2102</v>
      </c>
      <c r="L4170" s="505" t="s">
        <v>153</v>
      </c>
    </row>
    <row r="4171" spans="1:12" ht="15.6">
      <c r="A4171" s="526">
        <v>45974</v>
      </c>
      <c r="B4171" s="519" t="s">
        <v>4765</v>
      </c>
      <c r="C4171" s="519" t="s">
        <v>366</v>
      </c>
      <c r="D4171" s="510" t="s">
        <v>119</v>
      </c>
      <c r="E4171" s="519">
        <v>1500</v>
      </c>
      <c r="F4171" s="502">
        <f t="shared" si="66"/>
        <v>2.7602044759475781</v>
      </c>
      <c r="G4171" s="503">
        <v>543.43799999999999</v>
      </c>
      <c r="H4171" s="519" t="s">
        <v>173</v>
      </c>
      <c r="I4171" s="519" t="s">
        <v>4264</v>
      </c>
      <c r="J4171" s="505" t="s">
        <v>96</v>
      </c>
      <c r="K4171" s="505" t="s">
        <v>4104</v>
      </c>
      <c r="L4171" s="505" t="s">
        <v>153</v>
      </c>
    </row>
    <row r="4172" spans="1:12" ht="15.6">
      <c r="A4172" s="526">
        <v>45974</v>
      </c>
      <c r="B4172" s="519" t="s">
        <v>4917</v>
      </c>
      <c r="C4172" s="519" t="s">
        <v>172</v>
      </c>
      <c r="D4172" s="510" t="s">
        <v>119</v>
      </c>
      <c r="E4172" s="519">
        <v>1000</v>
      </c>
      <c r="F4172" s="502">
        <f t="shared" si="66"/>
        <v>1.8744037053212446</v>
      </c>
      <c r="G4172" s="503">
        <v>533.50300000000004</v>
      </c>
      <c r="H4172" s="519" t="s">
        <v>315</v>
      </c>
      <c r="I4172" s="519" t="s">
        <v>4288</v>
      </c>
      <c r="J4172" s="505" t="s">
        <v>96</v>
      </c>
      <c r="K4172" s="505" t="s">
        <v>2102</v>
      </c>
      <c r="L4172" s="505" t="s">
        <v>153</v>
      </c>
    </row>
    <row r="4173" spans="1:12" ht="15.6">
      <c r="A4173" s="526">
        <v>45974</v>
      </c>
      <c r="B4173" s="519" t="s">
        <v>4876</v>
      </c>
      <c r="C4173" s="519" t="s">
        <v>172</v>
      </c>
      <c r="D4173" s="510" t="s">
        <v>119</v>
      </c>
      <c r="E4173" s="519">
        <v>1000</v>
      </c>
      <c r="F4173" s="502">
        <f t="shared" si="66"/>
        <v>1.8744037053212446</v>
      </c>
      <c r="G4173" s="503">
        <v>533.50300000000004</v>
      </c>
      <c r="H4173" s="519" t="s">
        <v>315</v>
      </c>
      <c r="I4173" s="519" t="s">
        <v>4288</v>
      </c>
      <c r="J4173" s="505" t="s">
        <v>96</v>
      </c>
      <c r="K4173" s="505" t="s">
        <v>2102</v>
      </c>
      <c r="L4173" s="505" t="s">
        <v>153</v>
      </c>
    </row>
    <row r="4174" spans="1:12" ht="15.6">
      <c r="A4174" s="526">
        <v>45974</v>
      </c>
      <c r="B4174" s="519" t="s">
        <v>4876</v>
      </c>
      <c r="C4174" s="519" t="s">
        <v>172</v>
      </c>
      <c r="D4174" s="510" t="s">
        <v>119</v>
      </c>
      <c r="E4174" s="519">
        <v>2000</v>
      </c>
      <c r="F4174" s="502">
        <f t="shared" si="66"/>
        <v>3.7488074106424891</v>
      </c>
      <c r="G4174" s="503">
        <v>533.50300000000004</v>
      </c>
      <c r="H4174" s="519" t="s">
        <v>315</v>
      </c>
      <c r="I4174" s="519" t="s">
        <v>4288</v>
      </c>
      <c r="J4174" s="505" t="s">
        <v>96</v>
      </c>
      <c r="K4174" s="505" t="s">
        <v>2102</v>
      </c>
      <c r="L4174" s="505" t="s">
        <v>153</v>
      </c>
    </row>
    <row r="4175" spans="1:12" ht="15.6">
      <c r="A4175" s="526">
        <v>45974</v>
      </c>
      <c r="B4175" s="519" t="s">
        <v>4876</v>
      </c>
      <c r="C4175" s="519" t="s">
        <v>172</v>
      </c>
      <c r="D4175" s="510" t="s">
        <v>119</v>
      </c>
      <c r="E4175" s="519">
        <v>1500</v>
      </c>
      <c r="F4175" s="502">
        <f t="shared" si="66"/>
        <v>2.8116055579818666</v>
      </c>
      <c r="G4175" s="503">
        <v>533.50300000000004</v>
      </c>
      <c r="H4175" s="519" t="s">
        <v>315</v>
      </c>
      <c r="I4175" s="519" t="s">
        <v>4288</v>
      </c>
      <c r="J4175" s="505" t="s">
        <v>96</v>
      </c>
      <c r="K4175" s="505" t="s">
        <v>2102</v>
      </c>
      <c r="L4175" s="505" t="s">
        <v>153</v>
      </c>
    </row>
    <row r="4176" spans="1:12" ht="15.6">
      <c r="A4176" s="526">
        <v>45974</v>
      </c>
      <c r="B4176" s="519" t="s">
        <v>4907</v>
      </c>
      <c r="C4176" s="519" t="s">
        <v>172</v>
      </c>
      <c r="D4176" s="510" t="s">
        <v>119</v>
      </c>
      <c r="E4176" s="521">
        <v>1000</v>
      </c>
      <c r="F4176" s="502">
        <f t="shared" si="66"/>
        <v>1.8744037053212446</v>
      </c>
      <c r="G4176" s="503">
        <v>533.50300000000004</v>
      </c>
      <c r="H4176" s="519" t="s">
        <v>321</v>
      </c>
      <c r="I4176" s="519" t="s">
        <v>4314</v>
      </c>
      <c r="J4176" s="505" t="s">
        <v>96</v>
      </c>
      <c r="K4176" s="505" t="s">
        <v>2102</v>
      </c>
      <c r="L4176" s="505" t="s">
        <v>153</v>
      </c>
    </row>
    <row r="4177" spans="1:12" ht="15.6">
      <c r="A4177" s="526">
        <v>45974</v>
      </c>
      <c r="B4177" s="519" t="s">
        <v>4907</v>
      </c>
      <c r="C4177" s="519" t="s">
        <v>172</v>
      </c>
      <c r="D4177" s="510" t="s">
        <v>119</v>
      </c>
      <c r="E4177" s="521">
        <v>1000</v>
      </c>
      <c r="F4177" s="502">
        <f t="shared" si="66"/>
        <v>1.8744037053212446</v>
      </c>
      <c r="G4177" s="503">
        <v>533.50300000000004</v>
      </c>
      <c r="H4177" s="519" t="s">
        <v>321</v>
      </c>
      <c r="I4177" s="519" t="s">
        <v>4314</v>
      </c>
      <c r="J4177" s="505" t="s">
        <v>96</v>
      </c>
      <c r="K4177" s="505" t="s">
        <v>2102</v>
      </c>
      <c r="L4177" s="505" t="s">
        <v>153</v>
      </c>
    </row>
    <row r="4178" spans="1:12" ht="15.6">
      <c r="A4178" s="526">
        <v>45974</v>
      </c>
      <c r="B4178" s="519" t="s">
        <v>4876</v>
      </c>
      <c r="C4178" s="519" t="s">
        <v>172</v>
      </c>
      <c r="D4178" s="510" t="s">
        <v>119</v>
      </c>
      <c r="E4178" s="521">
        <v>1000</v>
      </c>
      <c r="F4178" s="502">
        <f t="shared" si="66"/>
        <v>1.8744037053212446</v>
      </c>
      <c r="G4178" s="503">
        <v>533.50300000000004</v>
      </c>
      <c r="H4178" s="519" t="s">
        <v>321</v>
      </c>
      <c r="I4178" s="519" t="s">
        <v>4314</v>
      </c>
      <c r="J4178" s="505" t="s">
        <v>96</v>
      </c>
      <c r="K4178" s="505" t="s">
        <v>2102</v>
      </c>
      <c r="L4178" s="505" t="s">
        <v>153</v>
      </c>
    </row>
    <row r="4179" spans="1:12" ht="15.6">
      <c r="A4179" s="526">
        <v>45974</v>
      </c>
      <c r="B4179" s="519" t="s">
        <v>4745</v>
      </c>
      <c r="C4179" s="519" t="s">
        <v>172</v>
      </c>
      <c r="D4179" s="510" t="s">
        <v>119</v>
      </c>
      <c r="E4179" s="521">
        <v>12000</v>
      </c>
      <c r="F4179" s="502">
        <f t="shared" si="66"/>
        <v>22.492844463854933</v>
      </c>
      <c r="G4179" s="503">
        <v>533.50300000000004</v>
      </c>
      <c r="H4179" s="519" t="s">
        <v>321</v>
      </c>
      <c r="I4179" s="505" t="s">
        <v>4317</v>
      </c>
      <c r="J4179" s="505" t="s">
        <v>96</v>
      </c>
      <c r="K4179" s="505" t="s">
        <v>2102</v>
      </c>
      <c r="L4179" s="505" t="s">
        <v>153</v>
      </c>
    </row>
    <row r="4180" spans="1:12" ht="15.6">
      <c r="A4180" s="526">
        <v>45974</v>
      </c>
      <c r="B4180" s="519" t="s">
        <v>4353</v>
      </c>
      <c r="C4180" s="519" t="s">
        <v>2394</v>
      </c>
      <c r="D4180" s="519" t="s">
        <v>115</v>
      </c>
      <c r="E4180" s="520">
        <v>30000</v>
      </c>
      <c r="F4180" s="502">
        <f t="shared" si="66"/>
        <v>56.232111159637334</v>
      </c>
      <c r="G4180" s="503">
        <v>533.50300000000004</v>
      </c>
      <c r="H4180" s="519" t="s">
        <v>188</v>
      </c>
      <c r="I4180" s="519" t="s">
        <v>4372</v>
      </c>
      <c r="J4180" s="505" t="s">
        <v>96</v>
      </c>
      <c r="K4180" s="505" t="s">
        <v>2102</v>
      </c>
      <c r="L4180" s="505" t="s">
        <v>153</v>
      </c>
    </row>
    <row r="4181" spans="1:12" ht="15.6">
      <c r="A4181" s="526">
        <v>45974</v>
      </c>
      <c r="B4181" s="519" t="s">
        <v>4354</v>
      </c>
      <c r="C4181" s="519" t="s">
        <v>172</v>
      </c>
      <c r="D4181" s="519" t="s">
        <v>115</v>
      </c>
      <c r="E4181" s="520">
        <v>500</v>
      </c>
      <c r="F4181" s="502">
        <f t="shared" si="66"/>
        <v>0.93720185266062228</v>
      </c>
      <c r="G4181" s="503">
        <v>533.50300000000004</v>
      </c>
      <c r="H4181" s="519" t="s">
        <v>188</v>
      </c>
      <c r="I4181" s="519" t="s">
        <v>4359</v>
      </c>
      <c r="J4181" s="505" t="s">
        <v>96</v>
      </c>
      <c r="K4181" s="505" t="s">
        <v>2102</v>
      </c>
      <c r="L4181" s="505" t="s">
        <v>153</v>
      </c>
    </row>
    <row r="4182" spans="1:12" ht="15.6">
      <c r="A4182" s="526">
        <v>45974</v>
      </c>
      <c r="B4182" s="519" t="s">
        <v>4355</v>
      </c>
      <c r="C4182" s="519" t="s">
        <v>172</v>
      </c>
      <c r="D4182" s="519" t="s">
        <v>115</v>
      </c>
      <c r="E4182" s="520">
        <v>1000</v>
      </c>
      <c r="F4182" s="502">
        <f t="shared" si="66"/>
        <v>1.8744037053212446</v>
      </c>
      <c r="G4182" s="503">
        <v>533.50300000000004</v>
      </c>
      <c r="H4182" s="519" t="s">
        <v>188</v>
      </c>
      <c r="I4182" s="519" t="s">
        <v>4359</v>
      </c>
      <c r="J4182" s="505" t="s">
        <v>96</v>
      </c>
      <c r="K4182" s="505" t="s">
        <v>2102</v>
      </c>
      <c r="L4182" s="505" t="s">
        <v>153</v>
      </c>
    </row>
    <row r="4183" spans="1:12" ht="15.6">
      <c r="A4183" s="526">
        <v>45974</v>
      </c>
      <c r="B4183" s="519" t="s">
        <v>4602</v>
      </c>
      <c r="C4183" s="519" t="s">
        <v>172</v>
      </c>
      <c r="D4183" s="519" t="s">
        <v>115</v>
      </c>
      <c r="E4183" s="519">
        <v>1000</v>
      </c>
      <c r="F4183" s="502">
        <f t="shared" si="66"/>
        <v>1.8744037053212446</v>
      </c>
      <c r="G4183" s="503">
        <v>533.50300000000004</v>
      </c>
      <c r="H4183" s="519" t="s">
        <v>185</v>
      </c>
      <c r="I4183" s="519" t="s">
        <v>4631</v>
      </c>
      <c r="J4183" s="505" t="s">
        <v>96</v>
      </c>
      <c r="K4183" s="505" t="s">
        <v>2102</v>
      </c>
      <c r="L4183" s="505" t="s">
        <v>153</v>
      </c>
    </row>
    <row r="4184" spans="1:12" ht="15.6">
      <c r="A4184" s="526">
        <v>45974</v>
      </c>
      <c r="B4184" s="519" t="s">
        <v>4603</v>
      </c>
      <c r="C4184" s="519" t="s">
        <v>172</v>
      </c>
      <c r="D4184" s="519" t="s">
        <v>115</v>
      </c>
      <c r="E4184" s="519">
        <v>1000</v>
      </c>
      <c r="F4184" s="502">
        <f t="shared" si="66"/>
        <v>1.8744037053212446</v>
      </c>
      <c r="G4184" s="503">
        <v>533.50300000000004</v>
      </c>
      <c r="H4184" s="519" t="s">
        <v>185</v>
      </c>
      <c r="I4184" s="519" t="s">
        <v>4631</v>
      </c>
      <c r="J4184" s="505" t="s">
        <v>96</v>
      </c>
      <c r="K4184" s="505" t="s">
        <v>2102</v>
      </c>
      <c r="L4184" s="505" t="s">
        <v>153</v>
      </c>
    </row>
    <row r="4185" spans="1:12" ht="15.6">
      <c r="A4185" s="541">
        <v>45974</v>
      </c>
      <c r="B4185" s="544" t="s">
        <v>4703</v>
      </c>
      <c r="C4185" s="546" t="s">
        <v>121</v>
      </c>
      <c r="D4185" s="547" t="s">
        <v>115</v>
      </c>
      <c r="E4185" s="520">
        <v>150000</v>
      </c>
      <c r="F4185" s="502">
        <f t="shared" si="66"/>
        <v>281.16055579818669</v>
      </c>
      <c r="G4185" s="503">
        <v>533.50300000000004</v>
      </c>
      <c r="H4185" s="76" t="s">
        <v>146</v>
      </c>
      <c r="I4185" s="125" t="s">
        <v>4711</v>
      </c>
      <c r="J4185" s="505" t="s">
        <v>96</v>
      </c>
      <c r="K4185" s="505" t="s">
        <v>2102</v>
      </c>
      <c r="L4185" s="505" t="s">
        <v>153</v>
      </c>
    </row>
    <row r="4186" spans="1:12" ht="15.6">
      <c r="A4186" s="511">
        <v>45975</v>
      </c>
      <c r="B4186" s="525" t="s">
        <v>4743</v>
      </c>
      <c r="C4186" s="525" t="s">
        <v>172</v>
      </c>
      <c r="D4186" s="510" t="s">
        <v>119</v>
      </c>
      <c r="E4186" s="525">
        <v>9000</v>
      </c>
      <c r="F4186" s="502">
        <f t="shared" si="66"/>
        <v>16.869633347891202</v>
      </c>
      <c r="G4186" s="503">
        <v>533.50300000000004</v>
      </c>
      <c r="H4186" s="525" t="s">
        <v>182</v>
      </c>
      <c r="I4186" s="510" t="s">
        <v>4243</v>
      </c>
      <c r="J4186" s="505" t="s">
        <v>96</v>
      </c>
      <c r="K4186" s="505" t="s">
        <v>2102</v>
      </c>
      <c r="L4186" s="505" t="s">
        <v>153</v>
      </c>
    </row>
    <row r="4187" spans="1:12" ht="15.6">
      <c r="A4187" s="486">
        <v>45975</v>
      </c>
      <c r="B4187" s="478" t="s">
        <v>2103</v>
      </c>
      <c r="C4187" s="478" t="s">
        <v>172</v>
      </c>
      <c r="D4187" s="501" t="s">
        <v>117</v>
      </c>
      <c r="E4187" s="481">
        <v>1000</v>
      </c>
      <c r="F4187" s="502">
        <f t="shared" si="66"/>
        <v>1.8744037053212446</v>
      </c>
      <c r="G4187" s="503">
        <v>533.50300000000004</v>
      </c>
      <c r="H4187" s="504" t="s">
        <v>151</v>
      </c>
      <c r="I4187" s="478" t="s">
        <v>4133</v>
      </c>
      <c r="J4187" s="505" t="s">
        <v>96</v>
      </c>
      <c r="K4187" s="505" t="s">
        <v>2102</v>
      </c>
      <c r="L4187" s="505" t="s">
        <v>153</v>
      </c>
    </row>
    <row r="4188" spans="1:12" ht="15.6">
      <c r="A4188" s="486">
        <v>45975</v>
      </c>
      <c r="B4188" s="478" t="s">
        <v>2104</v>
      </c>
      <c r="C4188" s="478" t="s">
        <v>172</v>
      </c>
      <c r="D4188" s="501" t="s">
        <v>117</v>
      </c>
      <c r="E4188" s="481">
        <v>1000</v>
      </c>
      <c r="F4188" s="502">
        <f t="shared" si="66"/>
        <v>1.8744037053212446</v>
      </c>
      <c r="G4188" s="503">
        <v>533.50300000000004</v>
      </c>
      <c r="H4188" s="504" t="s">
        <v>151</v>
      </c>
      <c r="I4188" s="478" t="s">
        <v>4133</v>
      </c>
      <c r="J4188" s="505" t="s">
        <v>96</v>
      </c>
      <c r="K4188" s="505" t="s">
        <v>2102</v>
      </c>
      <c r="L4188" s="505" t="s">
        <v>153</v>
      </c>
    </row>
    <row r="4189" spans="1:12" ht="15.6">
      <c r="A4189" s="524">
        <v>45975</v>
      </c>
      <c r="B4189" s="525" t="s">
        <v>4917</v>
      </c>
      <c r="C4189" s="525" t="s">
        <v>172</v>
      </c>
      <c r="D4189" s="510" t="s">
        <v>119</v>
      </c>
      <c r="E4189" s="525">
        <v>2000</v>
      </c>
      <c r="F4189" s="502">
        <f t="shared" si="66"/>
        <v>3.7488074106424891</v>
      </c>
      <c r="G4189" s="503">
        <v>533.50300000000004</v>
      </c>
      <c r="H4189" s="525" t="s">
        <v>182</v>
      </c>
      <c r="I4189" s="525" t="s">
        <v>4237</v>
      </c>
      <c r="J4189" s="505" t="s">
        <v>96</v>
      </c>
      <c r="K4189" s="505" t="s">
        <v>2102</v>
      </c>
      <c r="L4189" s="505" t="s">
        <v>153</v>
      </c>
    </row>
    <row r="4190" spans="1:12" ht="15.6">
      <c r="A4190" s="524">
        <v>45975</v>
      </c>
      <c r="B4190" s="525" t="s">
        <v>4917</v>
      </c>
      <c r="C4190" s="525" t="s">
        <v>172</v>
      </c>
      <c r="D4190" s="510" t="s">
        <v>119</v>
      </c>
      <c r="E4190" s="525">
        <v>1000</v>
      </c>
      <c r="F4190" s="502">
        <f t="shared" si="66"/>
        <v>1.8744037053212446</v>
      </c>
      <c r="G4190" s="503">
        <v>533.50300000000004</v>
      </c>
      <c r="H4190" s="525" t="s">
        <v>182</v>
      </c>
      <c r="I4190" s="525" t="s">
        <v>4237</v>
      </c>
      <c r="J4190" s="505" t="s">
        <v>96</v>
      </c>
      <c r="K4190" s="505" t="s">
        <v>2102</v>
      </c>
      <c r="L4190" s="505" t="s">
        <v>153</v>
      </c>
    </row>
    <row r="4191" spans="1:12" ht="15.6">
      <c r="A4191" s="524">
        <v>45975</v>
      </c>
      <c r="B4191" s="525" t="s">
        <v>4917</v>
      </c>
      <c r="C4191" s="525" t="s">
        <v>172</v>
      </c>
      <c r="D4191" s="510" t="s">
        <v>119</v>
      </c>
      <c r="E4191" s="525">
        <v>1000</v>
      </c>
      <c r="F4191" s="502">
        <f t="shared" si="66"/>
        <v>1.8744037053212446</v>
      </c>
      <c r="G4191" s="503">
        <v>533.50300000000004</v>
      </c>
      <c r="H4191" s="525" t="s">
        <v>182</v>
      </c>
      <c r="I4191" s="525" t="s">
        <v>4237</v>
      </c>
      <c r="J4191" s="505" t="s">
        <v>96</v>
      </c>
      <c r="K4191" s="505" t="s">
        <v>2102</v>
      </c>
      <c r="L4191" s="505" t="s">
        <v>153</v>
      </c>
    </row>
    <row r="4192" spans="1:12" ht="15.6">
      <c r="A4192" s="524">
        <v>45975</v>
      </c>
      <c r="B4192" s="525" t="s">
        <v>4761</v>
      </c>
      <c r="C4192" s="525" t="s">
        <v>175</v>
      </c>
      <c r="D4192" s="510" t="s">
        <v>119</v>
      </c>
      <c r="E4192" s="525">
        <v>100000</v>
      </c>
      <c r="F4192" s="502">
        <f t="shared" si="66"/>
        <v>187.44037053212446</v>
      </c>
      <c r="G4192" s="503">
        <v>533.50300000000004</v>
      </c>
      <c r="H4192" s="525" t="s">
        <v>182</v>
      </c>
      <c r="I4192" s="525" t="s">
        <v>4244</v>
      </c>
      <c r="J4192" s="505" t="s">
        <v>96</v>
      </c>
      <c r="K4192" s="505" t="s">
        <v>2102</v>
      </c>
      <c r="L4192" s="505" t="s">
        <v>153</v>
      </c>
    </row>
    <row r="4193" spans="1:12" ht="15.6">
      <c r="A4193" s="526">
        <v>45975</v>
      </c>
      <c r="B4193" s="519" t="s">
        <v>4747</v>
      </c>
      <c r="C4193" s="519" t="s">
        <v>2394</v>
      </c>
      <c r="D4193" s="510" t="s">
        <v>119</v>
      </c>
      <c r="E4193" s="519">
        <v>40000</v>
      </c>
      <c r="F4193" s="502">
        <f t="shared" si="66"/>
        <v>74.976148212849779</v>
      </c>
      <c r="G4193" s="503">
        <v>533.50300000000004</v>
      </c>
      <c r="H4193" s="519" t="s">
        <v>173</v>
      </c>
      <c r="I4193" s="519" t="s">
        <v>4269</v>
      </c>
      <c r="J4193" s="505" t="s">
        <v>96</v>
      </c>
      <c r="K4193" s="505" t="s">
        <v>2102</v>
      </c>
      <c r="L4193" s="505" t="s">
        <v>153</v>
      </c>
    </row>
    <row r="4194" spans="1:12" ht="15.6">
      <c r="A4194" s="526">
        <v>45975</v>
      </c>
      <c r="B4194" s="519" t="s">
        <v>4977</v>
      </c>
      <c r="C4194" s="519" t="s">
        <v>172</v>
      </c>
      <c r="D4194" s="510" t="s">
        <v>119</v>
      </c>
      <c r="E4194" s="519">
        <v>1000</v>
      </c>
      <c r="F4194" s="502">
        <f t="shared" si="66"/>
        <v>1.8744037053212446</v>
      </c>
      <c r="G4194" s="503">
        <v>533.50300000000004</v>
      </c>
      <c r="H4194" s="519" t="s">
        <v>173</v>
      </c>
      <c r="I4194" s="519" t="s">
        <v>4263</v>
      </c>
      <c r="J4194" s="505" t="s">
        <v>96</v>
      </c>
      <c r="K4194" s="505" t="s">
        <v>2102</v>
      </c>
      <c r="L4194" s="505" t="s">
        <v>153</v>
      </c>
    </row>
    <row r="4195" spans="1:12" ht="15.6">
      <c r="A4195" s="526">
        <v>45975</v>
      </c>
      <c r="B4195" s="519" t="s">
        <v>4978</v>
      </c>
      <c r="C4195" s="519" t="s">
        <v>172</v>
      </c>
      <c r="D4195" s="510" t="s">
        <v>119</v>
      </c>
      <c r="E4195" s="519">
        <v>1000</v>
      </c>
      <c r="F4195" s="502">
        <f t="shared" si="66"/>
        <v>1.8744037053212446</v>
      </c>
      <c r="G4195" s="503">
        <v>533.50300000000004</v>
      </c>
      <c r="H4195" s="519" t="s">
        <v>173</v>
      </c>
      <c r="I4195" s="519" t="s">
        <v>4263</v>
      </c>
      <c r="J4195" s="505" t="s">
        <v>96</v>
      </c>
      <c r="K4195" s="505" t="s">
        <v>2102</v>
      </c>
      <c r="L4195" s="505" t="s">
        <v>153</v>
      </c>
    </row>
    <row r="4196" spans="1:12" ht="15.6">
      <c r="A4196" s="526">
        <v>45975</v>
      </c>
      <c r="B4196" s="519" t="s">
        <v>4748</v>
      </c>
      <c r="C4196" s="519" t="s">
        <v>175</v>
      </c>
      <c r="D4196" s="510" t="s">
        <v>119</v>
      </c>
      <c r="E4196" s="519">
        <v>100000</v>
      </c>
      <c r="F4196" s="502">
        <f t="shared" si="66"/>
        <v>187.44037053212446</v>
      </c>
      <c r="G4196" s="503">
        <v>533.50300000000004</v>
      </c>
      <c r="H4196" s="519" t="s">
        <v>315</v>
      </c>
      <c r="I4196" s="519" t="s">
        <v>4294</v>
      </c>
      <c r="J4196" s="505" t="s">
        <v>96</v>
      </c>
      <c r="K4196" s="505" t="s">
        <v>2102</v>
      </c>
      <c r="L4196" s="505" t="s">
        <v>153</v>
      </c>
    </row>
    <row r="4197" spans="1:12" ht="15.6">
      <c r="A4197" s="526">
        <v>45975</v>
      </c>
      <c r="B4197" s="519" t="s">
        <v>4917</v>
      </c>
      <c r="C4197" s="519" t="s">
        <v>172</v>
      </c>
      <c r="D4197" s="510" t="s">
        <v>119</v>
      </c>
      <c r="E4197" s="519">
        <v>2000</v>
      </c>
      <c r="F4197" s="502">
        <f t="shared" si="66"/>
        <v>3.7488074106424891</v>
      </c>
      <c r="G4197" s="503">
        <v>533.50300000000004</v>
      </c>
      <c r="H4197" s="519" t="s">
        <v>315</v>
      </c>
      <c r="I4197" s="519" t="s">
        <v>4288</v>
      </c>
      <c r="J4197" s="505" t="s">
        <v>96</v>
      </c>
      <c r="K4197" s="505" t="s">
        <v>2102</v>
      </c>
      <c r="L4197" s="505" t="s">
        <v>153</v>
      </c>
    </row>
    <row r="4198" spans="1:12" ht="15.6">
      <c r="A4198" s="526">
        <v>45975</v>
      </c>
      <c r="B4198" s="519" t="s">
        <v>4979</v>
      </c>
      <c r="C4198" s="519" t="s">
        <v>172</v>
      </c>
      <c r="D4198" s="510" t="s">
        <v>119</v>
      </c>
      <c r="E4198" s="516">
        <v>9000</v>
      </c>
      <c r="F4198" s="502">
        <f t="shared" si="66"/>
        <v>16.869633347891202</v>
      </c>
      <c r="G4198" s="503">
        <v>533.50300000000004</v>
      </c>
      <c r="H4198" s="519" t="s">
        <v>315</v>
      </c>
      <c r="I4198" s="519" t="s">
        <v>4295</v>
      </c>
      <c r="J4198" s="505" t="s">
        <v>96</v>
      </c>
      <c r="K4198" s="505" t="s">
        <v>2102</v>
      </c>
      <c r="L4198" s="505" t="s">
        <v>153</v>
      </c>
    </row>
    <row r="4199" spans="1:12" ht="15.6">
      <c r="A4199" s="526">
        <v>45975</v>
      </c>
      <c r="B4199" s="519" t="s">
        <v>4876</v>
      </c>
      <c r="C4199" s="519" t="s">
        <v>172</v>
      </c>
      <c r="D4199" s="510" t="s">
        <v>119</v>
      </c>
      <c r="E4199" s="519">
        <v>1000</v>
      </c>
      <c r="F4199" s="502">
        <f t="shared" si="66"/>
        <v>1.8744037053212446</v>
      </c>
      <c r="G4199" s="503">
        <v>533.50300000000004</v>
      </c>
      <c r="H4199" s="519" t="s">
        <v>315</v>
      </c>
      <c r="I4199" s="519" t="s">
        <v>4288</v>
      </c>
      <c r="J4199" s="505" t="s">
        <v>96</v>
      </c>
      <c r="K4199" s="505" t="s">
        <v>2102</v>
      </c>
      <c r="L4199" s="505" t="s">
        <v>153</v>
      </c>
    </row>
    <row r="4200" spans="1:12" ht="15.6">
      <c r="A4200" s="526">
        <v>45975</v>
      </c>
      <c r="B4200" s="519" t="s">
        <v>4750</v>
      </c>
      <c r="C4200" s="519" t="s">
        <v>4309</v>
      </c>
      <c r="D4200" s="510" t="s">
        <v>119</v>
      </c>
      <c r="E4200" s="521">
        <v>50000</v>
      </c>
      <c r="F4200" s="502">
        <f t="shared" si="66"/>
        <v>93.720185266062231</v>
      </c>
      <c r="G4200" s="503">
        <v>533.50300000000004</v>
      </c>
      <c r="H4200" s="519" t="s">
        <v>321</v>
      </c>
      <c r="I4200" s="519" t="s">
        <v>4318</v>
      </c>
      <c r="J4200" s="505" t="s">
        <v>96</v>
      </c>
      <c r="K4200" s="505" t="s">
        <v>2102</v>
      </c>
      <c r="L4200" s="505" t="s">
        <v>153</v>
      </c>
    </row>
    <row r="4201" spans="1:12" ht="15.6">
      <c r="A4201" s="526">
        <v>45975</v>
      </c>
      <c r="B4201" s="519" t="s">
        <v>4917</v>
      </c>
      <c r="C4201" s="519" t="s">
        <v>172</v>
      </c>
      <c r="D4201" s="510" t="s">
        <v>119</v>
      </c>
      <c r="E4201" s="521">
        <v>1000</v>
      </c>
      <c r="F4201" s="502">
        <f t="shared" si="66"/>
        <v>1.8744037053212446</v>
      </c>
      <c r="G4201" s="503">
        <v>533.50300000000004</v>
      </c>
      <c r="H4201" s="519" t="s">
        <v>321</v>
      </c>
      <c r="I4201" s="519" t="s">
        <v>4314</v>
      </c>
      <c r="J4201" s="505" t="s">
        <v>96</v>
      </c>
      <c r="K4201" s="505" t="s">
        <v>2102</v>
      </c>
      <c r="L4201" s="505" t="s">
        <v>153</v>
      </c>
    </row>
    <row r="4202" spans="1:12" ht="15.6">
      <c r="A4202" s="526">
        <v>45975</v>
      </c>
      <c r="B4202" s="519" t="s">
        <v>4876</v>
      </c>
      <c r="C4202" s="519" t="s">
        <v>172</v>
      </c>
      <c r="D4202" s="510" t="s">
        <v>119</v>
      </c>
      <c r="E4202" s="521">
        <v>500</v>
      </c>
      <c r="F4202" s="502">
        <f t="shared" si="66"/>
        <v>0.93720185266062228</v>
      </c>
      <c r="G4202" s="503">
        <v>533.50300000000004</v>
      </c>
      <c r="H4202" s="519" t="s">
        <v>321</v>
      </c>
      <c r="I4202" s="519" t="s">
        <v>4314</v>
      </c>
      <c r="J4202" s="505" t="s">
        <v>96</v>
      </c>
      <c r="K4202" s="505" t="s">
        <v>2102</v>
      </c>
      <c r="L4202" s="505" t="s">
        <v>153</v>
      </c>
    </row>
    <row r="4203" spans="1:12" ht="15.6">
      <c r="A4203" s="532">
        <v>45975</v>
      </c>
      <c r="B4203" s="516" t="s">
        <v>4497</v>
      </c>
      <c r="C4203" s="516" t="s">
        <v>172</v>
      </c>
      <c r="D4203" s="516" t="s">
        <v>118</v>
      </c>
      <c r="E4203" s="533">
        <v>1000</v>
      </c>
      <c r="F4203" s="502">
        <f t="shared" si="66"/>
        <v>1.8744037053212446</v>
      </c>
      <c r="G4203" s="503">
        <v>533.50300000000004</v>
      </c>
      <c r="H4203" s="516" t="s">
        <v>211</v>
      </c>
      <c r="I4203" s="516" t="s">
        <v>4559</v>
      </c>
      <c r="J4203" s="505" t="s">
        <v>96</v>
      </c>
      <c r="K4203" s="505" t="s">
        <v>2102</v>
      </c>
      <c r="L4203" s="505" t="s">
        <v>153</v>
      </c>
    </row>
    <row r="4204" spans="1:12" ht="15.6">
      <c r="A4204" s="532">
        <v>45975</v>
      </c>
      <c r="B4204" s="516" t="s">
        <v>4498</v>
      </c>
      <c r="C4204" s="516" t="s">
        <v>172</v>
      </c>
      <c r="D4204" s="516" t="s">
        <v>118</v>
      </c>
      <c r="E4204" s="533">
        <v>1000</v>
      </c>
      <c r="F4204" s="502">
        <f t="shared" si="66"/>
        <v>1.8744037053212446</v>
      </c>
      <c r="G4204" s="503">
        <v>533.50300000000004</v>
      </c>
      <c r="H4204" s="516" t="s">
        <v>211</v>
      </c>
      <c r="I4204" s="516" t="s">
        <v>4559</v>
      </c>
      <c r="J4204" s="505" t="s">
        <v>96</v>
      </c>
      <c r="K4204" s="505" t="s">
        <v>2102</v>
      </c>
      <c r="L4204" s="505" t="s">
        <v>153</v>
      </c>
    </row>
    <row r="4205" spans="1:12" ht="15.6">
      <c r="A4205" s="532">
        <v>45975</v>
      </c>
      <c r="B4205" s="516" t="s">
        <v>4499</v>
      </c>
      <c r="C4205" s="516" t="s">
        <v>172</v>
      </c>
      <c r="D4205" s="516" t="s">
        <v>118</v>
      </c>
      <c r="E4205" s="533">
        <v>1000</v>
      </c>
      <c r="F4205" s="502">
        <f t="shared" ref="F4205:F4268" si="67">E4205/G4205</f>
        <v>1.8744037053212446</v>
      </c>
      <c r="G4205" s="503">
        <v>533.50300000000004</v>
      </c>
      <c r="H4205" s="516" t="s">
        <v>211</v>
      </c>
      <c r="I4205" s="516" t="s">
        <v>4559</v>
      </c>
      <c r="J4205" s="505" t="s">
        <v>96</v>
      </c>
      <c r="K4205" s="505" t="s">
        <v>2102</v>
      </c>
      <c r="L4205" s="505" t="s">
        <v>153</v>
      </c>
    </row>
    <row r="4206" spans="1:12" ht="15.6">
      <c r="A4206" s="515">
        <v>45975</v>
      </c>
      <c r="B4206" s="505" t="s">
        <v>4500</v>
      </c>
      <c r="C4206" s="505" t="s">
        <v>2092</v>
      </c>
      <c r="D4206" s="516" t="s">
        <v>118</v>
      </c>
      <c r="E4206" s="518">
        <v>6000</v>
      </c>
      <c r="F4206" s="502">
        <f t="shared" si="67"/>
        <v>11.246422231927466</v>
      </c>
      <c r="G4206" s="503">
        <v>533.50300000000004</v>
      </c>
      <c r="H4206" s="519" t="s">
        <v>211</v>
      </c>
      <c r="I4206" s="505" t="s">
        <v>4567</v>
      </c>
      <c r="J4206" s="505" t="s">
        <v>96</v>
      </c>
      <c r="K4206" s="505" t="s">
        <v>2102</v>
      </c>
      <c r="L4206" s="505" t="s">
        <v>153</v>
      </c>
    </row>
    <row r="4207" spans="1:12" ht="15.6">
      <c r="A4207" s="515">
        <v>45975</v>
      </c>
      <c r="B4207" s="505" t="s">
        <v>4501</v>
      </c>
      <c r="C4207" s="505" t="s">
        <v>2092</v>
      </c>
      <c r="D4207" s="516" t="s">
        <v>118</v>
      </c>
      <c r="E4207" s="518">
        <v>6000</v>
      </c>
      <c r="F4207" s="502">
        <f t="shared" si="67"/>
        <v>11.246422231927466</v>
      </c>
      <c r="G4207" s="503">
        <v>533.50300000000004</v>
      </c>
      <c r="H4207" s="519" t="s">
        <v>211</v>
      </c>
      <c r="I4207" s="505" t="s">
        <v>4567</v>
      </c>
      <c r="J4207" s="505" t="s">
        <v>96</v>
      </c>
      <c r="K4207" s="505" t="s">
        <v>2102</v>
      </c>
      <c r="L4207" s="505" t="s">
        <v>153</v>
      </c>
    </row>
    <row r="4208" spans="1:12" ht="15.6">
      <c r="A4208" s="515">
        <v>45975</v>
      </c>
      <c r="B4208" s="505" t="s">
        <v>4502</v>
      </c>
      <c r="C4208" s="505" t="s">
        <v>2092</v>
      </c>
      <c r="D4208" s="516" t="s">
        <v>118</v>
      </c>
      <c r="E4208" s="518">
        <v>6000</v>
      </c>
      <c r="F4208" s="502">
        <f t="shared" si="67"/>
        <v>11.246422231927466</v>
      </c>
      <c r="G4208" s="503">
        <v>533.50300000000004</v>
      </c>
      <c r="H4208" s="519" t="s">
        <v>211</v>
      </c>
      <c r="I4208" s="505" t="s">
        <v>4567</v>
      </c>
      <c r="J4208" s="505" t="s">
        <v>96</v>
      </c>
      <c r="K4208" s="505" t="s">
        <v>2102</v>
      </c>
      <c r="L4208" s="505" t="s">
        <v>153</v>
      </c>
    </row>
    <row r="4209" spans="1:12" ht="15.6">
      <c r="A4209" s="515">
        <v>45975</v>
      </c>
      <c r="B4209" s="505" t="s">
        <v>4503</v>
      </c>
      <c r="C4209" s="505" t="s">
        <v>2092</v>
      </c>
      <c r="D4209" s="516" t="s">
        <v>118</v>
      </c>
      <c r="E4209" s="518">
        <v>6000</v>
      </c>
      <c r="F4209" s="502">
        <f t="shared" si="67"/>
        <v>11.246422231927466</v>
      </c>
      <c r="G4209" s="503">
        <v>533.50300000000004</v>
      </c>
      <c r="H4209" s="519" t="s">
        <v>211</v>
      </c>
      <c r="I4209" s="505" t="s">
        <v>4567</v>
      </c>
      <c r="J4209" s="505" t="s">
        <v>96</v>
      </c>
      <c r="K4209" s="505" t="s">
        <v>2102</v>
      </c>
      <c r="L4209" s="505" t="s">
        <v>153</v>
      </c>
    </row>
    <row r="4210" spans="1:12" ht="15.6">
      <c r="A4210" s="515">
        <v>45975</v>
      </c>
      <c r="B4210" s="505" t="s">
        <v>4504</v>
      </c>
      <c r="C4210" s="505" t="s">
        <v>2092</v>
      </c>
      <c r="D4210" s="516" t="s">
        <v>118</v>
      </c>
      <c r="E4210" s="518">
        <v>6000</v>
      </c>
      <c r="F4210" s="502">
        <f t="shared" si="67"/>
        <v>11.246422231927466</v>
      </c>
      <c r="G4210" s="503">
        <v>533.50300000000004</v>
      </c>
      <c r="H4210" s="519" t="s">
        <v>211</v>
      </c>
      <c r="I4210" s="505" t="s">
        <v>4567</v>
      </c>
      <c r="J4210" s="505" t="s">
        <v>96</v>
      </c>
      <c r="K4210" s="505" t="s">
        <v>2102</v>
      </c>
      <c r="L4210" s="505" t="s">
        <v>153</v>
      </c>
    </row>
    <row r="4211" spans="1:12" ht="15.6">
      <c r="A4211" s="515">
        <v>45975</v>
      </c>
      <c r="B4211" s="505" t="s">
        <v>4505</v>
      </c>
      <c r="C4211" s="505" t="s">
        <v>2092</v>
      </c>
      <c r="D4211" s="516" t="s">
        <v>118</v>
      </c>
      <c r="E4211" s="518">
        <v>6000</v>
      </c>
      <c r="F4211" s="502">
        <f t="shared" si="67"/>
        <v>11.246422231927466</v>
      </c>
      <c r="G4211" s="503">
        <v>533.50300000000004</v>
      </c>
      <c r="H4211" s="519" t="s">
        <v>211</v>
      </c>
      <c r="I4211" s="505" t="s">
        <v>4567</v>
      </c>
      <c r="J4211" s="505" t="s">
        <v>96</v>
      </c>
      <c r="K4211" s="505" t="s">
        <v>2102</v>
      </c>
      <c r="L4211" s="505" t="s">
        <v>153</v>
      </c>
    </row>
    <row r="4212" spans="1:12" ht="15.6">
      <c r="A4212" s="515">
        <v>45975</v>
      </c>
      <c r="B4212" s="505" t="s">
        <v>4506</v>
      </c>
      <c r="C4212" s="505" t="s">
        <v>2092</v>
      </c>
      <c r="D4212" s="516" t="s">
        <v>118</v>
      </c>
      <c r="E4212" s="518">
        <v>6000</v>
      </c>
      <c r="F4212" s="502">
        <f t="shared" si="67"/>
        <v>11.246422231927466</v>
      </c>
      <c r="G4212" s="503">
        <v>533.50300000000004</v>
      </c>
      <c r="H4212" s="519" t="s">
        <v>211</v>
      </c>
      <c r="I4212" s="505" t="s">
        <v>4567</v>
      </c>
      <c r="J4212" s="505" t="s">
        <v>96</v>
      </c>
      <c r="K4212" s="505" t="s">
        <v>2102</v>
      </c>
      <c r="L4212" s="505" t="s">
        <v>153</v>
      </c>
    </row>
    <row r="4213" spans="1:12" ht="15.6">
      <c r="A4213" s="515">
        <v>45975</v>
      </c>
      <c r="B4213" s="505" t="s">
        <v>4507</v>
      </c>
      <c r="C4213" s="505" t="s">
        <v>2092</v>
      </c>
      <c r="D4213" s="516" t="s">
        <v>118</v>
      </c>
      <c r="E4213" s="518">
        <v>6000</v>
      </c>
      <c r="F4213" s="502">
        <f t="shared" si="67"/>
        <v>11.246422231927466</v>
      </c>
      <c r="G4213" s="503">
        <v>533.50300000000004</v>
      </c>
      <c r="H4213" s="519" t="s">
        <v>211</v>
      </c>
      <c r="I4213" s="505" t="s">
        <v>4567</v>
      </c>
      <c r="J4213" s="505" t="s">
        <v>96</v>
      </c>
      <c r="K4213" s="505" t="s">
        <v>2102</v>
      </c>
      <c r="L4213" s="505" t="s">
        <v>153</v>
      </c>
    </row>
    <row r="4214" spans="1:12" ht="15.6">
      <c r="A4214" s="515">
        <v>45975</v>
      </c>
      <c r="B4214" s="505" t="s">
        <v>4508</v>
      </c>
      <c r="C4214" s="505" t="s">
        <v>2092</v>
      </c>
      <c r="D4214" s="516" t="s">
        <v>118</v>
      </c>
      <c r="E4214" s="518">
        <v>6000</v>
      </c>
      <c r="F4214" s="502">
        <f t="shared" si="67"/>
        <v>11.246422231927466</v>
      </c>
      <c r="G4214" s="503">
        <v>533.50300000000004</v>
      </c>
      <c r="H4214" s="519" t="s">
        <v>211</v>
      </c>
      <c r="I4214" s="505" t="s">
        <v>4567</v>
      </c>
      <c r="J4214" s="505" t="s">
        <v>96</v>
      </c>
      <c r="K4214" s="505" t="s">
        <v>2102</v>
      </c>
      <c r="L4214" s="505" t="s">
        <v>153</v>
      </c>
    </row>
    <row r="4215" spans="1:12" ht="15.6">
      <c r="A4215" s="515">
        <v>45975</v>
      </c>
      <c r="B4215" s="505" t="s">
        <v>4509</v>
      </c>
      <c r="C4215" s="505" t="s">
        <v>2092</v>
      </c>
      <c r="D4215" s="516" t="s">
        <v>118</v>
      </c>
      <c r="E4215" s="518">
        <v>6000</v>
      </c>
      <c r="F4215" s="502">
        <f t="shared" si="67"/>
        <v>11.246422231927466</v>
      </c>
      <c r="G4215" s="503">
        <v>533.50300000000004</v>
      </c>
      <c r="H4215" s="519" t="s">
        <v>211</v>
      </c>
      <c r="I4215" s="505" t="s">
        <v>4567</v>
      </c>
      <c r="J4215" s="505" t="s">
        <v>96</v>
      </c>
      <c r="K4215" s="505" t="s">
        <v>2102</v>
      </c>
      <c r="L4215" s="505" t="s">
        <v>153</v>
      </c>
    </row>
    <row r="4216" spans="1:12" ht="15.6">
      <c r="A4216" s="515">
        <v>45975</v>
      </c>
      <c r="B4216" s="505" t="s">
        <v>4510</v>
      </c>
      <c r="C4216" s="505" t="s">
        <v>2092</v>
      </c>
      <c r="D4216" s="516" t="s">
        <v>118</v>
      </c>
      <c r="E4216" s="518">
        <v>6000</v>
      </c>
      <c r="F4216" s="502">
        <f t="shared" si="67"/>
        <v>11.246422231927466</v>
      </c>
      <c r="G4216" s="503">
        <v>533.50300000000004</v>
      </c>
      <c r="H4216" s="519" t="s">
        <v>211</v>
      </c>
      <c r="I4216" s="505" t="s">
        <v>4567</v>
      </c>
      <c r="J4216" s="505" t="s">
        <v>96</v>
      </c>
      <c r="K4216" s="505" t="s">
        <v>2102</v>
      </c>
      <c r="L4216" s="505" t="s">
        <v>153</v>
      </c>
    </row>
    <row r="4217" spans="1:12" ht="15.6">
      <c r="A4217" s="515">
        <v>45975</v>
      </c>
      <c r="B4217" s="505" t="s">
        <v>4511</v>
      </c>
      <c r="C4217" s="505" t="s">
        <v>2092</v>
      </c>
      <c r="D4217" s="516" t="s">
        <v>118</v>
      </c>
      <c r="E4217" s="518">
        <v>6000</v>
      </c>
      <c r="F4217" s="502">
        <f t="shared" si="67"/>
        <v>11.246422231927466</v>
      </c>
      <c r="G4217" s="503">
        <v>533.50300000000004</v>
      </c>
      <c r="H4217" s="519" t="s">
        <v>211</v>
      </c>
      <c r="I4217" s="505" t="s">
        <v>4567</v>
      </c>
      <c r="J4217" s="505" t="s">
        <v>96</v>
      </c>
      <c r="K4217" s="505" t="s">
        <v>2102</v>
      </c>
      <c r="L4217" s="505" t="s">
        <v>153</v>
      </c>
    </row>
    <row r="4218" spans="1:12" ht="15.6">
      <c r="A4218" s="515">
        <v>45975</v>
      </c>
      <c r="B4218" s="505" t="s">
        <v>4512</v>
      </c>
      <c r="C4218" s="505" t="s">
        <v>2092</v>
      </c>
      <c r="D4218" s="516" t="s">
        <v>118</v>
      </c>
      <c r="E4218" s="518">
        <v>6000</v>
      </c>
      <c r="F4218" s="502">
        <f t="shared" si="67"/>
        <v>11.246422231927466</v>
      </c>
      <c r="G4218" s="503">
        <v>533.50300000000004</v>
      </c>
      <c r="H4218" s="519" t="s">
        <v>211</v>
      </c>
      <c r="I4218" s="505" t="s">
        <v>4567</v>
      </c>
      <c r="J4218" s="505" t="s">
        <v>96</v>
      </c>
      <c r="K4218" s="505" t="s">
        <v>2102</v>
      </c>
      <c r="L4218" s="505" t="s">
        <v>153</v>
      </c>
    </row>
    <row r="4219" spans="1:12" ht="15.6">
      <c r="A4219" s="515">
        <v>45975</v>
      </c>
      <c r="B4219" s="505" t="s">
        <v>4513</v>
      </c>
      <c r="C4219" s="505" t="s">
        <v>2092</v>
      </c>
      <c r="D4219" s="516" t="s">
        <v>118</v>
      </c>
      <c r="E4219" s="518">
        <v>6000</v>
      </c>
      <c r="F4219" s="502">
        <f t="shared" si="67"/>
        <v>11.246422231927466</v>
      </c>
      <c r="G4219" s="503">
        <v>533.50300000000004</v>
      </c>
      <c r="H4219" s="519" t="s">
        <v>211</v>
      </c>
      <c r="I4219" s="505" t="s">
        <v>4567</v>
      </c>
      <c r="J4219" s="505" t="s">
        <v>96</v>
      </c>
      <c r="K4219" s="505" t="s">
        <v>2102</v>
      </c>
      <c r="L4219" s="505" t="s">
        <v>153</v>
      </c>
    </row>
    <row r="4220" spans="1:12" ht="15.6">
      <c r="A4220" s="515">
        <v>45975</v>
      </c>
      <c r="B4220" s="505" t="s">
        <v>4514</v>
      </c>
      <c r="C4220" s="505" t="s">
        <v>2092</v>
      </c>
      <c r="D4220" s="516" t="s">
        <v>118</v>
      </c>
      <c r="E4220" s="518">
        <v>10000</v>
      </c>
      <c r="F4220" s="502">
        <f t="shared" si="67"/>
        <v>18.744037053212445</v>
      </c>
      <c r="G4220" s="503">
        <v>533.50300000000004</v>
      </c>
      <c r="H4220" s="519" t="s">
        <v>211</v>
      </c>
      <c r="I4220" s="505" t="s">
        <v>4568</v>
      </c>
      <c r="J4220" s="505" t="s">
        <v>96</v>
      </c>
      <c r="K4220" s="505" t="s">
        <v>2102</v>
      </c>
      <c r="L4220" s="505" t="s">
        <v>153</v>
      </c>
    </row>
    <row r="4221" spans="1:12" ht="15.6">
      <c r="A4221" s="515">
        <v>45975</v>
      </c>
      <c r="B4221" s="505" t="s">
        <v>4515</v>
      </c>
      <c r="C4221" s="505" t="s">
        <v>2092</v>
      </c>
      <c r="D4221" s="516" t="s">
        <v>118</v>
      </c>
      <c r="E4221" s="518">
        <v>10000</v>
      </c>
      <c r="F4221" s="502">
        <f t="shared" si="67"/>
        <v>18.744037053212445</v>
      </c>
      <c r="G4221" s="503">
        <v>533.50300000000004</v>
      </c>
      <c r="H4221" s="519" t="s">
        <v>211</v>
      </c>
      <c r="I4221" s="505" t="s">
        <v>4568</v>
      </c>
      <c r="J4221" s="505" t="s">
        <v>96</v>
      </c>
      <c r="K4221" s="505" t="s">
        <v>2102</v>
      </c>
      <c r="L4221" s="505" t="s">
        <v>153</v>
      </c>
    </row>
    <row r="4222" spans="1:12" ht="15.6">
      <c r="A4222" s="515">
        <v>45975</v>
      </c>
      <c r="B4222" s="505" t="s">
        <v>4516</v>
      </c>
      <c r="C4222" s="505" t="s">
        <v>2092</v>
      </c>
      <c r="D4222" s="516" t="s">
        <v>118</v>
      </c>
      <c r="E4222" s="518">
        <v>10000</v>
      </c>
      <c r="F4222" s="502">
        <f t="shared" si="67"/>
        <v>18.744037053212445</v>
      </c>
      <c r="G4222" s="503">
        <v>533.50300000000004</v>
      </c>
      <c r="H4222" s="519" t="s">
        <v>211</v>
      </c>
      <c r="I4222" s="505" t="s">
        <v>4568</v>
      </c>
      <c r="J4222" s="505" t="s">
        <v>96</v>
      </c>
      <c r="K4222" s="505" t="s">
        <v>2102</v>
      </c>
      <c r="L4222" s="505" t="s">
        <v>153</v>
      </c>
    </row>
    <row r="4223" spans="1:12" ht="15.6">
      <c r="A4223" s="515">
        <v>45975</v>
      </c>
      <c r="B4223" s="505" t="s">
        <v>4517</v>
      </c>
      <c r="C4223" s="505" t="s">
        <v>2092</v>
      </c>
      <c r="D4223" s="516" t="s">
        <v>118</v>
      </c>
      <c r="E4223" s="518">
        <v>10000</v>
      </c>
      <c r="F4223" s="502">
        <f t="shared" si="67"/>
        <v>18.744037053212445</v>
      </c>
      <c r="G4223" s="503">
        <v>533.50300000000004</v>
      </c>
      <c r="H4223" s="505" t="s">
        <v>211</v>
      </c>
      <c r="I4223" s="505" t="s">
        <v>4568</v>
      </c>
      <c r="J4223" s="505" t="s">
        <v>96</v>
      </c>
      <c r="K4223" s="505" t="s">
        <v>2102</v>
      </c>
      <c r="L4223" s="505" t="s">
        <v>153</v>
      </c>
    </row>
    <row r="4224" spans="1:12" ht="15.6">
      <c r="A4224" s="515">
        <v>45975</v>
      </c>
      <c r="B4224" s="505" t="s">
        <v>4518</v>
      </c>
      <c r="C4224" s="505" t="s">
        <v>2092</v>
      </c>
      <c r="D4224" s="516" t="s">
        <v>118</v>
      </c>
      <c r="E4224" s="518">
        <v>10000</v>
      </c>
      <c r="F4224" s="502">
        <f t="shared" si="67"/>
        <v>18.744037053212445</v>
      </c>
      <c r="G4224" s="503">
        <v>533.50300000000004</v>
      </c>
      <c r="H4224" s="505" t="s">
        <v>211</v>
      </c>
      <c r="I4224" s="505" t="s">
        <v>4568</v>
      </c>
      <c r="J4224" s="505" t="s">
        <v>96</v>
      </c>
      <c r="K4224" s="505" t="s">
        <v>2102</v>
      </c>
      <c r="L4224" s="505" t="s">
        <v>153</v>
      </c>
    </row>
    <row r="4225" spans="1:12" ht="15.6">
      <c r="A4225" s="515">
        <v>45975</v>
      </c>
      <c r="B4225" s="505" t="s">
        <v>4519</v>
      </c>
      <c r="C4225" s="505" t="s">
        <v>2092</v>
      </c>
      <c r="D4225" s="516" t="s">
        <v>118</v>
      </c>
      <c r="E4225" s="518">
        <v>6000</v>
      </c>
      <c r="F4225" s="502">
        <f t="shared" si="67"/>
        <v>11.246422231927466</v>
      </c>
      <c r="G4225" s="503">
        <v>533.50300000000004</v>
      </c>
      <c r="H4225" s="505" t="s">
        <v>211</v>
      </c>
      <c r="I4225" s="505" t="s">
        <v>4569</v>
      </c>
      <c r="J4225" s="505" t="s">
        <v>96</v>
      </c>
      <c r="K4225" s="505" t="s">
        <v>2102</v>
      </c>
      <c r="L4225" s="505" t="s">
        <v>153</v>
      </c>
    </row>
    <row r="4226" spans="1:12" ht="15.6">
      <c r="A4226" s="515">
        <v>45975</v>
      </c>
      <c r="B4226" s="505" t="s">
        <v>4520</v>
      </c>
      <c r="C4226" s="505" t="s">
        <v>2092</v>
      </c>
      <c r="D4226" s="516" t="s">
        <v>118</v>
      </c>
      <c r="E4226" s="518">
        <v>6000</v>
      </c>
      <c r="F4226" s="502">
        <f t="shared" si="67"/>
        <v>11.246422231927466</v>
      </c>
      <c r="G4226" s="503">
        <v>533.50300000000004</v>
      </c>
      <c r="H4226" s="519" t="s">
        <v>211</v>
      </c>
      <c r="I4226" s="505" t="s">
        <v>4569</v>
      </c>
      <c r="J4226" s="505" t="s">
        <v>96</v>
      </c>
      <c r="K4226" s="505" t="s">
        <v>2102</v>
      </c>
      <c r="L4226" s="505" t="s">
        <v>153</v>
      </c>
    </row>
    <row r="4227" spans="1:12" ht="15.6">
      <c r="A4227" s="515">
        <v>45975</v>
      </c>
      <c r="B4227" s="505" t="s">
        <v>4521</v>
      </c>
      <c r="C4227" s="505" t="s">
        <v>2092</v>
      </c>
      <c r="D4227" s="516" t="s">
        <v>118</v>
      </c>
      <c r="E4227" s="518">
        <v>6000</v>
      </c>
      <c r="F4227" s="502">
        <f t="shared" si="67"/>
        <v>11.246422231927466</v>
      </c>
      <c r="G4227" s="503">
        <v>533.50300000000004</v>
      </c>
      <c r="H4227" s="519" t="s">
        <v>211</v>
      </c>
      <c r="I4227" s="505" t="s">
        <v>4569</v>
      </c>
      <c r="J4227" s="505" t="s">
        <v>96</v>
      </c>
      <c r="K4227" s="505" t="s">
        <v>2102</v>
      </c>
      <c r="L4227" s="505" t="s">
        <v>153</v>
      </c>
    </row>
    <row r="4228" spans="1:12" ht="15.6">
      <c r="A4228" s="515">
        <v>45975</v>
      </c>
      <c r="B4228" s="505" t="s">
        <v>4522</v>
      </c>
      <c r="C4228" s="505" t="s">
        <v>2092</v>
      </c>
      <c r="D4228" s="516" t="s">
        <v>118</v>
      </c>
      <c r="E4228" s="518">
        <v>6000</v>
      </c>
      <c r="F4228" s="502">
        <f t="shared" si="67"/>
        <v>11.246422231927466</v>
      </c>
      <c r="G4228" s="503">
        <v>533.50300000000004</v>
      </c>
      <c r="H4228" s="519" t="s">
        <v>211</v>
      </c>
      <c r="I4228" s="505" t="s">
        <v>4569</v>
      </c>
      <c r="J4228" s="505" t="s">
        <v>96</v>
      </c>
      <c r="K4228" s="505" t="s">
        <v>2102</v>
      </c>
      <c r="L4228" s="505" t="s">
        <v>153</v>
      </c>
    </row>
    <row r="4229" spans="1:12" ht="15.6">
      <c r="A4229" s="524">
        <v>45976</v>
      </c>
      <c r="B4229" s="525" t="s">
        <v>4917</v>
      </c>
      <c r="C4229" s="525" t="s">
        <v>172</v>
      </c>
      <c r="D4229" s="510" t="s">
        <v>119</v>
      </c>
      <c r="E4229" s="525">
        <v>1000</v>
      </c>
      <c r="F4229" s="502">
        <f t="shared" si="67"/>
        <v>1.8744037053212446</v>
      </c>
      <c r="G4229" s="503">
        <v>533.50300000000004</v>
      </c>
      <c r="H4229" s="525" t="s">
        <v>182</v>
      </c>
      <c r="I4229" s="525" t="s">
        <v>4237</v>
      </c>
      <c r="J4229" s="505" t="s">
        <v>96</v>
      </c>
      <c r="K4229" s="505" t="s">
        <v>2102</v>
      </c>
      <c r="L4229" s="505" t="s">
        <v>153</v>
      </c>
    </row>
    <row r="4230" spans="1:12" ht="15.6">
      <c r="A4230" s="524">
        <v>45976</v>
      </c>
      <c r="B4230" s="525" t="s">
        <v>4917</v>
      </c>
      <c r="C4230" s="525" t="s">
        <v>172</v>
      </c>
      <c r="D4230" s="510" t="s">
        <v>119</v>
      </c>
      <c r="E4230" s="525">
        <v>1000</v>
      </c>
      <c r="F4230" s="502">
        <f t="shared" si="67"/>
        <v>1.8744037053212446</v>
      </c>
      <c r="G4230" s="503">
        <v>533.50300000000004</v>
      </c>
      <c r="H4230" s="525" t="s">
        <v>182</v>
      </c>
      <c r="I4230" s="525" t="s">
        <v>4237</v>
      </c>
      <c r="J4230" s="505" t="s">
        <v>96</v>
      </c>
      <c r="K4230" s="505" t="s">
        <v>2102</v>
      </c>
      <c r="L4230" s="505" t="s">
        <v>153</v>
      </c>
    </row>
    <row r="4231" spans="1:12" ht="15.6">
      <c r="A4231" s="524">
        <v>45976</v>
      </c>
      <c r="B4231" s="525" t="s">
        <v>4912</v>
      </c>
      <c r="C4231" s="525" t="s">
        <v>172</v>
      </c>
      <c r="D4231" s="510" t="s">
        <v>119</v>
      </c>
      <c r="E4231" s="525">
        <v>1000</v>
      </c>
      <c r="F4231" s="502">
        <f t="shared" si="67"/>
        <v>1.8744037053212446</v>
      </c>
      <c r="G4231" s="503">
        <v>533.50300000000004</v>
      </c>
      <c r="H4231" s="525" t="s">
        <v>182</v>
      </c>
      <c r="I4231" s="525" t="s">
        <v>4237</v>
      </c>
      <c r="J4231" s="505" t="s">
        <v>96</v>
      </c>
      <c r="K4231" s="505" t="s">
        <v>2102</v>
      </c>
      <c r="L4231" s="505" t="s">
        <v>153</v>
      </c>
    </row>
    <row r="4232" spans="1:12" ht="15.6">
      <c r="A4232" s="524">
        <v>45976</v>
      </c>
      <c r="B4232" s="525" t="s">
        <v>4917</v>
      </c>
      <c r="C4232" s="525" t="s">
        <v>172</v>
      </c>
      <c r="D4232" s="510" t="s">
        <v>119</v>
      </c>
      <c r="E4232" s="525">
        <v>1000</v>
      </c>
      <c r="F4232" s="502">
        <f t="shared" si="67"/>
        <v>1.8744037053212446</v>
      </c>
      <c r="G4232" s="503">
        <v>533.50300000000004</v>
      </c>
      <c r="H4232" s="525" t="s">
        <v>182</v>
      </c>
      <c r="I4232" s="525" t="s">
        <v>4237</v>
      </c>
      <c r="J4232" s="505" t="s">
        <v>96</v>
      </c>
      <c r="K4232" s="505" t="s">
        <v>2102</v>
      </c>
      <c r="L4232" s="505" t="s">
        <v>153</v>
      </c>
    </row>
    <row r="4233" spans="1:12" ht="15.6">
      <c r="A4233" s="524">
        <v>45976</v>
      </c>
      <c r="B4233" s="525" t="s">
        <v>4912</v>
      </c>
      <c r="C4233" s="525" t="s">
        <v>172</v>
      </c>
      <c r="D4233" s="510" t="s">
        <v>119</v>
      </c>
      <c r="E4233" s="525">
        <v>1000</v>
      </c>
      <c r="F4233" s="502">
        <f t="shared" si="67"/>
        <v>1.8744037053212446</v>
      </c>
      <c r="G4233" s="503">
        <v>533.50300000000004</v>
      </c>
      <c r="H4233" s="525" t="s">
        <v>182</v>
      </c>
      <c r="I4233" s="525" t="s">
        <v>4237</v>
      </c>
      <c r="J4233" s="505" t="s">
        <v>96</v>
      </c>
      <c r="K4233" s="505" t="s">
        <v>2102</v>
      </c>
      <c r="L4233" s="505" t="s">
        <v>153</v>
      </c>
    </row>
    <row r="4234" spans="1:12" ht="15.6">
      <c r="A4234" s="526">
        <v>45976</v>
      </c>
      <c r="B4234" s="519" t="s">
        <v>4876</v>
      </c>
      <c r="C4234" s="519" t="s">
        <v>172</v>
      </c>
      <c r="D4234" s="510" t="s">
        <v>119</v>
      </c>
      <c r="E4234" s="519">
        <v>1000</v>
      </c>
      <c r="F4234" s="502">
        <f t="shared" si="67"/>
        <v>1.8744037053212446</v>
      </c>
      <c r="G4234" s="503">
        <v>533.50300000000004</v>
      </c>
      <c r="H4234" s="519" t="s">
        <v>173</v>
      </c>
      <c r="I4234" s="519" t="s">
        <v>4263</v>
      </c>
      <c r="J4234" s="505" t="s">
        <v>96</v>
      </c>
      <c r="K4234" s="505" t="s">
        <v>2102</v>
      </c>
      <c r="L4234" s="505" t="s">
        <v>153</v>
      </c>
    </row>
    <row r="4235" spans="1:12" ht="15.6">
      <c r="A4235" s="526">
        <v>45976</v>
      </c>
      <c r="B4235" s="519" t="s">
        <v>4876</v>
      </c>
      <c r="C4235" s="519" t="s">
        <v>172</v>
      </c>
      <c r="D4235" s="510" t="s">
        <v>119</v>
      </c>
      <c r="E4235" s="519">
        <v>1000</v>
      </c>
      <c r="F4235" s="502">
        <f t="shared" si="67"/>
        <v>1.8744037053212446</v>
      </c>
      <c r="G4235" s="503">
        <v>533.50300000000004</v>
      </c>
      <c r="H4235" s="519" t="s">
        <v>173</v>
      </c>
      <c r="I4235" s="519" t="s">
        <v>4263</v>
      </c>
      <c r="J4235" s="505" t="s">
        <v>96</v>
      </c>
      <c r="K4235" s="505" t="s">
        <v>2102</v>
      </c>
      <c r="L4235" s="505" t="s">
        <v>153</v>
      </c>
    </row>
    <row r="4236" spans="1:12" ht="15.6">
      <c r="A4236" s="526">
        <v>45976</v>
      </c>
      <c r="B4236" s="519" t="s">
        <v>4917</v>
      </c>
      <c r="C4236" s="519" t="s">
        <v>172</v>
      </c>
      <c r="D4236" s="510" t="s">
        <v>119</v>
      </c>
      <c r="E4236" s="519">
        <v>2000</v>
      </c>
      <c r="F4236" s="502">
        <f t="shared" si="67"/>
        <v>3.7488074106424891</v>
      </c>
      <c r="G4236" s="503">
        <v>533.50300000000004</v>
      </c>
      <c r="H4236" s="519" t="s">
        <v>173</v>
      </c>
      <c r="I4236" s="519" t="s">
        <v>4263</v>
      </c>
      <c r="J4236" s="505" t="s">
        <v>96</v>
      </c>
      <c r="K4236" s="505" t="s">
        <v>2102</v>
      </c>
      <c r="L4236" s="505" t="s">
        <v>153</v>
      </c>
    </row>
    <row r="4237" spans="1:12" ht="15.6">
      <c r="A4237" s="526">
        <v>45976</v>
      </c>
      <c r="B4237" s="519" t="s">
        <v>4917</v>
      </c>
      <c r="C4237" s="519" t="s">
        <v>172</v>
      </c>
      <c r="D4237" s="510" t="s">
        <v>119</v>
      </c>
      <c r="E4237" s="519">
        <v>2000</v>
      </c>
      <c r="F4237" s="502">
        <f t="shared" si="67"/>
        <v>3.7488074106424891</v>
      </c>
      <c r="G4237" s="503">
        <v>533.50300000000004</v>
      </c>
      <c r="H4237" s="519" t="s">
        <v>173</v>
      </c>
      <c r="I4237" s="519" t="s">
        <v>4263</v>
      </c>
      <c r="J4237" s="505" t="s">
        <v>96</v>
      </c>
      <c r="K4237" s="505" t="s">
        <v>2102</v>
      </c>
      <c r="L4237" s="505" t="s">
        <v>153</v>
      </c>
    </row>
    <row r="4238" spans="1:12" ht="15.6">
      <c r="A4238" s="526">
        <v>45976</v>
      </c>
      <c r="B4238" s="519" t="s">
        <v>4766</v>
      </c>
      <c r="C4238" s="519" t="s">
        <v>366</v>
      </c>
      <c r="D4238" s="510" t="s">
        <v>119</v>
      </c>
      <c r="E4238" s="519">
        <v>2000</v>
      </c>
      <c r="F4238" s="502">
        <f t="shared" si="67"/>
        <v>3.6802726345967711</v>
      </c>
      <c r="G4238" s="503">
        <v>543.43799999999999</v>
      </c>
      <c r="H4238" s="519" t="s">
        <v>173</v>
      </c>
      <c r="I4238" s="519" t="s">
        <v>4264</v>
      </c>
      <c r="J4238" s="505" t="s">
        <v>96</v>
      </c>
      <c r="K4238" s="505" t="s">
        <v>4104</v>
      </c>
      <c r="L4238" s="505" t="s">
        <v>153</v>
      </c>
    </row>
    <row r="4239" spans="1:12" ht="15.6">
      <c r="A4239" s="526">
        <v>45976</v>
      </c>
      <c r="B4239" s="519" t="s">
        <v>4751</v>
      </c>
      <c r="C4239" s="519" t="s">
        <v>4309</v>
      </c>
      <c r="D4239" s="510" t="s">
        <v>119</v>
      </c>
      <c r="E4239" s="521">
        <v>15000</v>
      </c>
      <c r="F4239" s="502">
        <f t="shared" si="67"/>
        <v>28.116055579818667</v>
      </c>
      <c r="G4239" s="503">
        <v>533.50300000000004</v>
      </c>
      <c r="H4239" s="519" t="s">
        <v>321</v>
      </c>
      <c r="I4239" s="505" t="s">
        <v>4319</v>
      </c>
      <c r="J4239" s="505" t="s">
        <v>96</v>
      </c>
      <c r="K4239" s="505" t="s">
        <v>2102</v>
      </c>
      <c r="L4239" s="505" t="s">
        <v>153</v>
      </c>
    </row>
    <row r="4240" spans="1:12" ht="15.6">
      <c r="A4240" s="526">
        <v>45976</v>
      </c>
      <c r="B4240" s="519" t="s">
        <v>4772</v>
      </c>
      <c r="C4240" s="519" t="s">
        <v>172</v>
      </c>
      <c r="D4240" s="510" t="s">
        <v>119</v>
      </c>
      <c r="E4240" s="521">
        <v>5000</v>
      </c>
      <c r="F4240" s="502">
        <f t="shared" si="67"/>
        <v>9.3720185266062224</v>
      </c>
      <c r="G4240" s="503">
        <v>533.50300000000004</v>
      </c>
      <c r="H4240" s="519" t="s">
        <v>321</v>
      </c>
      <c r="I4240" s="505" t="s">
        <v>4320</v>
      </c>
      <c r="J4240" s="505" t="s">
        <v>96</v>
      </c>
      <c r="K4240" s="505" t="s">
        <v>2102</v>
      </c>
      <c r="L4240" s="505" t="s">
        <v>153</v>
      </c>
    </row>
    <row r="4241" spans="1:12" ht="15.6">
      <c r="A4241" s="526">
        <v>45976</v>
      </c>
      <c r="B4241" s="519" t="s">
        <v>4945</v>
      </c>
      <c r="C4241" s="519" t="s">
        <v>172</v>
      </c>
      <c r="D4241" s="510" t="s">
        <v>119</v>
      </c>
      <c r="E4241" s="521">
        <v>500</v>
      </c>
      <c r="F4241" s="502">
        <f t="shared" si="67"/>
        <v>0.93720185266062228</v>
      </c>
      <c r="G4241" s="503">
        <v>533.50300000000004</v>
      </c>
      <c r="H4241" s="519" t="s">
        <v>321</v>
      </c>
      <c r="I4241" s="519" t="s">
        <v>4314</v>
      </c>
      <c r="J4241" s="505" t="s">
        <v>96</v>
      </c>
      <c r="K4241" s="505" t="s">
        <v>2102</v>
      </c>
      <c r="L4241" s="505" t="s">
        <v>153</v>
      </c>
    </row>
    <row r="4242" spans="1:12" ht="15.6">
      <c r="A4242" s="526">
        <v>45976</v>
      </c>
      <c r="B4242" s="519" t="s">
        <v>4896</v>
      </c>
      <c r="C4242" s="519" t="s">
        <v>172</v>
      </c>
      <c r="D4242" s="510" t="s">
        <v>119</v>
      </c>
      <c r="E4242" s="521">
        <v>500</v>
      </c>
      <c r="F4242" s="502">
        <f t="shared" si="67"/>
        <v>0.93720185266062228</v>
      </c>
      <c r="G4242" s="503">
        <v>533.50300000000004</v>
      </c>
      <c r="H4242" s="519" t="s">
        <v>321</v>
      </c>
      <c r="I4242" s="519" t="s">
        <v>4314</v>
      </c>
      <c r="J4242" s="505" t="s">
        <v>96</v>
      </c>
      <c r="K4242" s="505" t="s">
        <v>2102</v>
      </c>
      <c r="L4242" s="505" t="s">
        <v>153</v>
      </c>
    </row>
    <row r="4243" spans="1:12" ht="15.6">
      <c r="A4243" s="526">
        <v>45976</v>
      </c>
      <c r="B4243" s="519" t="s">
        <v>2932</v>
      </c>
      <c r="C4243" s="519" t="s">
        <v>366</v>
      </c>
      <c r="D4243" s="510" t="s">
        <v>119</v>
      </c>
      <c r="E4243" s="521">
        <v>2000</v>
      </c>
      <c r="F4243" s="502">
        <f t="shared" si="67"/>
        <v>3.6802726345967711</v>
      </c>
      <c r="G4243" s="503">
        <v>543.43799999999999</v>
      </c>
      <c r="H4243" s="519" t="s">
        <v>321</v>
      </c>
      <c r="I4243" s="519" t="s">
        <v>4321</v>
      </c>
      <c r="J4243" s="505" t="s">
        <v>96</v>
      </c>
      <c r="K4243" s="505" t="s">
        <v>4104</v>
      </c>
      <c r="L4243" s="505" t="s">
        <v>153</v>
      </c>
    </row>
    <row r="4244" spans="1:12" ht="15.6">
      <c r="A4244" s="526">
        <v>45976</v>
      </c>
      <c r="B4244" s="519" t="s">
        <v>4967</v>
      </c>
      <c r="C4244" s="519" t="s">
        <v>172</v>
      </c>
      <c r="D4244" s="510" t="s">
        <v>119</v>
      </c>
      <c r="E4244" s="521">
        <v>500</v>
      </c>
      <c r="F4244" s="502">
        <f t="shared" si="67"/>
        <v>0.93720185266062228</v>
      </c>
      <c r="G4244" s="503">
        <v>533.50300000000004</v>
      </c>
      <c r="H4244" s="519" t="s">
        <v>321</v>
      </c>
      <c r="I4244" s="519" t="s">
        <v>4314</v>
      </c>
      <c r="J4244" s="505" t="s">
        <v>96</v>
      </c>
      <c r="K4244" s="505" t="s">
        <v>2102</v>
      </c>
      <c r="L4244" s="505" t="s">
        <v>153</v>
      </c>
    </row>
    <row r="4245" spans="1:12" ht="15.6">
      <c r="A4245" s="524">
        <v>45977</v>
      </c>
      <c r="B4245" s="525" t="s">
        <v>4917</v>
      </c>
      <c r="C4245" s="525" t="s">
        <v>172</v>
      </c>
      <c r="D4245" s="510" t="s">
        <v>119</v>
      </c>
      <c r="E4245" s="525">
        <v>1000</v>
      </c>
      <c r="F4245" s="502">
        <f t="shared" si="67"/>
        <v>1.8744037053212446</v>
      </c>
      <c r="G4245" s="503">
        <v>533.50300000000004</v>
      </c>
      <c r="H4245" s="525" t="s">
        <v>182</v>
      </c>
      <c r="I4245" s="525" t="s">
        <v>4237</v>
      </c>
      <c r="J4245" s="505" t="s">
        <v>96</v>
      </c>
      <c r="K4245" s="505" t="s">
        <v>2102</v>
      </c>
      <c r="L4245" s="505" t="s">
        <v>153</v>
      </c>
    </row>
    <row r="4246" spans="1:12" ht="15.6">
      <c r="A4246" s="524">
        <v>45977</v>
      </c>
      <c r="B4246" s="525" t="s">
        <v>4912</v>
      </c>
      <c r="C4246" s="525" t="s">
        <v>172</v>
      </c>
      <c r="D4246" s="510" t="s">
        <v>119</v>
      </c>
      <c r="E4246" s="525">
        <v>1500</v>
      </c>
      <c r="F4246" s="502">
        <f t="shared" si="67"/>
        <v>2.8116055579818666</v>
      </c>
      <c r="G4246" s="503">
        <v>533.50300000000004</v>
      </c>
      <c r="H4246" s="525" t="s">
        <v>182</v>
      </c>
      <c r="I4246" s="525" t="s">
        <v>4237</v>
      </c>
      <c r="J4246" s="505" t="s">
        <v>96</v>
      </c>
      <c r="K4246" s="505" t="s">
        <v>2102</v>
      </c>
      <c r="L4246" s="505" t="s">
        <v>153</v>
      </c>
    </row>
    <row r="4247" spans="1:12" ht="15.6">
      <c r="A4247" s="524">
        <v>45977</v>
      </c>
      <c r="B4247" s="525" t="s">
        <v>4917</v>
      </c>
      <c r="C4247" s="525" t="s">
        <v>172</v>
      </c>
      <c r="D4247" s="510" t="s">
        <v>119</v>
      </c>
      <c r="E4247" s="525">
        <v>1000</v>
      </c>
      <c r="F4247" s="502">
        <f t="shared" si="67"/>
        <v>1.8744037053212446</v>
      </c>
      <c r="G4247" s="503">
        <v>533.50300000000004</v>
      </c>
      <c r="H4247" s="525" t="s">
        <v>182</v>
      </c>
      <c r="I4247" s="525" t="s">
        <v>4237</v>
      </c>
      <c r="J4247" s="505" t="s">
        <v>96</v>
      </c>
      <c r="K4247" s="505" t="s">
        <v>2102</v>
      </c>
      <c r="L4247" s="505" t="s">
        <v>153</v>
      </c>
    </row>
    <row r="4248" spans="1:12" ht="15.6">
      <c r="A4248" s="524">
        <v>45977</v>
      </c>
      <c r="B4248" s="525" t="s">
        <v>4917</v>
      </c>
      <c r="C4248" s="525" t="s">
        <v>172</v>
      </c>
      <c r="D4248" s="510" t="s">
        <v>119</v>
      </c>
      <c r="E4248" s="525">
        <v>1000</v>
      </c>
      <c r="F4248" s="502">
        <f t="shared" si="67"/>
        <v>1.8744037053212446</v>
      </c>
      <c r="G4248" s="503">
        <v>533.50300000000004</v>
      </c>
      <c r="H4248" s="525" t="s">
        <v>182</v>
      </c>
      <c r="I4248" s="525" t="s">
        <v>4237</v>
      </c>
      <c r="J4248" s="505" t="s">
        <v>96</v>
      </c>
      <c r="K4248" s="505" t="s">
        <v>2102</v>
      </c>
      <c r="L4248" s="505" t="s">
        <v>153</v>
      </c>
    </row>
    <row r="4249" spans="1:12" ht="15.6">
      <c r="A4249" s="524">
        <v>45977</v>
      </c>
      <c r="B4249" s="525" t="s">
        <v>4912</v>
      </c>
      <c r="C4249" s="525" t="s">
        <v>172</v>
      </c>
      <c r="D4249" s="510" t="s">
        <v>119</v>
      </c>
      <c r="E4249" s="525">
        <v>1000</v>
      </c>
      <c r="F4249" s="502">
        <f t="shared" si="67"/>
        <v>1.8744037053212446</v>
      </c>
      <c r="G4249" s="503">
        <v>533.50300000000004</v>
      </c>
      <c r="H4249" s="525" t="s">
        <v>182</v>
      </c>
      <c r="I4249" s="525" t="s">
        <v>4237</v>
      </c>
      <c r="J4249" s="505" t="s">
        <v>96</v>
      </c>
      <c r="K4249" s="505" t="s">
        <v>2102</v>
      </c>
      <c r="L4249" s="505" t="s">
        <v>153</v>
      </c>
    </row>
    <row r="4250" spans="1:12" ht="15.6">
      <c r="A4250" s="524">
        <v>45977</v>
      </c>
      <c r="B4250" s="525" t="s">
        <v>4917</v>
      </c>
      <c r="C4250" s="525" t="s">
        <v>172</v>
      </c>
      <c r="D4250" s="510" t="s">
        <v>119</v>
      </c>
      <c r="E4250" s="525">
        <v>1000</v>
      </c>
      <c r="F4250" s="502">
        <f t="shared" si="67"/>
        <v>1.8744037053212446</v>
      </c>
      <c r="G4250" s="503">
        <v>533.50300000000004</v>
      </c>
      <c r="H4250" s="525" t="s">
        <v>182</v>
      </c>
      <c r="I4250" s="525" t="s">
        <v>4237</v>
      </c>
      <c r="J4250" s="505" t="s">
        <v>96</v>
      </c>
      <c r="K4250" s="505" t="s">
        <v>2102</v>
      </c>
      <c r="L4250" s="505" t="s">
        <v>153</v>
      </c>
    </row>
    <row r="4251" spans="1:12" ht="15.6">
      <c r="A4251" s="526">
        <v>45977</v>
      </c>
      <c r="B4251" s="505" t="s">
        <v>4980</v>
      </c>
      <c r="C4251" s="519" t="s">
        <v>2394</v>
      </c>
      <c r="D4251" s="510" t="s">
        <v>119</v>
      </c>
      <c r="E4251" s="519">
        <v>30000</v>
      </c>
      <c r="F4251" s="502">
        <f t="shared" si="67"/>
        <v>56.232111159637334</v>
      </c>
      <c r="G4251" s="503">
        <v>533.50300000000004</v>
      </c>
      <c r="H4251" s="519" t="s">
        <v>173</v>
      </c>
      <c r="I4251" s="505" t="s">
        <v>4270</v>
      </c>
      <c r="J4251" s="505" t="s">
        <v>96</v>
      </c>
      <c r="K4251" s="505" t="s">
        <v>2102</v>
      </c>
      <c r="L4251" s="505" t="s">
        <v>153</v>
      </c>
    </row>
    <row r="4252" spans="1:12" ht="15.6">
      <c r="A4252" s="526">
        <v>45977</v>
      </c>
      <c r="B4252" s="519" t="s">
        <v>4876</v>
      </c>
      <c r="C4252" s="519" t="s">
        <v>172</v>
      </c>
      <c r="D4252" s="510" t="s">
        <v>119</v>
      </c>
      <c r="E4252" s="519">
        <v>1500</v>
      </c>
      <c r="F4252" s="502">
        <f t="shared" si="67"/>
        <v>2.8116055579818666</v>
      </c>
      <c r="G4252" s="503">
        <v>533.50300000000004</v>
      </c>
      <c r="H4252" s="519" t="s">
        <v>173</v>
      </c>
      <c r="I4252" s="519" t="s">
        <v>4263</v>
      </c>
      <c r="J4252" s="505" t="s">
        <v>96</v>
      </c>
      <c r="K4252" s="505" t="s">
        <v>2102</v>
      </c>
      <c r="L4252" s="505" t="s">
        <v>153</v>
      </c>
    </row>
    <row r="4253" spans="1:12" ht="15.6">
      <c r="A4253" s="526">
        <v>45977</v>
      </c>
      <c r="B4253" s="519" t="s">
        <v>4744</v>
      </c>
      <c r="C4253" s="519" t="s">
        <v>172</v>
      </c>
      <c r="D4253" s="510" t="s">
        <v>119</v>
      </c>
      <c r="E4253" s="519">
        <v>7000</v>
      </c>
      <c r="F4253" s="502">
        <f t="shared" si="67"/>
        <v>13.120825937248712</v>
      </c>
      <c r="G4253" s="503">
        <v>533.50300000000004</v>
      </c>
      <c r="H4253" s="519" t="s">
        <v>173</v>
      </c>
      <c r="I4253" s="505" t="s">
        <v>4271</v>
      </c>
      <c r="J4253" s="505" t="s">
        <v>96</v>
      </c>
      <c r="K4253" s="505" t="s">
        <v>2102</v>
      </c>
      <c r="L4253" s="505" t="s">
        <v>153</v>
      </c>
    </row>
    <row r="4254" spans="1:12" ht="15.6">
      <c r="A4254" s="526">
        <v>45977</v>
      </c>
      <c r="B4254" s="519" t="s">
        <v>4888</v>
      </c>
      <c r="C4254" s="519" t="s">
        <v>172</v>
      </c>
      <c r="D4254" s="510" t="s">
        <v>119</v>
      </c>
      <c r="E4254" s="519">
        <v>500</v>
      </c>
      <c r="F4254" s="502">
        <f t="shared" si="67"/>
        <v>0.93720185266062228</v>
      </c>
      <c r="G4254" s="503">
        <v>533.50300000000004</v>
      </c>
      <c r="H4254" s="519" t="s">
        <v>173</v>
      </c>
      <c r="I4254" s="519" t="s">
        <v>4263</v>
      </c>
      <c r="J4254" s="505" t="s">
        <v>96</v>
      </c>
      <c r="K4254" s="505" t="s">
        <v>2102</v>
      </c>
      <c r="L4254" s="505" t="s">
        <v>153</v>
      </c>
    </row>
    <row r="4255" spans="1:12" ht="15.6">
      <c r="A4255" s="526">
        <v>45977</v>
      </c>
      <c r="B4255" s="519" t="s">
        <v>4929</v>
      </c>
      <c r="C4255" s="519" t="s">
        <v>172</v>
      </c>
      <c r="D4255" s="510" t="s">
        <v>119</v>
      </c>
      <c r="E4255" s="519">
        <v>500</v>
      </c>
      <c r="F4255" s="502">
        <f t="shared" si="67"/>
        <v>0.93720185266062228</v>
      </c>
      <c r="G4255" s="503">
        <v>533.50300000000004</v>
      </c>
      <c r="H4255" s="519" t="s">
        <v>173</v>
      </c>
      <c r="I4255" s="519" t="s">
        <v>4263</v>
      </c>
      <c r="J4255" s="505" t="s">
        <v>96</v>
      </c>
      <c r="K4255" s="505" t="s">
        <v>2102</v>
      </c>
      <c r="L4255" s="505" t="s">
        <v>153</v>
      </c>
    </row>
    <row r="4256" spans="1:12" ht="15.6">
      <c r="A4256" s="526">
        <v>45977</v>
      </c>
      <c r="B4256" s="519" t="s">
        <v>4888</v>
      </c>
      <c r="C4256" s="519" t="s">
        <v>172</v>
      </c>
      <c r="D4256" s="510" t="s">
        <v>119</v>
      </c>
      <c r="E4256" s="519">
        <v>500</v>
      </c>
      <c r="F4256" s="502">
        <f t="shared" si="67"/>
        <v>0.93720185266062228</v>
      </c>
      <c r="G4256" s="503">
        <v>533.50300000000004</v>
      </c>
      <c r="H4256" s="519" t="s">
        <v>173</v>
      </c>
      <c r="I4256" s="519" t="s">
        <v>4263</v>
      </c>
      <c r="J4256" s="505" t="s">
        <v>96</v>
      </c>
      <c r="K4256" s="505" t="s">
        <v>2102</v>
      </c>
      <c r="L4256" s="505" t="s">
        <v>153</v>
      </c>
    </row>
    <row r="4257" spans="1:12" ht="15.6">
      <c r="A4257" s="526">
        <v>45977</v>
      </c>
      <c r="B4257" s="519" t="s">
        <v>4896</v>
      </c>
      <c r="C4257" s="519" t="s">
        <v>172</v>
      </c>
      <c r="D4257" s="510" t="s">
        <v>119</v>
      </c>
      <c r="E4257" s="519">
        <v>500</v>
      </c>
      <c r="F4257" s="502">
        <f t="shared" si="67"/>
        <v>0.93720185266062228</v>
      </c>
      <c r="G4257" s="503">
        <v>533.50300000000004</v>
      </c>
      <c r="H4257" s="519" t="s">
        <v>173</v>
      </c>
      <c r="I4257" s="519" t="s">
        <v>4263</v>
      </c>
      <c r="J4257" s="505" t="s">
        <v>96</v>
      </c>
      <c r="K4257" s="505" t="s">
        <v>2102</v>
      </c>
      <c r="L4257" s="505" t="s">
        <v>153</v>
      </c>
    </row>
    <row r="4258" spans="1:12" ht="15.6">
      <c r="A4258" s="526">
        <v>45977</v>
      </c>
      <c r="B4258" s="519" t="s">
        <v>4896</v>
      </c>
      <c r="C4258" s="519" t="s">
        <v>172</v>
      </c>
      <c r="D4258" s="510" t="s">
        <v>119</v>
      </c>
      <c r="E4258" s="519">
        <v>500</v>
      </c>
      <c r="F4258" s="502">
        <f t="shared" si="67"/>
        <v>0.93720185266062228</v>
      </c>
      <c r="G4258" s="503">
        <v>533.50300000000004</v>
      </c>
      <c r="H4258" s="519" t="s">
        <v>173</v>
      </c>
      <c r="I4258" s="519" t="s">
        <v>4263</v>
      </c>
      <c r="J4258" s="505" t="s">
        <v>96</v>
      </c>
      <c r="K4258" s="505" t="s">
        <v>2102</v>
      </c>
      <c r="L4258" s="505" t="s">
        <v>153</v>
      </c>
    </row>
    <row r="4259" spans="1:12" ht="15.6">
      <c r="A4259" s="526">
        <v>45977</v>
      </c>
      <c r="B4259" s="519" t="s">
        <v>3481</v>
      </c>
      <c r="C4259" s="519" t="s">
        <v>366</v>
      </c>
      <c r="D4259" s="510" t="s">
        <v>119</v>
      </c>
      <c r="E4259" s="519">
        <v>5000</v>
      </c>
      <c r="F4259" s="502">
        <f t="shared" si="67"/>
        <v>9.2006815864919282</v>
      </c>
      <c r="G4259" s="503">
        <v>543.43799999999999</v>
      </c>
      <c r="H4259" s="519" t="s">
        <v>173</v>
      </c>
      <c r="I4259" s="519" t="s">
        <v>4264</v>
      </c>
      <c r="J4259" s="505" t="s">
        <v>96</v>
      </c>
      <c r="K4259" s="505" t="s">
        <v>4104</v>
      </c>
      <c r="L4259" s="505" t="s">
        <v>153</v>
      </c>
    </row>
    <row r="4260" spans="1:12" ht="15.6">
      <c r="A4260" s="526">
        <v>45977</v>
      </c>
      <c r="B4260" s="519" t="s">
        <v>4876</v>
      </c>
      <c r="C4260" s="519" t="s">
        <v>172</v>
      </c>
      <c r="D4260" s="510" t="s">
        <v>119</v>
      </c>
      <c r="E4260" s="519">
        <v>1000</v>
      </c>
      <c r="F4260" s="502">
        <f t="shared" si="67"/>
        <v>1.8744037053212446</v>
      </c>
      <c r="G4260" s="503">
        <v>533.50300000000004</v>
      </c>
      <c r="H4260" s="519" t="s">
        <v>315</v>
      </c>
      <c r="I4260" s="519" t="s">
        <v>4288</v>
      </c>
      <c r="J4260" s="505" t="s">
        <v>96</v>
      </c>
      <c r="K4260" s="505" t="s">
        <v>2102</v>
      </c>
      <c r="L4260" s="505" t="s">
        <v>153</v>
      </c>
    </row>
    <row r="4261" spans="1:12" ht="15.6">
      <c r="A4261" s="526">
        <v>45977</v>
      </c>
      <c r="B4261" s="519" t="s">
        <v>4981</v>
      </c>
      <c r="C4261" s="519" t="s">
        <v>363</v>
      </c>
      <c r="D4261" s="510" t="s">
        <v>119</v>
      </c>
      <c r="E4261" s="516">
        <v>10000</v>
      </c>
      <c r="F4261" s="502">
        <f t="shared" si="67"/>
        <v>18.401363172983856</v>
      </c>
      <c r="G4261" s="503">
        <v>543.43799999999999</v>
      </c>
      <c r="H4261" s="519" t="s">
        <v>315</v>
      </c>
      <c r="I4261" s="519" t="s">
        <v>4291</v>
      </c>
      <c r="J4261" s="505" t="s">
        <v>96</v>
      </c>
      <c r="K4261" s="505" t="s">
        <v>4104</v>
      </c>
      <c r="L4261" s="505" t="s">
        <v>153</v>
      </c>
    </row>
    <row r="4262" spans="1:12" ht="15.6">
      <c r="A4262" s="526">
        <v>45977</v>
      </c>
      <c r="B4262" s="519" t="s">
        <v>4917</v>
      </c>
      <c r="C4262" s="519" t="s">
        <v>172</v>
      </c>
      <c r="D4262" s="510" t="s">
        <v>119</v>
      </c>
      <c r="E4262" s="519">
        <v>2000</v>
      </c>
      <c r="F4262" s="502">
        <f t="shared" si="67"/>
        <v>3.7488074106424891</v>
      </c>
      <c r="G4262" s="503">
        <v>533.50300000000004</v>
      </c>
      <c r="H4262" s="519" t="s">
        <v>315</v>
      </c>
      <c r="I4262" s="519" t="s">
        <v>4288</v>
      </c>
      <c r="J4262" s="505" t="s">
        <v>96</v>
      </c>
      <c r="K4262" s="505" t="s">
        <v>2102</v>
      </c>
      <c r="L4262" s="505" t="s">
        <v>153</v>
      </c>
    </row>
    <row r="4263" spans="1:12" ht="15.6">
      <c r="A4263" s="526">
        <v>45977</v>
      </c>
      <c r="B4263" s="519" t="s">
        <v>4876</v>
      </c>
      <c r="C4263" s="519" t="s">
        <v>172</v>
      </c>
      <c r="D4263" s="510" t="s">
        <v>119</v>
      </c>
      <c r="E4263" s="519">
        <v>2000</v>
      </c>
      <c r="F4263" s="502">
        <f t="shared" si="67"/>
        <v>3.7488074106424891</v>
      </c>
      <c r="G4263" s="503">
        <v>533.50300000000004</v>
      </c>
      <c r="H4263" s="519" t="s">
        <v>315</v>
      </c>
      <c r="I4263" s="519" t="s">
        <v>4288</v>
      </c>
      <c r="J4263" s="505" t="s">
        <v>96</v>
      </c>
      <c r="K4263" s="505" t="s">
        <v>2102</v>
      </c>
      <c r="L4263" s="505" t="s">
        <v>153</v>
      </c>
    </row>
    <row r="4264" spans="1:12" ht="15.6">
      <c r="A4264" s="526">
        <v>45977</v>
      </c>
      <c r="B4264" s="519" t="s">
        <v>4876</v>
      </c>
      <c r="C4264" s="519" t="s">
        <v>172</v>
      </c>
      <c r="D4264" s="510" t="s">
        <v>119</v>
      </c>
      <c r="E4264" s="519">
        <v>1000</v>
      </c>
      <c r="F4264" s="502">
        <f t="shared" si="67"/>
        <v>1.8744037053212446</v>
      </c>
      <c r="G4264" s="503">
        <v>533.50300000000004</v>
      </c>
      <c r="H4264" s="519" t="s">
        <v>315</v>
      </c>
      <c r="I4264" s="519" t="s">
        <v>4288</v>
      </c>
      <c r="J4264" s="505" t="s">
        <v>96</v>
      </c>
      <c r="K4264" s="505" t="s">
        <v>2102</v>
      </c>
      <c r="L4264" s="505" t="s">
        <v>153</v>
      </c>
    </row>
    <row r="4265" spans="1:12" ht="15.6">
      <c r="A4265" s="526">
        <v>45977</v>
      </c>
      <c r="B4265" s="519" t="s">
        <v>4888</v>
      </c>
      <c r="C4265" s="519" t="s">
        <v>172</v>
      </c>
      <c r="D4265" s="510" t="s">
        <v>119</v>
      </c>
      <c r="E4265" s="521">
        <v>500</v>
      </c>
      <c r="F4265" s="502">
        <f t="shared" si="67"/>
        <v>0.93720185266062228</v>
      </c>
      <c r="G4265" s="503">
        <v>533.50300000000004</v>
      </c>
      <c r="H4265" s="519" t="s">
        <v>321</v>
      </c>
      <c r="I4265" s="519" t="s">
        <v>4314</v>
      </c>
      <c r="J4265" s="505" t="s">
        <v>96</v>
      </c>
      <c r="K4265" s="505" t="s">
        <v>2102</v>
      </c>
      <c r="L4265" s="505" t="s">
        <v>153</v>
      </c>
    </row>
    <row r="4266" spans="1:12" ht="15.6">
      <c r="A4266" s="526">
        <v>45977</v>
      </c>
      <c r="B4266" s="519" t="s">
        <v>4896</v>
      </c>
      <c r="C4266" s="519" t="s">
        <v>172</v>
      </c>
      <c r="D4266" s="510" t="s">
        <v>119</v>
      </c>
      <c r="E4266" s="521">
        <v>500</v>
      </c>
      <c r="F4266" s="502">
        <f t="shared" si="67"/>
        <v>0.93720185266062228</v>
      </c>
      <c r="G4266" s="503">
        <v>533.50300000000004</v>
      </c>
      <c r="H4266" s="519" t="s">
        <v>321</v>
      </c>
      <c r="I4266" s="519" t="s">
        <v>4314</v>
      </c>
      <c r="J4266" s="505" t="s">
        <v>96</v>
      </c>
      <c r="K4266" s="505" t="s">
        <v>2102</v>
      </c>
      <c r="L4266" s="505" t="s">
        <v>153</v>
      </c>
    </row>
    <row r="4267" spans="1:12" ht="15.6">
      <c r="A4267" s="526">
        <v>45977</v>
      </c>
      <c r="B4267" s="519" t="s">
        <v>4967</v>
      </c>
      <c r="C4267" s="519" t="s">
        <v>172</v>
      </c>
      <c r="D4267" s="510" t="s">
        <v>119</v>
      </c>
      <c r="E4267" s="521">
        <v>500</v>
      </c>
      <c r="F4267" s="502">
        <f t="shared" si="67"/>
        <v>0.93720185266062228</v>
      </c>
      <c r="G4267" s="503">
        <v>533.50300000000004</v>
      </c>
      <c r="H4267" s="519" t="s">
        <v>321</v>
      </c>
      <c r="I4267" s="519" t="s">
        <v>4314</v>
      </c>
      <c r="J4267" s="505" t="s">
        <v>96</v>
      </c>
      <c r="K4267" s="505" t="s">
        <v>2102</v>
      </c>
      <c r="L4267" s="505" t="s">
        <v>153</v>
      </c>
    </row>
    <row r="4268" spans="1:12" ht="15.6">
      <c r="A4268" s="526">
        <v>45977</v>
      </c>
      <c r="B4268" s="519" t="s">
        <v>4888</v>
      </c>
      <c r="C4268" s="519" t="s">
        <v>172</v>
      </c>
      <c r="D4268" s="510" t="s">
        <v>119</v>
      </c>
      <c r="E4268" s="521">
        <v>500</v>
      </c>
      <c r="F4268" s="502">
        <f t="shared" si="67"/>
        <v>0.93720185266062228</v>
      </c>
      <c r="G4268" s="503">
        <v>533.50300000000004</v>
      </c>
      <c r="H4268" s="519" t="s">
        <v>321</v>
      </c>
      <c r="I4268" s="519" t="s">
        <v>4314</v>
      </c>
      <c r="J4268" s="505" t="s">
        <v>96</v>
      </c>
      <c r="K4268" s="505" t="s">
        <v>2102</v>
      </c>
      <c r="L4268" s="505" t="s">
        <v>153</v>
      </c>
    </row>
    <row r="4269" spans="1:12" ht="15.6">
      <c r="A4269" s="526">
        <v>45977</v>
      </c>
      <c r="B4269" s="519" t="s">
        <v>4888</v>
      </c>
      <c r="C4269" s="519" t="s">
        <v>172</v>
      </c>
      <c r="D4269" s="510" t="s">
        <v>119</v>
      </c>
      <c r="E4269" s="521">
        <v>500</v>
      </c>
      <c r="F4269" s="502">
        <f t="shared" ref="F4269:F4332" si="68">E4269/G4269</f>
        <v>0.93720185266062228</v>
      </c>
      <c r="G4269" s="503">
        <v>533.50300000000004</v>
      </c>
      <c r="H4269" s="519" t="s">
        <v>321</v>
      </c>
      <c r="I4269" s="519" t="s">
        <v>4314</v>
      </c>
      <c r="J4269" s="505" t="s">
        <v>96</v>
      </c>
      <c r="K4269" s="505" t="s">
        <v>2102</v>
      </c>
      <c r="L4269" s="505" t="s">
        <v>153</v>
      </c>
    </row>
    <row r="4270" spans="1:12" ht="15.6">
      <c r="A4270" s="526">
        <v>45977</v>
      </c>
      <c r="B4270" s="519" t="s">
        <v>2932</v>
      </c>
      <c r="C4270" s="519" t="s">
        <v>366</v>
      </c>
      <c r="D4270" s="510" t="s">
        <v>119</v>
      </c>
      <c r="E4270" s="521">
        <v>2000</v>
      </c>
      <c r="F4270" s="502">
        <f t="shared" si="68"/>
        <v>3.6802726345967711</v>
      </c>
      <c r="G4270" s="503">
        <v>543.43799999999999</v>
      </c>
      <c r="H4270" s="519" t="s">
        <v>321</v>
      </c>
      <c r="I4270" s="519" t="s">
        <v>4321</v>
      </c>
      <c r="J4270" s="505" t="s">
        <v>96</v>
      </c>
      <c r="K4270" s="505" t="s">
        <v>4104</v>
      </c>
      <c r="L4270" s="505" t="s">
        <v>153</v>
      </c>
    </row>
    <row r="4271" spans="1:12" ht="15.6">
      <c r="A4271" s="526">
        <v>45977</v>
      </c>
      <c r="B4271" s="519" t="s">
        <v>4896</v>
      </c>
      <c r="C4271" s="519" t="s">
        <v>172</v>
      </c>
      <c r="D4271" s="510" t="s">
        <v>119</v>
      </c>
      <c r="E4271" s="521">
        <v>500</v>
      </c>
      <c r="F4271" s="502">
        <f t="shared" si="68"/>
        <v>0.93720185266062228</v>
      </c>
      <c r="G4271" s="503">
        <v>533.50300000000004</v>
      </c>
      <c r="H4271" s="519" t="s">
        <v>321</v>
      </c>
      <c r="I4271" s="519" t="s">
        <v>4314</v>
      </c>
      <c r="J4271" s="505" t="s">
        <v>96</v>
      </c>
      <c r="K4271" s="505" t="s">
        <v>2102</v>
      </c>
      <c r="L4271" s="505" t="s">
        <v>153</v>
      </c>
    </row>
    <row r="4272" spans="1:12" ht="15.6">
      <c r="A4272" s="486">
        <v>45978</v>
      </c>
      <c r="B4272" s="478" t="s">
        <v>2107</v>
      </c>
      <c r="C4272" s="478" t="s">
        <v>172</v>
      </c>
      <c r="D4272" s="501" t="s">
        <v>117</v>
      </c>
      <c r="E4272" s="481">
        <v>1000</v>
      </c>
      <c r="F4272" s="502">
        <f t="shared" si="68"/>
        <v>1.8744037053212446</v>
      </c>
      <c r="G4272" s="503">
        <v>533.50300000000004</v>
      </c>
      <c r="H4272" s="504" t="s">
        <v>151</v>
      </c>
      <c r="I4272" s="478" t="s">
        <v>4133</v>
      </c>
      <c r="J4272" s="505" t="s">
        <v>96</v>
      </c>
      <c r="K4272" s="505" t="s">
        <v>2102</v>
      </c>
      <c r="L4272" s="505" t="s">
        <v>153</v>
      </c>
    </row>
    <row r="4273" spans="1:12" ht="15.6">
      <c r="A4273" s="486">
        <v>45978</v>
      </c>
      <c r="B4273" s="478" t="s">
        <v>2108</v>
      </c>
      <c r="C4273" s="478" t="s">
        <v>172</v>
      </c>
      <c r="D4273" s="501" t="s">
        <v>117</v>
      </c>
      <c r="E4273" s="481">
        <v>1000</v>
      </c>
      <c r="F4273" s="502">
        <f t="shared" si="68"/>
        <v>1.8744037053212446</v>
      </c>
      <c r="G4273" s="503">
        <v>533.50300000000004</v>
      </c>
      <c r="H4273" s="504" t="s">
        <v>151</v>
      </c>
      <c r="I4273" s="478" t="s">
        <v>4133</v>
      </c>
      <c r="J4273" s="505" t="s">
        <v>96</v>
      </c>
      <c r="K4273" s="505" t="s">
        <v>2102</v>
      </c>
      <c r="L4273" s="505" t="s">
        <v>153</v>
      </c>
    </row>
    <row r="4274" spans="1:12" ht="15.6">
      <c r="A4274" s="486">
        <v>45978</v>
      </c>
      <c r="B4274" s="298" t="s">
        <v>4125</v>
      </c>
      <c r="C4274" s="506" t="s">
        <v>150</v>
      </c>
      <c r="D4274" s="506" t="s">
        <v>117</v>
      </c>
      <c r="E4274" s="481">
        <v>12500</v>
      </c>
      <c r="F4274" s="502">
        <f t="shared" si="68"/>
        <v>23.430046316515558</v>
      </c>
      <c r="G4274" s="503">
        <v>533.50300000000004</v>
      </c>
      <c r="H4274" s="504" t="s">
        <v>151</v>
      </c>
      <c r="I4274" s="478" t="s">
        <v>4139</v>
      </c>
      <c r="J4274" s="505" t="s">
        <v>96</v>
      </c>
      <c r="K4274" s="505" t="s">
        <v>2102</v>
      </c>
      <c r="L4274" s="505" t="s">
        <v>153</v>
      </c>
    </row>
    <row r="4275" spans="1:12" ht="15.6">
      <c r="A4275" s="486">
        <v>45978</v>
      </c>
      <c r="B4275" s="478" t="s">
        <v>2104</v>
      </c>
      <c r="C4275" s="478" t="s">
        <v>172</v>
      </c>
      <c r="D4275" s="501" t="s">
        <v>117</v>
      </c>
      <c r="E4275" s="481">
        <v>1000</v>
      </c>
      <c r="F4275" s="502">
        <f t="shared" si="68"/>
        <v>1.8744037053212446</v>
      </c>
      <c r="G4275" s="503">
        <v>533.50300000000004</v>
      </c>
      <c r="H4275" s="504" t="s">
        <v>151</v>
      </c>
      <c r="I4275" s="478" t="s">
        <v>4133</v>
      </c>
      <c r="J4275" s="505" t="s">
        <v>96</v>
      </c>
      <c r="K4275" s="505" t="s">
        <v>2102</v>
      </c>
      <c r="L4275" s="505" t="s">
        <v>153</v>
      </c>
    </row>
    <row r="4276" spans="1:12" ht="15.6">
      <c r="A4276" s="511">
        <v>45978</v>
      </c>
      <c r="B4276" s="514" t="s">
        <v>4150</v>
      </c>
      <c r="C4276" s="514" t="s">
        <v>150</v>
      </c>
      <c r="D4276" s="514" t="s">
        <v>115</v>
      </c>
      <c r="E4276" s="513">
        <v>10000</v>
      </c>
      <c r="F4276" s="502">
        <f t="shared" si="68"/>
        <v>18.744037053212445</v>
      </c>
      <c r="G4276" s="503">
        <v>533.50300000000004</v>
      </c>
      <c r="H4276" s="510" t="s">
        <v>198</v>
      </c>
      <c r="I4276" s="512" t="s">
        <v>4160</v>
      </c>
      <c r="J4276" s="505" t="s">
        <v>96</v>
      </c>
      <c r="K4276" s="505" t="s">
        <v>2102</v>
      </c>
      <c r="L4276" s="505" t="s">
        <v>153</v>
      </c>
    </row>
    <row r="4277" spans="1:12" ht="15.6">
      <c r="A4277" s="517">
        <v>45978</v>
      </c>
      <c r="B4277" s="519" t="s">
        <v>4198</v>
      </c>
      <c r="C4277" s="519" t="s">
        <v>172</v>
      </c>
      <c r="D4277" s="519" t="s">
        <v>116</v>
      </c>
      <c r="E4277" s="520">
        <v>1000</v>
      </c>
      <c r="F4277" s="502">
        <f t="shared" si="68"/>
        <v>1.8744037053212446</v>
      </c>
      <c r="G4277" s="503">
        <v>533.50300000000004</v>
      </c>
      <c r="H4277" s="519" t="s">
        <v>581</v>
      </c>
      <c r="I4277" s="519" t="s">
        <v>4213</v>
      </c>
      <c r="J4277" s="505" t="s">
        <v>96</v>
      </c>
      <c r="K4277" s="505" t="s">
        <v>2102</v>
      </c>
      <c r="L4277" s="505" t="s">
        <v>153</v>
      </c>
    </row>
    <row r="4278" spans="1:12" ht="15.6">
      <c r="A4278" s="517">
        <v>45978</v>
      </c>
      <c r="B4278" s="519" t="s">
        <v>3405</v>
      </c>
      <c r="C4278" s="519" t="s">
        <v>172</v>
      </c>
      <c r="D4278" s="519" t="s">
        <v>116</v>
      </c>
      <c r="E4278" s="520">
        <v>500</v>
      </c>
      <c r="F4278" s="502">
        <f t="shared" si="68"/>
        <v>0.93720185266062228</v>
      </c>
      <c r="G4278" s="503">
        <v>533.50300000000004</v>
      </c>
      <c r="H4278" s="519" t="s">
        <v>581</v>
      </c>
      <c r="I4278" s="519" t="s">
        <v>4213</v>
      </c>
      <c r="J4278" s="505" t="s">
        <v>96</v>
      </c>
      <c r="K4278" s="505" t="s">
        <v>2102</v>
      </c>
      <c r="L4278" s="505" t="s">
        <v>153</v>
      </c>
    </row>
    <row r="4279" spans="1:12" ht="15.6">
      <c r="A4279" s="517">
        <v>45978</v>
      </c>
      <c r="B4279" s="519" t="s">
        <v>3406</v>
      </c>
      <c r="C4279" s="519" t="s">
        <v>172</v>
      </c>
      <c r="D4279" s="519" t="s">
        <v>116</v>
      </c>
      <c r="E4279" s="520">
        <v>1000</v>
      </c>
      <c r="F4279" s="502">
        <f t="shared" si="68"/>
        <v>1.8744037053212446</v>
      </c>
      <c r="G4279" s="503">
        <v>533.50300000000004</v>
      </c>
      <c r="H4279" s="519" t="s">
        <v>581</v>
      </c>
      <c r="I4279" s="519" t="s">
        <v>4213</v>
      </c>
      <c r="J4279" s="505" t="s">
        <v>96</v>
      </c>
      <c r="K4279" s="505" t="s">
        <v>2102</v>
      </c>
      <c r="L4279" s="505" t="s">
        <v>153</v>
      </c>
    </row>
    <row r="4280" spans="1:12" ht="15.6">
      <c r="A4280" s="517">
        <v>45978</v>
      </c>
      <c r="B4280" s="519" t="s">
        <v>4199</v>
      </c>
      <c r="C4280" s="521" t="s">
        <v>150</v>
      </c>
      <c r="D4280" s="519" t="s">
        <v>117</v>
      </c>
      <c r="E4280" s="520">
        <v>7500</v>
      </c>
      <c r="F4280" s="502">
        <f t="shared" si="68"/>
        <v>14.058027789909334</v>
      </c>
      <c r="G4280" s="503">
        <v>533.50300000000004</v>
      </c>
      <c r="H4280" s="519" t="s">
        <v>581</v>
      </c>
      <c r="I4280" s="519" t="s">
        <v>4220</v>
      </c>
      <c r="J4280" s="505" t="s">
        <v>96</v>
      </c>
      <c r="K4280" s="505" t="s">
        <v>2102</v>
      </c>
      <c r="L4280" s="505" t="s">
        <v>153</v>
      </c>
    </row>
    <row r="4281" spans="1:12" ht="15.6">
      <c r="A4281" s="515">
        <v>45978</v>
      </c>
      <c r="B4281" s="505" t="s">
        <v>4735</v>
      </c>
      <c r="C4281" s="519" t="s">
        <v>180</v>
      </c>
      <c r="D4281" s="519" t="s">
        <v>116</v>
      </c>
      <c r="E4281" s="518">
        <v>5495</v>
      </c>
      <c r="F4281" s="502">
        <f t="shared" si="68"/>
        <v>10.299848360740238</v>
      </c>
      <c r="G4281" s="503">
        <v>533.50300000000004</v>
      </c>
      <c r="H4281" s="519" t="s">
        <v>581</v>
      </c>
      <c r="I4281" s="505" t="s">
        <v>4221</v>
      </c>
      <c r="J4281" s="505" t="s">
        <v>96</v>
      </c>
      <c r="K4281" s="505" t="s">
        <v>2102</v>
      </c>
      <c r="L4281" s="505" t="s">
        <v>153</v>
      </c>
    </row>
    <row r="4282" spans="1:12" ht="15.6">
      <c r="A4282" s="524">
        <v>45978</v>
      </c>
      <c r="B4282" s="525" t="s">
        <v>4917</v>
      </c>
      <c r="C4282" s="525" t="s">
        <v>172</v>
      </c>
      <c r="D4282" s="510" t="s">
        <v>119</v>
      </c>
      <c r="E4282" s="525">
        <v>1000</v>
      </c>
      <c r="F4282" s="502">
        <f t="shared" si="68"/>
        <v>1.8744037053212446</v>
      </c>
      <c r="G4282" s="503">
        <v>533.50300000000004</v>
      </c>
      <c r="H4282" s="525" t="s">
        <v>182</v>
      </c>
      <c r="I4282" s="525" t="s">
        <v>4237</v>
      </c>
      <c r="J4282" s="505" t="s">
        <v>96</v>
      </c>
      <c r="K4282" s="505" t="s">
        <v>2102</v>
      </c>
      <c r="L4282" s="505" t="s">
        <v>153</v>
      </c>
    </row>
    <row r="4283" spans="1:12" ht="15.6">
      <c r="A4283" s="524">
        <v>45978</v>
      </c>
      <c r="B4283" s="525" t="s">
        <v>4912</v>
      </c>
      <c r="C4283" s="525" t="s">
        <v>172</v>
      </c>
      <c r="D4283" s="510" t="s">
        <v>119</v>
      </c>
      <c r="E4283" s="525">
        <v>1000</v>
      </c>
      <c r="F4283" s="502">
        <f t="shared" si="68"/>
        <v>1.8744037053212446</v>
      </c>
      <c r="G4283" s="503">
        <v>533.50300000000004</v>
      </c>
      <c r="H4283" s="525" t="s">
        <v>182</v>
      </c>
      <c r="I4283" s="525" t="s">
        <v>4237</v>
      </c>
      <c r="J4283" s="505" t="s">
        <v>96</v>
      </c>
      <c r="K4283" s="505" t="s">
        <v>2102</v>
      </c>
      <c r="L4283" s="505" t="s">
        <v>153</v>
      </c>
    </row>
    <row r="4284" spans="1:12" ht="15.6">
      <c r="A4284" s="524">
        <v>45978</v>
      </c>
      <c r="B4284" s="525" t="s">
        <v>4917</v>
      </c>
      <c r="C4284" s="525" t="s">
        <v>172</v>
      </c>
      <c r="D4284" s="510" t="s">
        <v>119</v>
      </c>
      <c r="E4284" s="525">
        <v>1000</v>
      </c>
      <c r="F4284" s="502">
        <f t="shared" si="68"/>
        <v>1.8744037053212446</v>
      </c>
      <c r="G4284" s="503">
        <v>533.50300000000004</v>
      </c>
      <c r="H4284" s="525" t="s">
        <v>182</v>
      </c>
      <c r="I4284" s="525" t="s">
        <v>4237</v>
      </c>
      <c r="J4284" s="505" t="s">
        <v>96</v>
      </c>
      <c r="K4284" s="505" t="s">
        <v>2102</v>
      </c>
      <c r="L4284" s="505" t="s">
        <v>153</v>
      </c>
    </row>
    <row r="4285" spans="1:12" ht="15.6">
      <c r="A4285" s="524">
        <v>45978</v>
      </c>
      <c r="B4285" s="525" t="s">
        <v>4917</v>
      </c>
      <c r="C4285" s="525" t="s">
        <v>172</v>
      </c>
      <c r="D4285" s="510" t="s">
        <v>119</v>
      </c>
      <c r="E4285" s="525">
        <v>1000</v>
      </c>
      <c r="F4285" s="502">
        <f t="shared" si="68"/>
        <v>1.8744037053212446</v>
      </c>
      <c r="G4285" s="503">
        <v>533.50300000000004</v>
      </c>
      <c r="H4285" s="525" t="s">
        <v>182</v>
      </c>
      <c r="I4285" s="525" t="s">
        <v>4237</v>
      </c>
      <c r="J4285" s="505" t="s">
        <v>96</v>
      </c>
      <c r="K4285" s="505" t="s">
        <v>2102</v>
      </c>
      <c r="L4285" s="505" t="s">
        <v>153</v>
      </c>
    </row>
    <row r="4286" spans="1:12" ht="15.6">
      <c r="A4286" s="524">
        <v>45978</v>
      </c>
      <c r="B4286" s="510" t="s">
        <v>4235</v>
      </c>
      <c r="C4286" s="510" t="s">
        <v>150</v>
      </c>
      <c r="D4286" s="510" t="s">
        <v>119</v>
      </c>
      <c r="E4286" s="525">
        <v>10000</v>
      </c>
      <c r="F4286" s="502">
        <f t="shared" si="68"/>
        <v>18.744037053212445</v>
      </c>
      <c r="G4286" s="503">
        <v>533.50300000000004</v>
      </c>
      <c r="H4286" s="525" t="s">
        <v>182</v>
      </c>
      <c r="I4286" s="510" t="s">
        <v>4246</v>
      </c>
      <c r="J4286" s="505" t="s">
        <v>96</v>
      </c>
      <c r="K4286" s="505" t="s">
        <v>2102</v>
      </c>
      <c r="L4286" s="505" t="s">
        <v>153</v>
      </c>
    </row>
    <row r="4287" spans="1:12" ht="15.6">
      <c r="A4287" s="526">
        <v>45978</v>
      </c>
      <c r="B4287" s="505" t="s">
        <v>4754</v>
      </c>
      <c r="C4287" s="519" t="s">
        <v>2394</v>
      </c>
      <c r="D4287" s="510" t="s">
        <v>119</v>
      </c>
      <c r="E4287" s="519">
        <v>15000</v>
      </c>
      <c r="F4287" s="502">
        <f t="shared" si="68"/>
        <v>28.116055579818667</v>
      </c>
      <c r="G4287" s="503">
        <v>533.50300000000004</v>
      </c>
      <c r="H4287" s="519" t="s">
        <v>173</v>
      </c>
      <c r="I4287" s="505" t="s">
        <v>4272</v>
      </c>
      <c r="J4287" s="505" t="s">
        <v>96</v>
      </c>
      <c r="K4287" s="505" t="s">
        <v>2102</v>
      </c>
      <c r="L4287" s="505" t="s">
        <v>153</v>
      </c>
    </row>
    <row r="4288" spans="1:12" ht="15.6">
      <c r="A4288" s="526">
        <v>45978</v>
      </c>
      <c r="B4288" s="519" t="s">
        <v>4888</v>
      </c>
      <c r="C4288" s="519" t="s">
        <v>172</v>
      </c>
      <c r="D4288" s="510" t="s">
        <v>119</v>
      </c>
      <c r="E4288" s="519">
        <v>1000</v>
      </c>
      <c r="F4288" s="502">
        <f t="shared" si="68"/>
        <v>1.8744037053212446</v>
      </c>
      <c r="G4288" s="503">
        <v>533.50300000000004</v>
      </c>
      <c r="H4288" s="519" t="s">
        <v>173</v>
      </c>
      <c r="I4288" s="519" t="s">
        <v>4263</v>
      </c>
      <c r="J4288" s="505" t="s">
        <v>96</v>
      </c>
      <c r="K4288" s="505" t="s">
        <v>2102</v>
      </c>
      <c r="L4288" s="505" t="s">
        <v>153</v>
      </c>
    </row>
    <row r="4289" spans="1:12" ht="15.6">
      <c r="A4289" s="526">
        <v>45978</v>
      </c>
      <c r="B4289" s="519" t="s">
        <v>4744</v>
      </c>
      <c r="C4289" s="519" t="s">
        <v>172</v>
      </c>
      <c r="D4289" s="510" t="s">
        <v>119</v>
      </c>
      <c r="E4289" s="519">
        <v>7000</v>
      </c>
      <c r="F4289" s="502">
        <f t="shared" si="68"/>
        <v>13.120825937248712</v>
      </c>
      <c r="G4289" s="503">
        <v>533.50300000000004</v>
      </c>
      <c r="H4289" s="519" t="s">
        <v>173</v>
      </c>
      <c r="I4289" s="505" t="s">
        <v>4273</v>
      </c>
      <c r="J4289" s="505" t="s">
        <v>96</v>
      </c>
      <c r="K4289" s="505" t="s">
        <v>2102</v>
      </c>
      <c r="L4289" s="505" t="s">
        <v>153</v>
      </c>
    </row>
    <row r="4290" spans="1:12" ht="15.6">
      <c r="A4290" s="526">
        <v>45978</v>
      </c>
      <c r="B4290" s="519" t="s">
        <v>4907</v>
      </c>
      <c r="C4290" s="519" t="s">
        <v>172</v>
      </c>
      <c r="D4290" s="510" t="s">
        <v>119</v>
      </c>
      <c r="E4290" s="519">
        <v>1000</v>
      </c>
      <c r="F4290" s="502">
        <f t="shared" si="68"/>
        <v>1.8744037053212446</v>
      </c>
      <c r="G4290" s="503">
        <v>533.50300000000004</v>
      </c>
      <c r="H4290" s="519" t="s">
        <v>173</v>
      </c>
      <c r="I4290" s="519" t="s">
        <v>4263</v>
      </c>
      <c r="J4290" s="505" t="s">
        <v>96</v>
      </c>
      <c r="K4290" s="505" t="s">
        <v>2102</v>
      </c>
      <c r="L4290" s="505" t="s">
        <v>153</v>
      </c>
    </row>
    <row r="4291" spans="1:12" ht="15.6">
      <c r="A4291" s="526">
        <v>45978</v>
      </c>
      <c r="B4291" s="519" t="s">
        <v>4907</v>
      </c>
      <c r="C4291" s="519" t="s">
        <v>172</v>
      </c>
      <c r="D4291" s="510" t="s">
        <v>119</v>
      </c>
      <c r="E4291" s="519">
        <v>1000</v>
      </c>
      <c r="F4291" s="502">
        <f t="shared" si="68"/>
        <v>1.8744037053212446</v>
      </c>
      <c r="G4291" s="503">
        <v>533.50300000000004</v>
      </c>
      <c r="H4291" s="519" t="s">
        <v>173</v>
      </c>
      <c r="I4291" s="519" t="s">
        <v>4263</v>
      </c>
      <c r="J4291" s="505" t="s">
        <v>96</v>
      </c>
      <c r="K4291" s="505" t="s">
        <v>2102</v>
      </c>
      <c r="L4291" s="505" t="s">
        <v>153</v>
      </c>
    </row>
    <row r="4292" spans="1:12" ht="15.6">
      <c r="A4292" s="526">
        <v>45978</v>
      </c>
      <c r="B4292" s="519" t="s">
        <v>4912</v>
      </c>
      <c r="C4292" s="519" t="s">
        <v>172</v>
      </c>
      <c r="D4292" s="510" t="s">
        <v>119</v>
      </c>
      <c r="E4292" s="519">
        <v>1000</v>
      </c>
      <c r="F4292" s="502">
        <f t="shared" si="68"/>
        <v>1.8744037053212446</v>
      </c>
      <c r="G4292" s="503">
        <v>533.50300000000004</v>
      </c>
      <c r="H4292" s="519" t="s">
        <v>173</v>
      </c>
      <c r="I4292" s="519" t="s">
        <v>4263</v>
      </c>
      <c r="J4292" s="505" t="s">
        <v>96</v>
      </c>
      <c r="K4292" s="505" t="s">
        <v>2102</v>
      </c>
      <c r="L4292" s="505" t="s">
        <v>153</v>
      </c>
    </row>
    <row r="4293" spans="1:12" ht="15.6">
      <c r="A4293" s="526">
        <v>45978</v>
      </c>
      <c r="B4293" s="519" t="s">
        <v>4912</v>
      </c>
      <c r="C4293" s="519" t="s">
        <v>172</v>
      </c>
      <c r="D4293" s="510" t="s">
        <v>119</v>
      </c>
      <c r="E4293" s="519">
        <v>1000</v>
      </c>
      <c r="F4293" s="502">
        <f t="shared" si="68"/>
        <v>1.8744037053212446</v>
      </c>
      <c r="G4293" s="503">
        <v>533.50300000000004</v>
      </c>
      <c r="H4293" s="519" t="s">
        <v>173</v>
      </c>
      <c r="I4293" s="519" t="s">
        <v>4263</v>
      </c>
      <c r="J4293" s="505" t="s">
        <v>96</v>
      </c>
      <c r="K4293" s="505" t="s">
        <v>2102</v>
      </c>
      <c r="L4293" s="505" t="s">
        <v>153</v>
      </c>
    </row>
    <row r="4294" spans="1:12" ht="15.6">
      <c r="A4294" s="526">
        <v>45978</v>
      </c>
      <c r="B4294" s="519" t="s">
        <v>4912</v>
      </c>
      <c r="C4294" s="519" t="s">
        <v>172</v>
      </c>
      <c r="D4294" s="510" t="s">
        <v>119</v>
      </c>
      <c r="E4294" s="519">
        <v>1500</v>
      </c>
      <c r="F4294" s="502">
        <f t="shared" si="68"/>
        <v>2.8116055579818666</v>
      </c>
      <c r="G4294" s="503">
        <v>533.50300000000004</v>
      </c>
      <c r="H4294" s="519" t="s">
        <v>173</v>
      </c>
      <c r="I4294" s="519" t="s">
        <v>4263</v>
      </c>
      <c r="J4294" s="505" t="s">
        <v>96</v>
      </c>
      <c r="K4294" s="505" t="s">
        <v>2102</v>
      </c>
      <c r="L4294" s="505" t="s">
        <v>153</v>
      </c>
    </row>
    <row r="4295" spans="1:12" ht="15.6">
      <c r="A4295" s="526">
        <v>45978</v>
      </c>
      <c r="B4295" s="519" t="s">
        <v>4907</v>
      </c>
      <c r="C4295" s="519" t="s">
        <v>172</v>
      </c>
      <c r="D4295" s="510" t="s">
        <v>119</v>
      </c>
      <c r="E4295" s="519">
        <v>1500</v>
      </c>
      <c r="F4295" s="502">
        <f t="shared" si="68"/>
        <v>2.8116055579818666</v>
      </c>
      <c r="G4295" s="503">
        <v>533.50300000000004</v>
      </c>
      <c r="H4295" s="519" t="s">
        <v>173</v>
      </c>
      <c r="I4295" s="519" t="s">
        <v>4263</v>
      </c>
      <c r="J4295" s="505" t="s">
        <v>96</v>
      </c>
      <c r="K4295" s="505" t="s">
        <v>2102</v>
      </c>
      <c r="L4295" s="505" t="s">
        <v>153</v>
      </c>
    </row>
    <row r="4296" spans="1:12" ht="15.6">
      <c r="A4296" s="526">
        <v>45978</v>
      </c>
      <c r="B4296" s="519" t="s">
        <v>2932</v>
      </c>
      <c r="C4296" s="519" t="s">
        <v>366</v>
      </c>
      <c r="D4296" s="510" t="s">
        <v>119</v>
      </c>
      <c r="E4296" s="519">
        <v>2000</v>
      </c>
      <c r="F4296" s="502">
        <f t="shared" si="68"/>
        <v>3.6802726345967711</v>
      </c>
      <c r="G4296" s="503">
        <v>543.43799999999999</v>
      </c>
      <c r="H4296" s="519" t="s">
        <v>173</v>
      </c>
      <c r="I4296" s="519" t="s">
        <v>4264</v>
      </c>
      <c r="J4296" s="505" t="s">
        <v>96</v>
      </c>
      <c r="K4296" s="505" t="s">
        <v>4104</v>
      </c>
      <c r="L4296" s="505" t="s">
        <v>153</v>
      </c>
    </row>
    <row r="4297" spans="1:12" ht="15.6">
      <c r="A4297" s="526">
        <v>45978</v>
      </c>
      <c r="B4297" s="510" t="s">
        <v>4260</v>
      </c>
      <c r="C4297" s="510" t="s">
        <v>150</v>
      </c>
      <c r="D4297" s="510" t="s">
        <v>119</v>
      </c>
      <c r="E4297" s="519">
        <v>10000</v>
      </c>
      <c r="F4297" s="502">
        <f t="shared" si="68"/>
        <v>18.744037053212445</v>
      </c>
      <c r="G4297" s="503">
        <v>533.50300000000004</v>
      </c>
      <c r="H4297" s="519" t="s">
        <v>173</v>
      </c>
      <c r="I4297" s="505" t="s">
        <v>4275</v>
      </c>
      <c r="J4297" s="505" t="s">
        <v>96</v>
      </c>
      <c r="K4297" s="505" t="s">
        <v>2102</v>
      </c>
      <c r="L4297" s="505" t="s">
        <v>153</v>
      </c>
    </row>
    <row r="4298" spans="1:12" ht="15.6">
      <c r="A4298" s="526">
        <v>45978</v>
      </c>
      <c r="B4298" s="519" t="s">
        <v>4876</v>
      </c>
      <c r="C4298" s="519" t="s">
        <v>172</v>
      </c>
      <c r="D4298" s="510" t="s">
        <v>119</v>
      </c>
      <c r="E4298" s="519">
        <v>1000</v>
      </c>
      <c r="F4298" s="502">
        <f t="shared" si="68"/>
        <v>1.8744037053212446</v>
      </c>
      <c r="G4298" s="503">
        <v>533.50300000000004</v>
      </c>
      <c r="H4298" s="519" t="s">
        <v>315</v>
      </c>
      <c r="I4298" s="519" t="s">
        <v>4288</v>
      </c>
      <c r="J4298" s="505" t="s">
        <v>96</v>
      </c>
      <c r="K4298" s="505" t="s">
        <v>2102</v>
      </c>
      <c r="L4298" s="505" t="s">
        <v>153</v>
      </c>
    </row>
    <row r="4299" spans="1:12" ht="15.6">
      <c r="A4299" s="526">
        <v>45978</v>
      </c>
      <c r="B4299" s="519" t="s">
        <v>4876</v>
      </c>
      <c r="C4299" s="519" t="s">
        <v>172</v>
      </c>
      <c r="D4299" s="510" t="s">
        <v>119</v>
      </c>
      <c r="E4299" s="519">
        <v>1000</v>
      </c>
      <c r="F4299" s="502">
        <f t="shared" si="68"/>
        <v>1.8744037053212446</v>
      </c>
      <c r="G4299" s="503">
        <v>533.50300000000004</v>
      </c>
      <c r="H4299" s="519" t="s">
        <v>315</v>
      </c>
      <c r="I4299" s="519" t="s">
        <v>4288</v>
      </c>
      <c r="J4299" s="505" t="s">
        <v>96</v>
      </c>
      <c r="K4299" s="505" t="s">
        <v>2102</v>
      </c>
      <c r="L4299" s="505" t="s">
        <v>153</v>
      </c>
    </row>
    <row r="4300" spans="1:12" ht="15.6">
      <c r="A4300" s="526">
        <v>45978</v>
      </c>
      <c r="B4300" s="505" t="s">
        <v>4283</v>
      </c>
      <c r="C4300" s="505" t="s">
        <v>150</v>
      </c>
      <c r="D4300" s="510" t="s">
        <v>119</v>
      </c>
      <c r="E4300" s="519">
        <v>10000</v>
      </c>
      <c r="F4300" s="502">
        <f t="shared" si="68"/>
        <v>18.744037053212445</v>
      </c>
      <c r="G4300" s="503">
        <v>533.50300000000004</v>
      </c>
      <c r="H4300" s="519" t="s">
        <v>315</v>
      </c>
      <c r="I4300" s="519" t="s">
        <v>4297</v>
      </c>
      <c r="J4300" s="505" t="s">
        <v>96</v>
      </c>
      <c r="K4300" s="505" t="s">
        <v>2102</v>
      </c>
      <c r="L4300" s="505" t="s">
        <v>153</v>
      </c>
    </row>
    <row r="4301" spans="1:12" ht="15.6">
      <c r="A4301" s="526">
        <v>45978</v>
      </c>
      <c r="B4301" s="519" t="s">
        <v>4888</v>
      </c>
      <c r="C4301" s="519" t="s">
        <v>172</v>
      </c>
      <c r="D4301" s="510" t="s">
        <v>119</v>
      </c>
      <c r="E4301" s="521">
        <v>500</v>
      </c>
      <c r="F4301" s="502">
        <f t="shared" si="68"/>
        <v>0.93720185266062228</v>
      </c>
      <c r="G4301" s="503">
        <v>533.50300000000004</v>
      </c>
      <c r="H4301" s="519" t="s">
        <v>321</v>
      </c>
      <c r="I4301" s="519" t="s">
        <v>4314</v>
      </c>
      <c r="J4301" s="505" t="s">
        <v>96</v>
      </c>
      <c r="K4301" s="505" t="s">
        <v>2102</v>
      </c>
      <c r="L4301" s="505" t="s">
        <v>153</v>
      </c>
    </row>
    <row r="4302" spans="1:12" ht="15.6">
      <c r="A4302" s="526">
        <v>45978</v>
      </c>
      <c r="B4302" s="519" t="s">
        <v>4888</v>
      </c>
      <c r="C4302" s="519" t="s">
        <v>172</v>
      </c>
      <c r="D4302" s="510" t="s">
        <v>119</v>
      </c>
      <c r="E4302" s="521">
        <v>500</v>
      </c>
      <c r="F4302" s="502">
        <f t="shared" si="68"/>
        <v>0.93720185266062228</v>
      </c>
      <c r="G4302" s="503">
        <v>533.50300000000004</v>
      </c>
      <c r="H4302" s="519" t="s">
        <v>321</v>
      </c>
      <c r="I4302" s="519" t="s">
        <v>4314</v>
      </c>
      <c r="J4302" s="505" t="s">
        <v>96</v>
      </c>
      <c r="K4302" s="505" t="s">
        <v>2102</v>
      </c>
      <c r="L4302" s="505" t="s">
        <v>153</v>
      </c>
    </row>
    <row r="4303" spans="1:12" ht="15.6">
      <c r="A4303" s="526">
        <v>45978</v>
      </c>
      <c r="B4303" s="519" t="s">
        <v>4888</v>
      </c>
      <c r="C4303" s="519" t="s">
        <v>172</v>
      </c>
      <c r="D4303" s="510" t="s">
        <v>119</v>
      </c>
      <c r="E4303" s="521">
        <v>500</v>
      </c>
      <c r="F4303" s="502">
        <f t="shared" si="68"/>
        <v>0.93720185266062228</v>
      </c>
      <c r="G4303" s="503">
        <v>533.50300000000004</v>
      </c>
      <c r="H4303" s="519" t="s">
        <v>321</v>
      </c>
      <c r="I4303" s="519" t="s">
        <v>4314</v>
      </c>
      <c r="J4303" s="505" t="s">
        <v>96</v>
      </c>
      <c r="K4303" s="505" t="s">
        <v>2102</v>
      </c>
      <c r="L4303" s="505" t="s">
        <v>153</v>
      </c>
    </row>
    <row r="4304" spans="1:12" ht="15.6">
      <c r="A4304" s="526">
        <v>45978</v>
      </c>
      <c r="B4304" s="519" t="s">
        <v>2932</v>
      </c>
      <c r="C4304" s="519" t="s">
        <v>366</v>
      </c>
      <c r="D4304" s="510" t="s">
        <v>119</v>
      </c>
      <c r="E4304" s="521">
        <v>2000</v>
      </c>
      <c r="F4304" s="502">
        <f t="shared" si="68"/>
        <v>3.6802726345967711</v>
      </c>
      <c r="G4304" s="503">
        <v>543.43799999999999</v>
      </c>
      <c r="H4304" s="519" t="s">
        <v>321</v>
      </c>
      <c r="I4304" s="519" t="s">
        <v>4321</v>
      </c>
      <c r="J4304" s="505" t="s">
        <v>96</v>
      </c>
      <c r="K4304" s="505" t="s">
        <v>4104</v>
      </c>
      <c r="L4304" s="505" t="s">
        <v>153</v>
      </c>
    </row>
    <row r="4305" spans="1:12" ht="15.6">
      <c r="A4305" s="526">
        <v>45978</v>
      </c>
      <c r="B4305" s="519" t="s">
        <v>4896</v>
      </c>
      <c r="C4305" s="519" t="s">
        <v>172</v>
      </c>
      <c r="D4305" s="510" t="s">
        <v>119</v>
      </c>
      <c r="E4305" s="521">
        <v>500</v>
      </c>
      <c r="F4305" s="502">
        <f t="shared" si="68"/>
        <v>0.93720185266062228</v>
      </c>
      <c r="G4305" s="503">
        <v>533.50300000000004</v>
      </c>
      <c r="H4305" s="519" t="s">
        <v>321</v>
      </c>
      <c r="I4305" s="519" t="s">
        <v>4314</v>
      </c>
      <c r="J4305" s="505" t="s">
        <v>96</v>
      </c>
      <c r="K4305" s="505" t="s">
        <v>2102</v>
      </c>
      <c r="L4305" s="505" t="s">
        <v>153</v>
      </c>
    </row>
    <row r="4306" spans="1:12" ht="15.6">
      <c r="A4306" s="526">
        <v>45978</v>
      </c>
      <c r="B4306" s="505" t="s">
        <v>4311</v>
      </c>
      <c r="C4306" s="505" t="s">
        <v>150</v>
      </c>
      <c r="D4306" s="510" t="s">
        <v>119</v>
      </c>
      <c r="E4306" s="521">
        <v>10000</v>
      </c>
      <c r="F4306" s="502">
        <f t="shared" si="68"/>
        <v>18.744037053212445</v>
      </c>
      <c r="G4306" s="503">
        <v>533.50300000000004</v>
      </c>
      <c r="H4306" s="519" t="s">
        <v>321</v>
      </c>
      <c r="I4306" s="505" t="s">
        <v>4323</v>
      </c>
      <c r="J4306" s="505" t="s">
        <v>96</v>
      </c>
      <c r="K4306" s="505" t="s">
        <v>2102</v>
      </c>
      <c r="L4306" s="505" t="s">
        <v>153</v>
      </c>
    </row>
    <row r="4307" spans="1:12" ht="15.6">
      <c r="A4307" s="526">
        <v>45978</v>
      </c>
      <c r="B4307" s="519" t="s">
        <v>2998</v>
      </c>
      <c r="C4307" s="519" t="s">
        <v>172</v>
      </c>
      <c r="D4307" s="519" t="s">
        <v>115</v>
      </c>
      <c r="E4307" s="520">
        <v>500</v>
      </c>
      <c r="F4307" s="502">
        <f t="shared" si="68"/>
        <v>0.93720185266062228</v>
      </c>
      <c r="G4307" s="503">
        <v>533.50300000000004</v>
      </c>
      <c r="H4307" s="519" t="s">
        <v>188</v>
      </c>
      <c r="I4307" s="519" t="s">
        <v>4359</v>
      </c>
      <c r="J4307" s="505" t="s">
        <v>96</v>
      </c>
      <c r="K4307" s="505" t="s">
        <v>2102</v>
      </c>
      <c r="L4307" s="505" t="s">
        <v>153</v>
      </c>
    </row>
    <row r="4308" spans="1:12" ht="15.6">
      <c r="A4308" s="526">
        <v>45978</v>
      </c>
      <c r="B4308" s="519" t="s">
        <v>3000</v>
      </c>
      <c r="C4308" s="519" t="s">
        <v>172</v>
      </c>
      <c r="D4308" s="519" t="s">
        <v>115</v>
      </c>
      <c r="E4308" s="520">
        <v>500</v>
      </c>
      <c r="F4308" s="502">
        <f t="shared" si="68"/>
        <v>0.93720185266062228</v>
      </c>
      <c r="G4308" s="503">
        <v>533.50300000000004</v>
      </c>
      <c r="H4308" s="519" t="s">
        <v>188</v>
      </c>
      <c r="I4308" s="519" t="s">
        <v>4359</v>
      </c>
      <c r="J4308" s="505" t="s">
        <v>96</v>
      </c>
      <c r="K4308" s="505" t="s">
        <v>2102</v>
      </c>
      <c r="L4308" s="505" t="s">
        <v>153</v>
      </c>
    </row>
    <row r="4309" spans="1:12" ht="15.6">
      <c r="A4309" s="526">
        <v>45978</v>
      </c>
      <c r="B4309" s="505" t="s">
        <v>4356</v>
      </c>
      <c r="C4309" s="505" t="s">
        <v>150</v>
      </c>
      <c r="D4309" s="505" t="s">
        <v>115</v>
      </c>
      <c r="E4309" s="520">
        <v>7500</v>
      </c>
      <c r="F4309" s="502">
        <f t="shared" si="68"/>
        <v>14.058027789909334</v>
      </c>
      <c r="G4309" s="503">
        <v>533.50300000000004</v>
      </c>
      <c r="H4309" s="519" t="s">
        <v>188</v>
      </c>
      <c r="I4309" s="519" t="s">
        <v>4373</v>
      </c>
      <c r="J4309" s="505" t="s">
        <v>96</v>
      </c>
      <c r="K4309" s="505" t="s">
        <v>2102</v>
      </c>
      <c r="L4309" s="505" t="s">
        <v>153</v>
      </c>
    </row>
    <row r="4310" spans="1:12" ht="15.6">
      <c r="A4310" s="515">
        <v>45978</v>
      </c>
      <c r="B4310" s="505" t="s">
        <v>3633</v>
      </c>
      <c r="C4310" s="519" t="s">
        <v>180</v>
      </c>
      <c r="D4310" s="519" t="s">
        <v>116</v>
      </c>
      <c r="E4310" s="518">
        <v>3000</v>
      </c>
      <c r="F4310" s="502">
        <f t="shared" si="68"/>
        <v>5.6232111159637332</v>
      </c>
      <c r="G4310" s="503">
        <v>533.50300000000004</v>
      </c>
      <c r="H4310" s="519" t="s">
        <v>188</v>
      </c>
      <c r="I4310" s="505" t="s">
        <v>4374</v>
      </c>
      <c r="J4310" s="505" t="s">
        <v>96</v>
      </c>
      <c r="K4310" s="505" t="s">
        <v>2102</v>
      </c>
      <c r="L4310" s="505" t="s">
        <v>153</v>
      </c>
    </row>
    <row r="4311" spans="1:12" ht="15.6">
      <c r="A4311" s="515">
        <v>45978</v>
      </c>
      <c r="B4311" s="505" t="s">
        <v>4402</v>
      </c>
      <c r="C4311" s="505" t="s">
        <v>150</v>
      </c>
      <c r="D4311" s="505" t="s">
        <v>115</v>
      </c>
      <c r="E4311" s="528">
        <v>7500</v>
      </c>
      <c r="F4311" s="502">
        <f t="shared" si="68"/>
        <v>14.058027789909334</v>
      </c>
      <c r="G4311" s="503">
        <v>533.50300000000004</v>
      </c>
      <c r="H4311" s="505" t="s">
        <v>191</v>
      </c>
      <c r="I4311" s="519" t="s">
        <v>4415</v>
      </c>
      <c r="J4311" s="505" t="s">
        <v>96</v>
      </c>
      <c r="K4311" s="505" t="s">
        <v>2102</v>
      </c>
      <c r="L4311" s="505" t="s">
        <v>153</v>
      </c>
    </row>
    <row r="4312" spans="1:12" ht="15.6">
      <c r="A4312" s="529">
        <v>45978</v>
      </c>
      <c r="B4312" s="505" t="s">
        <v>4418</v>
      </c>
      <c r="C4312" s="298" t="s">
        <v>150</v>
      </c>
      <c r="D4312" s="298" t="s">
        <v>115</v>
      </c>
      <c r="E4312" s="530">
        <v>10000</v>
      </c>
      <c r="F4312" s="502">
        <f t="shared" si="68"/>
        <v>18.744037053212445</v>
      </c>
      <c r="G4312" s="503">
        <v>533.50300000000004</v>
      </c>
      <c r="H4312" s="298" t="s">
        <v>435</v>
      </c>
      <c r="I4312" s="505" t="s">
        <v>4446</v>
      </c>
      <c r="J4312" s="505" t="s">
        <v>96</v>
      </c>
      <c r="K4312" s="505" t="s">
        <v>2102</v>
      </c>
      <c r="L4312" s="505" t="s">
        <v>153</v>
      </c>
    </row>
    <row r="4313" spans="1:12" ht="15.6">
      <c r="A4313" s="532">
        <v>45978</v>
      </c>
      <c r="B4313" s="516" t="s">
        <v>4523</v>
      </c>
      <c r="C4313" s="516" t="s">
        <v>172</v>
      </c>
      <c r="D4313" s="516" t="s">
        <v>118</v>
      </c>
      <c r="E4313" s="533">
        <v>1000</v>
      </c>
      <c r="F4313" s="502">
        <f t="shared" si="68"/>
        <v>1.8744037053212446</v>
      </c>
      <c r="G4313" s="503">
        <v>533.50300000000004</v>
      </c>
      <c r="H4313" s="516" t="s">
        <v>211</v>
      </c>
      <c r="I4313" s="516" t="s">
        <v>4559</v>
      </c>
      <c r="J4313" s="505" t="s">
        <v>96</v>
      </c>
      <c r="K4313" s="505" t="s">
        <v>2102</v>
      </c>
      <c r="L4313" s="505" t="s">
        <v>153</v>
      </c>
    </row>
    <row r="4314" spans="1:12" ht="15.6">
      <c r="A4314" s="532">
        <v>45978</v>
      </c>
      <c r="B4314" s="516" t="s">
        <v>4524</v>
      </c>
      <c r="C4314" s="516" t="s">
        <v>172</v>
      </c>
      <c r="D4314" s="516" t="s">
        <v>118</v>
      </c>
      <c r="E4314" s="533">
        <v>1000</v>
      </c>
      <c r="F4314" s="502">
        <f t="shared" si="68"/>
        <v>1.8744037053212446</v>
      </c>
      <c r="G4314" s="503">
        <v>533.50300000000004</v>
      </c>
      <c r="H4314" s="516" t="s">
        <v>211</v>
      </c>
      <c r="I4314" s="516" t="s">
        <v>4559</v>
      </c>
      <c r="J4314" s="505" t="s">
        <v>96</v>
      </c>
      <c r="K4314" s="505" t="s">
        <v>2102</v>
      </c>
      <c r="L4314" s="505" t="s">
        <v>153</v>
      </c>
    </row>
    <row r="4315" spans="1:12" ht="15.6">
      <c r="A4315" s="532">
        <v>45978</v>
      </c>
      <c r="B4315" s="516" t="s">
        <v>4525</v>
      </c>
      <c r="C4315" s="516" t="s">
        <v>172</v>
      </c>
      <c r="D4315" s="516" t="s">
        <v>118</v>
      </c>
      <c r="E4315" s="533">
        <v>1000</v>
      </c>
      <c r="F4315" s="502">
        <f t="shared" si="68"/>
        <v>1.8744037053212446</v>
      </c>
      <c r="G4315" s="503">
        <v>533.50300000000004</v>
      </c>
      <c r="H4315" s="516" t="s">
        <v>211</v>
      </c>
      <c r="I4315" s="516" t="s">
        <v>4559</v>
      </c>
      <c r="J4315" s="505" t="s">
        <v>96</v>
      </c>
      <c r="K4315" s="505" t="s">
        <v>2102</v>
      </c>
      <c r="L4315" s="505" t="s">
        <v>153</v>
      </c>
    </row>
    <row r="4316" spans="1:12" ht="15.6">
      <c r="A4316" s="532">
        <v>45978</v>
      </c>
      <c r="B4316" s="516" t="s">
        <v>3858</v>
      </c>
      <c r="C4316" s="516" t="s">
        <v>172</v>
      </c>
      <c r="D4316" s="516" t="s">
        <v>118</v>
      </c>
      <c r="E4316" s="533">
        <v>1000</v>
      </c>
      <c r="F4316" s="502">
        <f t="shared" si="68"/>
        <v>1.8744037053212446</v>
      </c>
      <c r="G4316" s="503">
        <v>533.50300000000004</v>
      </c>
      <c r="H4316" s="516" t="s">
        <v>211</v>
      </c>
      <c r="I4316" s="516" t="s">
        <v>4559</v>
      </c>
      <c r="J4316" s="505" t="s">
        <v>96</v>
      </c>
      <c r="K4316" s="505" t="s">
        <v>2102</v>
      </c>
      <c r="L4316" s="505" t="s">
        <v>153</v>
      </c>
    </row>
    <row r="4317" spans="1:12" ht="15.6">
      <c r="A4317" s="532">
        <v>45978</v>
      </c>
      <c r="B4317" s="516" t="s">
        <v>4526</v>
      </c>
      <c r="C4317" s="516" t="s">
        <v>172</v>
      </c>
      <c r="D4317" s="516" t="s">
        <v>118</v>
      </c>
      <c r="E4317" s="533">
        <v>1000</v>
      </c>
      <c r="F4317" s="502">
        <f t="shared" si="68"/>
        <v>1.8744037053212446</v>
      </c>
      <c r="G4317" s="503">
        <v>533.50300000000004</v>
      </c>
      <c r="H4317" s="516" t="s">
        <v>211</v>
      </c>
      <c r="I4317" s="516" t="s">
        <v>4559</v>
      </c>
      <c r="J4317" s="505" t="s">
        <v>96</v>
      </c>
      <c r="K4317" s="505" t="s">
        <v>2102</v>
      </c>
      <c r="L4317" s="505" t="s">
        <v>153</v>
      </c>
    </row>
    <row r="4318" spans="1:12" ht="15.6">
      <c r="A4318" s="531">
        <v>45978</v>
      </c>
      <c r="B4318" s="514" t="s">
        <v>4527</v>
      </c>
      <c r="C4318" s="514" t="s">
        <v>172</v>
      </c>
      <c r="D4318" s="514" t="s">
        <v>118</v>
      </c>
      <c r="E4318" s="518">
        <v>1000</v>
      </c>
      <c r="F4318" s="502">
        <f t="shared" si="68"/>
        <v>1.8744037053212446</v>
      </c>
      <c r="G4318" s="503">
        <v>533.50300000000004</v>
      </c>
      <c r="H4318" s="514" t="s">
        <v>211</v>
      </c>
      <c r="I4318" s="514" t="s">
        <v>4559</v>
      </c>
      <c r="J4318" s="505" t="s">
        <v>96</v>
      </c>
      <c r="K4318" s="505" t="s">
        <v>2102</v>
      </c>
      <c r="L4318" s="505" t="s">
        <v>153</v>
      </c>
    </row>
    <row r="4319" spans="1:12" ht="15.6">
      <c r="A4319" s="532">
        <v>45978</v>
      </c>
      <c r="B4319" s="516" t="s">
        <v>4528</v>
      </c>
      <c r="C4319" s="516" t="s">
        <v>172</v>
      </c>
      <c r="D4319" s="516" t="s">
        <v>118</v>
      </c>
      <c r="E4319" s="533">
        <v>1000</v>
      </c>
      <c r="F4319" s="502">
        <f t="shared" si="68"/>
        <v>1.8744037053212446</v>
      </c>
      <c r="G4319" s="503">
        <v>533.50300000000004</v>
      </c>
      <c r="H4319" s="516" t="s">
        <v>211</v>
      </c>
      <c r="I4319" s="516" t="s">
        <v>4559</v>
      </c>
      <c r="J4319" s="505" t="s">
        <v>96</v>
      </c>
      <c r="K4319" s="505" t="s">
        <v>2102</v>
      </c>
      <c r="L4319" s="505" t="s">
        <v>153</v>
      </c>
    </row>
    <row r="4320" spans="1:12" ht="15.6">
      <c r="A4320" s="532">
        <v>45978</v>
      </c>
      <c r="B4320" s="514" t="s">
        <v>4530</v>
      </c>
      <c r="C4320" s="514" t="s">
        <v>150</v>
      </c>
      <c r="D4320" s="516" t="s">
        <v>118</v>
      </c>
      <c r="E4320" s="533">
        <v>10000</v>
      </c>
      <c r="F4320" s="502">
        <f t="shared" si="68"/>
        <v>18.744037053212445</v>
      </c>
      <c r="G4320" s="503">
        <v>533.50300000000004</v>
      </c>
      <c r="H4320" s="516" t="s">
        <v>211</v>
      </c>
      <c r="I4320" s="516" t="s">
        <v>4570</v>
      </c>
      <c r="J4320" s="505" t="s">
        <v>96</v>
      </c>
      <c r="K4320" s="505" t="s">
        <v>2102</v>
      </c>
      <c r="L4320" s="505" t="s">
        <v>153</v>
      </c>
    </row>
    <row r="4321" spans="1:12" ht="15.6">
      <c r="A4321" s="526">
        <v>45978</v>
      </c>
      <c r="B4321" s="519" t="s">
        <v>4593</v>
      </c>
      <c r="C4321" s="519" t="s">
        <v>172</v>
      </c>
      <c r="D4321" s="519" t="s">
        <v>115</v>
      </c>
      <c r="E4321" s="519">
        <v>1000</v>
      </c>
      <c r="F4321" s="502">
        <f t="shared" si="68"/>
        <v>1.8744037053212446</v>
      </c>
      <c r="G4321" s="503">
        <v>533.50300000000004</v>
      </c>
      <c r="H4321" s="519" t="s">
        <v>185</v>
      </c>
      <c r="I4321" s="519" t="s">
        <v>4631</v>
      </c>
      <c r="J4321" s="505" t="s">
        <v>96</v>
      </c>
      <c r="K4321" s="505" t="s">
        <v>2102</v>
      </c>
      <c r="L4321" s="505" t="s">
        <v>153</v>
      </c>
    </row>
    <row r="4322" spans="1:12" ht="15.6">
      <c r="A4322" s="526">
        <v>45978</v>
      </c>
      <c r="B4322" s="519" t="s">
        <v>4605</v>
      </c>
      <c r="C4322" s="519" t="s">
        <v>172</v>
      </c>
      <c r="D4322" s="519" t="s">
        <v>115</v>
      </c>
      <c r="E4322" s="519">
        <v>1500</v>
      </c>
      <c r="F4322" s="502">
        <f t="shared" si="68"/>
        <v>2.8116055579818666</v>
      </c>
      <c r="G4322" s="503">
        <v>533.50300000000004</v>
      </c>
      <c r="H4322" s="519" t="s">
        <v>185</v>
      </c>
      <c r="I4322" s="519" t="s">
        <v>4631</v>
      </c>
      <c r="J4322" s="505" t="s">
        <v>96</v>
      </c>
      <c r="K4322" s="505" t="s">
        <v>2102</v>
      </c>
      <c r="L4322" s="505" t="s">
        <v>153</v>
      </c>
    </row>
    <row r="4323" spans="1:12" ht="15.6">
      <c r="A4323" s="526">
        <v>45978</v>
      </c>
      <c r="B4323" s="519" t="s">
        <v>3002</v>
      </c>
      <c r="C4323" s="519" t="s">
        <v>172</v>
      </c>
      <c r="D4323" s="519" t="s">
        <v>115</v>
      </c>
      <c r="E4323" s="519">
        <v>1000</v>
      </c>
      <c r="F4323" s="502">
        <f t="shared" si="68"/>
        <v>1.8744037053212446</v>
      </c>
      <c r="G4323" s="503">
        <v>533.50300000000004</v>
      </c>
      <c r="H4323" s="519" t="s">
        <v>185</v>
      </c>
      <c r="I4323" s="519" t="s">
        <v>4631</v>
      </c>
      <c r="J4323" s="505" t="s">
        <v>96</v>
      </c>
      <c r="K4323" s="505" t="s">
        <v>2102</v>
      </c>
      <c r="L4323" s="505" t="s">
        <v>153</v>
      </c>
    </row>
    <row r="4324" spans="1:12" ht="15.6">
      <c r="A4324" s="526">
        <v>45978</v>
      </c>
      <c r="B4324" s="519" t="s">
        <v>4606</v>
      </c>
      <c r="C4324" s="519" t="s">
        <v>150</v>
      </c>
      <c r="D4324" s="519" t="s">
        <v>115</v>
      </c>
      <c r="E4324" s="522">
        <v>7500</v>
      </c>
      <c r="F4324" s="502">
        <f t="shared" si="68"/>
        <v>14.058027789909334</v>
      </c>
      <c r="G4324" s="503">
        <v>533.50300000000004</v>
      </c>
      <c r="H4324" s="519" t="s">
        <v>185</v>
      </c>
      <c r="I4324" s="519" t="s">
        <v>4640</v>
      </c>
      <c r="J4324" s="505" t="s">
        <v>96</v>
      </c>
      <c r="K4324" s="505" t="s">
        <v>2102</v>
      </c>
      <c r="L4324" s="505" t="s">
        <v>153</v>
      </c>
    </row>
    <row r="4325" spans="1:12" ht="15.6">
      <c r="A4325" s="486">
        <v>45979</v>
      </c>
      <c r="B4325" s="478" t="s">
        <v>2103</v>
      </c>
      <c r="C4325" s="478" t="s">
        <v>172</v>
      </c>
      <c r="D4325" s="501" t="s">
        <v>117</v>
      </c>
      <c r="E4325" s="557">
        <v>1000</v>
      </c>
      <c r="F4325" s="502">
        <f t="shared" si="68"/>
        <v>1.8744037053212446</v>
      </c>
      <c r="G4325" s="503">
        <v>533.50300000000004</v>
      </c>
      <c r="H4325" s="504" t="s">
        <v>151</v>
      </c>
      <c r="I4325" s="478" t="s">
        <v>4133</v>
      </c>
      <c r="J4325" s="505" t="s">
        <v>96</v>
      </c>
      <c r="K4325" s="505" t="s">
        <v>2102</v>
      </c>
      <c r="L4325" s="505" t="s">
        <v>153</v>
      </c>
    </row>
    <row r="4326" spans="1:12" ht="15.6">
      <c r="A4326" s="486">
        <v>45979</v>
      </c>
      <c r="B4326" s="478" t="s">
        <v>4126</v>
      </c>
      <c r="C4326" s="478" t="s">
        <v>172</v>
      </c>
      <c r="D4326" s="501" t="s">
        <v>117</v>
      </c>
      <c r="E4326" s="557">
        <v>1000</v>
      </c>
      <c r="F4326" s="502">
        <f t="shared" si="68"/>
        <v>1.8744037053212446</v>
      </c>
      <c r="G4326" s="503">
        <v>533.50300000000004</v>
      </c>
      <c r="H4326" s="504" t="s">
        <v>151</v>
      </c>
      <c r="I4326" s="478" t="s">
        <v>4133</v>
      </c>
      <c r="J4326" s="505" t="s">
        <v>96</v>
      </c>
      <c r="K4326" s="505" t="s">
        <v>2102</v>
      </c>
      <c r="L4326" s="505" t="s">
        <v>153</v>
      </c>
    </row>
    <row r="4327" spans="1:12" ht="15.6">
      <c r="A4327" s="486">
        <v>45979</v>
      </c>
      <c r="B4327" s="478" t="s">
        <v>4127</v>
      </c>
      <c r="C4327" s="478" t="s">
        <v>172</v>
      </c>
      <c r="D4327" s="501" t="s">
        <v>117</v>
      </c>
      <c r="E4327" s="557">
        <v>1000</v>
      </c>
      <c r="F4327" s="502">
        <f t="shared" si="68"/>
        <v>1.8744037053212446</v>
      </c>
      <c r="G4327" s="503">
        <v>533.50300000000004</v>
      </c>
      <c r="H4327" s="504" t="s">
        <v>151</v>
      </c>
      <c r="I4327" s="478" t="s">
        <v>4133</v>
      </c>
      <c r="J4327" s="505" t="s">
        <v>96</v>
      </c>
      <c r="K4327" s="505" t="s">
        <v>2102</v>
      </c>
      <c r="L4327" s="505" t="s">
        <v>153</v>
      </c>
    </row>
    <row r="4328" spans="1:12" ht="15.6">
      <c r="A4328" s="486">
        <v>45979</v>
      </c>
      <c r="B4328" s="478" t="s">
        <v>2104</v>
      </c>
      <c r="C4328" s="478" t="s">
        <v>172</v>
      </c>
      <c r="D4328" s="501" t="s">
        <v>117</v>
      </c>
      <c r="E4328" s="557">
        <v>1000</v>
      </c>
      <c r="F4328" s="502">
        <f t="shared" si="68"/>
        <v>1.8744037053212446</v>
      </c>
      <c r="G4328" s="503">
        <v>533.50300000000004</v>
      </c>
      <c r="H4328" s="504" t="s">
        <v>151</v>
      </c>
      <c r="I4328" s="478" t="s">
        <v>4133</v>
      </c>
      <c r="J4328" s="505" t="s">
        <v>96</v>
      </c>
      <c r="K4328" s="505" t="s">
        <v>2102</v>
      </c>
      <c r="L4328" s="505" t="s">
        <v>153</v>
      </c>
    </row>
    <row r="4329" spans="1:12" ht="15.6">
      <c r="A4329" s="515">
        <v>45979</v>
      </c>
      <c r="B4329" s="505" t="s">
        <v>2162</v>
      </c>
      <c r="C4329" s="519" t="s">
        <v>121</v>
      </c>
      <c r="D4329" s="519" t="s">
        <v>115</v>
      </c>
      <c r="E4329" s="553">
        <v>115000</v>
      </c>
      <c r="F4329" s="502">
        <f t="shared" si="68"/>
        <v>215.55642611194313</v>
      </c>
      <c r="G4329" s="503">
        <v>533.50300000000004</v>
      </c>
      <c r="H4329" s="519" t="s">
        <v>581</v>
      </c>
      <c r="I4329" s="505" t="s">
        <v>4222</v>
      </c>
      <c r="J4329" s="505" t="s">
        <v>96</v>
      </c>
      <c r="K4329" s="505" t="s">
        <v>2102</v>
      </c>
      <c r="L4329" s="505" t="s">
        <v>153</v>
      </c>
    </row>
    <row r="4330" spans="1:12" ht="15.6">
      <c r="A4330" s="517">
        <v>45979</v>
      </c>
      <c r="B4330" s="519" t="s">
        <v>4198</v>
      </c>
      <c r="C4330" s="519" t="s">
        <v>172</v>
      </c>
      <c r="D4330" s="519" t="s">
        <v>116</v>
      </c>
      <c r="E4330" s="558">
        <v>1000</v>
      </c>
      <c r="F4330" s="502">
        <f t="shared" si="68"/>
        <v>1.8744037053212446</v>
      </c>
      <c r="G4330" s="503">
        <v>533.50300000000004</v>
      </c>
      <c r="H4330" s="519" t="s">
        <v>581</v>
      </c>
      <c r="I4330" s="519" t="s">
        <v>4213</v>
      </c>
      <c r="J4330" s="505" t="s">
        <v>96</v>
      </c>
      <c r="K4330" s="505" t="s">
        <v>2102</v>
      </c>
      <c r="L4330" s="505" t="s">
        <v>153</v>
      </c>
    </row>
    <row r="4331" spans="1:12" ht="15.6">
      <c r="A4331" s="517">
        <v>45979</v>
      </c>
      <c r="B4331" s="519" t="s">
        <v>4201</v>
      </c>
      <c r="C4331" s="519" t="s">
        <v>172</v>
      </c>
      <c r="D4331" s="519" t="s">
        <v>116</v>
      </c>
      <c r="E4331" s="562">
        <v>1000</v>
      </c>
      <c r="F4331" s="502">
        <f t="shared" si="68"/>
        <v>1.8744037053212446</v>
      </c>
      <c r="G4331" s="503">
        <v>533.50300000000004</v>
      </c>
      <c r="H4331" s="519" t="s">
        <v>581</v>
      </c>
      <c r="I4331" s="519" t="s">
        <v>4213</v>
      </c>
      <c r="J4331" s="505" t="s">
        <v>96</v>
      </c>
      <c r="K4331" s="505" t="s">
        <v>2102</v>
      </c>
      <c r="L4331" s="505" t="s">
        <v>153</v>
      </c>
    </row>
    <row r="4332" spans="1:12" ht="15.6">
      <c r="A4332" s="517">
        <v>45979</v>
      </c>
      <c r="B4332" s="519" t="s">
        <v>4202</v>
      </c>
      <c r="C4332" s="519" t="s">
        <v>172</v>
      </c>
      <c r="D4332" s="519" t="s">
        <v>116</v>
      </c>
      <c r="E4332" s="558">
        <v>1000</v>
      </c>
      <c r="F4332" s="502">
        <f t="shared" si="68"/>
        <v>1.8744037053212446</v>
      </c>
      <c r="G4332" s="503">
        <v>533.50300000000004</v>
      </c>
      <c r="H4332" s="519" t="s">
        <v>581</v>
      </c>
      <c r="I4332" s="519" t="s">
        <v>4213</v>
      </c>
      <c r="J4332" s="505" t="s">
        <v>96</v>
      </c>
      <c r="K4332" s="505" t="s">
        <v>2102</v>
      </c>
      <c r="L4332" s="505" t="s">
        <v>153</v>
      </c>
    </row>
    <row r="4333" spans="1:12" ht="15.6">
      <c r="A4333" s="517">
        <v>45979</v>
      </c>
      <c r="B4333" s="519" t="s">
        <v>2892</v>
      </c>
      <c r="C4333" s="519" t="s">
        <v>172</v>
      </c>
      <c r="D4333" s="519" t="s">
        <v>116</v>
      </c>
      <c r="E4333" s="558">
        <v>1000</v>
      </c>
      <c r="F4333" s="502">
        <f t="shared" ref="F4333:F4393" si="69">E4333/G4333</f>
        <v>1.8744037053212446</v>
      </c>
      <c r="G4333" s="503">
        <v>533.50300000000004</v>
      </c>
      <c r="H4333" s="519" t="s">
        <v>581</v>
      </c>
      <c r="I4333" s="519" t="s">
        <v>4213</v>
      </c>
      <c r="J4333" s="505" t="s">
        <v>96</v>
      </c>
      <c r="K4333" s="505" t="s">
        <v>2102</v>
      </c>
      <c r="L4333" s="505" t="s">
        <v>153</v>
      </c>
    </row>
    <row r="4334" spans="1:12" ht="15.6">
      <c r="A4334" s="524">
        <v>45979</v>
      </c>
      <c r="B4334" s="525" t="s">
        <v>4917</v>
      </c>
      <c r="C4334" s="525" t="s">
        <v>172</v>
      </c>
      <c r="D4334" s="510" t="s">
        <v>119</v>
      </c>
      <c r="E4334" s="560">
        <v>1000</v>
      </c>
      <c r="F4334" s="502">
        <f t="shared" si="69"/>
        <v>1.8744037053212446</v>
      </c>
      <c r="G4334" s="503">
        <v>533.50300000000004</v>
      </c>
      <c r="H4334" s="525" t="s">
        <v>182</v>
      </c>
      <c r="I4334" s="525" t="s">
        <v>4237</v>
      </c>
      <c r="J4334" s="505" t="s">
        <v>96</v>
      </c>
      <c r="K4334" s="505" t="s">
        <v>2102</v>
      </c>
      <c r="L4334" s="505" t="s">
        <v>153</v>
      </c>
    </row>
    <row r="4335" spans="1:12" ht="15.6">
      <c r="A4335" s="524">
        <v>45979</v>
      </c>
      <c r="B4335" s="525" t="s">
        <v>4917</v>
      </c>
      <c r="C4335" s="525" t="s">
        <v>172</v>
      </c>
      <c r="D4335" s="510" t="s">
        <v>119</v>
      </c>
      <c r="E4335" s="560">
        <v>1000</v>
      </c>
      <c r="F4335" s="502">
        <f t="shared" si="69"/>
        <v>1.8744037053212446</v>
      </c>
      <c r="G4335" s="503">
        <v>533.50300000000004</v>
      </c>
      <c r="H4335" s="525" t="s">
        <v>182</v>
      </c>
      <c r="I4335" s="525" t="s">
        <v>4237</v>
      </c>
      <c r="J4335" s="505" t="s">
        <v>96</v>
      </c>
      <c r="K4335" s="505" t="s">
        <v>2102</v>
      </c>
      <c r="L4335" s="505" t="s">
        <v>153</v>
      </c>
    </row>
    <row r="4336" spans="1:12" ht="15.6">
      <c r="A4336" s="524">
        <v>45979</v>
      </c>
      <c r="B4336" s="525" t="s">
        <v>4917</v>
      </c>
      <c r="C4336" s="525" t="s">
        <v>172</v>
      </c>
      <c r="D4336" s="510" t="s">
        <v>119</v>
      </c>
      <c r="E4336" s="560">
        <v>1000</v>
      </c>
      <c r="F4336" s="502">
        <f t="shared" si="69"/>
        <v>1.8744037053212446</v>
      </c>
      <c r="G4336" s="503">
        <v>533.50300000000004</v>
      </c>
      <c r="H4336" s="525" t="s">
        <v>182</v>
      </c>
      <c r="I4336" s="525" t="s">
        <v>4237</v>
      </c>
      <c r="J4336" s="505" t="s">
        <v>96</v>
      </c>
      <c r="K4336" s="505" t="s">
        <v>2102</v>
      </c>
      <c r="L4336" s="505" t="s">
        <v>153</v>
      </c>
    </row>
    <row r="4337" spans="1:12" ht="15.6">
      <c r="A4337" s="524">
        <v>45979</v>
      </c>
      <c r="B4337" s="525" t="s">
        <v>4912</v>
      </c>
      <c r="C4337" s="525" t="s">
        <v>172</v>
      </c>
      <c r="D4337" s="510" t="s">
        <v>119</v>
      </c>
      <c r="E4337" s="560">
        <v>1000</v>
      </c>
      <c r="F4337" s="502">
        <f t="shared" si="69"/>
        <v>1.8744037053212446</v>
      </c>
      <c r="G4337" s="503">
        <v>533.50300000000004</v>
      </c>
      <c r="H4337" s="525" t="s">
        <v>182</v>
      </c>
      <c r="I4337" s="525" t="s">
        <v>4237</v>
      </c>
      <c r="J4337" s="505" t="s">
        <v>96</v>
      </c>
      <c r="K4337" s="505" t="s">
        <v>2102</v>
      </c>
      <c r="L4337" s="505" t="s">
        <v>153</v>
      </c>
    </row>
    <row r="4338" spans="1:12" ht="15.6">
      <c r="A4338" s="524">
        <v>45979</v>
      </c>
      <c r="B4338" s="525" t="s">
        <v>4917</v>
      </c>
      <c r="C4338" s="525" t="s">
        <v>172</v>
      </c>
      <c r="D4338" s="510" t="s">
        <v>119</v>
      </c>
      <c r="E4338" s="560">
        <v>1000</v>
      </c>
      <c r="F4338" s="502">
        <f t="shared" si="69"/>
        <v>1.8744037053212446</v>
      </c>
      <c r="G4338" s="503">
        <v>533.50300000000004</v>
      </c>
      <c r="H4338" s="525" t="s">
        <v>182</v>
      </c>
      <c r="I4338" s="525" t="s">
        <v>4237</v>
      </c>
      <c r="J4338" s="505" t="s">
        <v>96</v>
      </c>
      <c r="K4338" s="505" t="s">
        <v>2102</v>
      </c>
      <c r="L4338" s="505" t="s">
        <v>153</v>
      </c>
    </row>
    <row r="4339" spans="1:12" ht="15.6">
      <c r="A4339" s="526">
        <v>45979</v>
      </c>
      <c r="B4339" s="505" t="s">
        <v>4980</v>
      </c>
      <c r="C4339" s="519" t="s">
        <v>2394</v>
      </c>
      <c r="D4339" s="510" t="s">
        <v>119</v>
      </c>
      <c r="E4339" s="522">
        <v>15000</v>
      </c>
      <c r="F4339" s="502">
        <f t="shared" si="69"/>
        <v>28.116055579818667</v>
      </c>
      <c r="G4339" s="503">
        <v>533.50300000000004</v>
      </c>
      <c r="H4339" s="519" t="s">
        <v>173</v>
      </c>
      <c r="I4339" s="505" t="s">
        <v>4276</v>
      </c>
      <c r="J4339" s="505" t="s">
        <v>96</v>
      </c>
      <c r="K4339" s="505" t="s">
        <v>2102</v>
      </c>
      <c r="L4339" s="505" t="s">
        <v>153</v>
      </c>
    </row>
    <row r="4340" spans="1:12" ht="15.6">
      <c r="A4340" s="526">
        <v>45979</v>
      </c>
      <c r="B4340" s="519" t="s">
        <v>4962</v>
      </c>
      <c r="C4340" s="519" t="s">
        <v>172</v>
      </c>
      <c r="D4340" s="510" t="s">
        <v>119</v>
      </c>
      <c r="E4340" s="522">
        <v>1000</v>
      </c>
      <c r="F4340" s="502">
        <f t="shared" si="69"/>
        <v>1.8744037053212446</v>
      </c>
      <c r="G4340" s="503">
        <v>533.50300000000004</v>
      </c>
      <c r="H4340" s="519" t="s">
        <v>173</v>
      </c>
      <c r="I4340" s="519" t="s">
        <v>4263</v>
      </c>
      <c r="J4340" s="505" t="s">
        <v>96</v>
      </c>
      <c r="K4340" s="505" t="s">
        <v>2102</v>
      </c>
      <c r="L4340" s="505" t="s">
        <v>153</v>
      </c>
    </row>
    <row r="4341" spans="1:12" ht="15.6">
      <c r="A4341" s="526">
        <v>45979</v>
      </c>
      <c r="B4341" s="519" t="s">
        <v>4962</v>
      </c>
      <c r="C4341" s="519" t="s">
        <v>172</v>
      </c>
      <c r="D4341" s="510" t="s">
        <v>119</v>
      </c>
      <c r="E4341" s="522">
        <v>1000</v>
      </c>
      <c r="F4341" s="502">
        <f t="shared" si="69"/>
        <v>1.8744037053212446</v>
      </c>
      <c r="G4341" s="503">
        <v>533.50300000000004</v>
      </c>
      <c r="H4341" s="519" t="s">
        <v>173</v>
      </c>
      <c r="I4341" s="519" t="s">
        <v>4263</v>
      </c>
      <c r="J4341" s="505" t="s">
        <v>96</v>
      </c>
      <c r="K4341" s="505" t="s">
        <v>2102</v>
      </c>
      <c r="L4341" s="505" t="s">
        <v>153</v>
      </c>
    </row>
    <row r="4342" spans="1:12" ht="15.6">
      <c r="A4342" s="526">
        <v>45979</v>
      </c>
      <c r="B4342" s="519" t="s">
        <v>4955</v>
      </c>
      <c r="C4342" s="519" t="s">
        <v>172</v>
      </c>
      <c r="D4342" s="510" t="s">
        <v>119</v>
      </c>
      <c r="E4342" s="522">
        <v>2500</v>
      </c>
      <c r="F4342" s="502">
        <f t="shared" si="69"/>
        <v>4.6860092633031112</v>
      </c>
      <c r="G4342" s="503">
        <v>533.50300000000004</v>
      </c>
      <c r="H4342" s="519" t="s">
        <v>173</v>
      </c>
      <c r="I4342" s="519" t="s">
        <v>4263</v>
      </c>
      <c r="J4342" s="505" t="s">
        <v>96</v>
      </c>
      <c r="K4342" s="505" t="s">
        <v>2102</v>
      </c>
      <c r="L4342" s="505" t="s">
        <v>153</v>
      </c>
    </row>
    <row r="4343" spans="1:12" ht="15.6">
      <c r="A4343" s="526">
        <v>45979</v>
      </c>
      <c r="B4343" s="519" t="s">
        <v>4955</v>
      </c>
      <c r="C4343" s="519" t="s">
        <v>172</v>
      </c>
      <c r="D4343" s="510" t="s">
        <v>119</v>
      </c>
      <c r="E4343" s="522">
        <v>1000</v>
      </c>
      <c r="F4343" s="502">
        <f t="shared" si="69"/>
        <v>1.8744037053212446</v>
      </c>
      <c r="G4343" s="503">
        <v>533.50300000000004</v>
      </c>
      <c r="H4343" s="519" t="s">
        <v>173</v>
      </c>
      <c r="I4343" s="519" t="s">
        <v>4263</v>
      </c>
      <c r="J4343" s="505" t="s">
        <v>96</v>
      </c>
      <c r="K4343" s="505" t="s">
        <v>2102</v>
      </c>
      <c r="L4343" s="505" t="s">
        <v>153</v>
      </c>
    </row>
    <row r="4344" spans="1:12" ht="15.6">
      <c r="A4344" s="526">
        <v>45979</v>
      </c>
      <c r="B4344" s="519" t="s">
        <v>4756</v>
      </c>
      <c r="C4344" s="519" t="s">
        <v>172</v>
      </c>
      <c r="D4344" s="510" t="s">
        <v>119</v>
      </c>
      <c r="E4344" s="522">
        <v>12000</v>
      </c>
      <c r="F4344" s="502">
        <f t="shared" si="69"/>
        <v>22.492844463854933</v>
      </c>
      <c r="G4344" s="503">
        <v>533.50300000000004</v>
      </c>
      <c r="H4344" s="519" t="s">
        <v>173</v>
      </c>
      <c r="I4344" s="505" t="s">
        <v>4277</v>
      </c>
      <c r="J4344" s="505" t="s">
        <v>96</v>
      </c>
      <c r="K4344" s="505" t="s">
        <v>2102</v>
      </c>
      <c r="L4344" s="505" t="s">
        <v>153</v>
      </c>
    </row>
    <row r="4345" spans="1:12" ht="15.6">
      <c r="A4345" s="526">
        <v>45979</v>
      </c>
      <c r="B4345" s="519" t="s">
        <v>4835</v>
      </c>
      <c r="C4345" s="519" t="s">
        <v>4309</v>
      </c>
      <c r="D4345" s="510" t="s">
        <v>119</v>
      </c>
      <c r="E4345" s="552">
        <v>45000</v>
      </c>
      <c r="F4345" s="502">
        <f t="shared" si="69"/>
        <v>84.348166739456005</v>
      </c>
      <c r="G4345" s="503">
        <v>533.50300000000004</v>
      </c>
      <c r="H4345" s="519" t="s">
        <v>321</v>
      </c>
      <c r="I4345" s="505" t="s">
        <v>4324</v>
      </c>
      <c r="J4345" s="505" t="s">
        <v>96</v>
      </c>
      <c r="K4345" s="505" t="s">
        <v>2102</v>
      </c>
      <c r="L4345" s="505" t="s">
        <v>153</v>
      </c>
    </row>
    <row r="4346" spans="1:12" ht="15.6">
      <c r="A4346" s="526">
        <v>45979</v>
      </c>
      <c r="B4346" s="519" t="s">
        <v>4888</v>
      </c>
      <c r="C4346" s="519" t="s">
        <v>172</v>
      </c>
      <c r="D4346" s="510" t="s">
        <v>119</v>
      </c>
      <c r="E4346" s="552">
        <v>500</v>
      </c>
      <c r="F4346" s="502">
        <f t="shared" si="69"/>
        <v>0.93720185266062228</v>
      </c>
      <c r="G4346" s="503">
        <v>533.50300000000004</v>
      </c>
      <c r="H4346" s="519" t="s">
        <v>321</v>
      </c>
      <c r="I4346" s="519" t="s">
        <v>4314</v>
      </c>
      <c r="J4346" s="505" t="s">
        <v>96</v>
      </c>
      <c r="K4346" s="505" t="s">
        <v>2102</v>
      </c>
      <c r="L4346" s="505" t="s">
        <v>153</v>
      </c>
    </row>
    <row r="4347" spans="1:12" ht="15.6">
      <c r="A4347" s="526">
        <v>45979</v>
      </c>
      <c r="B4347" s="519" t="s">
        <v>4752</v>
      </c>
      <c r="C4347" s="519" t="s">
        <v>172</v>
      </c>
      <c r="D4347" s="510" t="s">
        <v>119</v>
      </c>
      <c r="E4347" s="552">
        <v>5000</v>
      </c>
      <c r="F4347" s="502">
        <f t="shared" si="69"/>
        <v>9.3720185266062224</v>
      </c>
      <c r="G4347" s="503">
        <v>533.50300000000004</v>
      </c>
      <c r="H4347" s="519" t="s">
        <v>321</v>
      </c>
      <c r="I4347" s="505" t="s">
        <v>4325</v>
      </c>
      <c r="J4347" s="505" t="s">
        <v>96</v>
      </c>
      <c r="K4347" s="505" t="s">
        <v>2102</v>
      </c>
      <c r="L4347" s="505" t="s">
        <v>153</v>
      </c>
    </row>
    <row r="4348" spans="1:12" ht="15.6">
      <c r="A4348" s="526">
        <v>45979</v>
      </c>
      <c r="B4348" s="519" t="s">
        <v>4876</v>
      </c>
      <c r="C4348" s="519" t="s">
        <v>172</v>
      </c>
      <c r="D4348" s="510" t="s">
        <v>119</v>
      </c>
      <c r="E4348" s="552">
        <v>500</v>
      </c>
      <c r="F4348" s="502">
        <f t="shared" si="69"/>
        <v>0.93720185266062228</v>
      </c>
      <c r="G4348" s="503">
        <v>533.50300000000004</v>
      </c>
      <c r="H4348" s="519" t="s">
        <v>321</v>
      </c>
      <c r="I4348" s="519" t="s">
        <v>4314</v>
      </c>
      <c r="J4348" s="505" t="s">
        <v>96</v>
      </c>
      <c r="K4348" s="505" t="s">
        <v>2102</v>
      </c>
      <c r="L4348" s="505" t="s">
        <v>153</v>
      </c>
    </row>
    <row r="4349" spans="1:12" ht="15.6">
      <c r="A4349" s="526">
        <v>45979</v>
      </c>
      <c r="B4349" s="519" t="s">
        <v>4876</v>
      </c>
      <c r="C4349" s="519" t="s">
        <v>172</v>
      </c>
      <c r="D4349" s="510" t="s">
        <v>119</v>
      </c>
      <c r="E4349" s="552">
        <v>500</v>
      </c>
      <c r="F4349" s="502">
        <f t="shared" si="69"/>
        <v>0.93720185266062228</v>
      </c>
      <c r="G4349" s="503">
        <v>533.50300000000004</v>
      </c>
      <c r="H4349" s="519" t="s">
        <v>321</v>
      </c>
      <c r="I4349" s="519" t="s">
        <v>4314</v>
      </c>
      <c r="J4349" s="505" t="s">
        <v>96</v>
      </c>
      <c r="K4349" s="505" t="s">
        <v>2102</v>
      </c>
      <c r="L4349" s="505" t="s">
        <v>153</v>
      </c>
    </row>
    <row r="4350" spans="1:12" ht="15.6">
      <c r="A4350" s="526">
        <v>45979</v>
      </c>
      <c r="B4350" s="519" t="s">
        <v>4876</v>
      </c>
      <c r="C4350" s="519" t="s">
        <v>172</v>
      </c>
      <c r="D4350" s="510" t="s">
        <v>119</v>
      </c>
      <c r="E4350" s="552">
        <v>500</v>
      </c>
      <c r="F4350" s="502">
        <f t="shared" si="69"/>
        <v>0.93720185266062228</v>
      </c>
      <c r="G4350" s="503">
        <v>533.50300000000004</v>
      </c>
      <c r="H4350" s="519" t="s">
        <v>321</v>
      </c>
      <c r="I4350" s="519" t="s">
        <v>4314</v>
      </c>
      <c r="J4350" s="505" t="s">
        <v>96</v>
      </c>
      <c r="K4350" s="505" t="s">
        <v>2102</v>
      </c>
      <c r="L4350" s="505" t="s">
        <v>153</v>
      </c>
    </row>
    <row r="4351" spans="1:12" ht="15.6">
      <c r="A4351" s="526">
        <v>45979</v>
      </c>
      <c r="B4351" s="519" t="s">
        <v>2932</v>
      </c>
      <c r="C4351" s="519" t="s">
        <v>366</v>
      </c>
      <c r="D4351" s="510" t="s">
        <v>119</v>
      </c>
      <c r="E4351" s="552">
        <v>1500</v>
      </c>
      <c r="F4351" s="502">
        <f t="shared" si="69"/>
        <v>2.7602044759475781</v>
      </c>
      <c r="G4351" s="503">
        <v>543.43799999999999</v>
      </c>
      <c r="H4351" s="519" t="s">
        <v>321</v>
      </c>
      <c r="I4351" s="519" t="s">
        <v>4321</v>
      </c>
      <c r="J4351" s="505" t="s">
        <v>96</v>
      </c>
      <c r="K4351" s="505" t="s">
        <v>4104</v>
      </c>
      <c r="L4351" s="505" t="s">
        <v>153</v>
      </c>
    </row>
    <row r="4352" spans="1:12" ht="15.6">
      <c r="A4352" s="526">
        <v>45979</v>
      </c>
      <c r="B4352" s="519" t="s">
        <v>4917</v>
      </c>
      <c r="C4352" s="519" t="s">
        <v>172</v>
      </c>
      <c r="D4352" s="510" t="s">
        <v>119</v>
      </c>
      <c r="E4352" s="552">
        <v>500</v>
      </c>
      <c r="F4352" s="502">
        <f t="shared" si="69"/>
        <v>0.93720185266062228</v>
      </c>
      <c r="G4352" s="503">
        <v>533.50300000000004</v>
      </c>
      <c r="H4352" s="519" t="s">
        <v>321</v>
      </c>
      <c r="I4352" s="519" t="s">
        <v>4314</v>
      </c>
      <c r="J4352" s="505" t="s">
        <v>96</v>
      </c>
      <c r="K4352" s="505" t="s">
        <v>2102</v>
      </c>
      <c r="L4352" s="505" t="s">
        <v>153</v>
      </c>
    </row>
    <row r="4353" spans="1:12" ht="15.6">
      <c r="A4353" s="515">
        <v>45979</v>
      </c>
      <c r="B4353" s="519" t="s">
        <v>3007</v>
      </c>
      <c r="C4353" s="519" t="s">
        <v>170</v>
      </c>
      <c r="D4353" s="519" t="s">
        <v>116</v>
      </c>
      <c r="E4353" s="553">
        <v>31250</v>
      </c>
      <c r="F4353" s="502">
        <f t="shared" si="69"/>
        <v>58.575115791288894</v>
      </c>
      <c r="G4353" s="503">
        <v>533.50300000000004</v>
      </c>
      <c r="H4353" s="519" t="s">
        <v>188</v>
      </c>
      <c r="I4353" s="505" t="s">
        <v>4375</v>
      </c>
      <c r="J4353" s="505" t="s">
        <v>96</v>
      </c>
      <c r="K4353" s="505" t="s">
        <v>2102</v>
      </c>
      <c r="L4353" s="505" t="s">
        <v>153</v>
      </c>
    </row>
    <row r="4354" spans="1:12" ht="15.6">
      <c r="A4354" s="526">
        <v>45979</v>
      </c>
      <c r="B4354" s="519" t="s">
        <v>3004</v>
      </c>
      <c r="C4354" s="519" t="s">
        <v>172</v>
      </c>
      <c r="D4354" s="519" t="s">
        <v>115</v>
      </c>
      <c r="E4354" s="558">
        <v>2000</v>
      </c>
      <c r="F4354" s="502">
        <f t="shared" si="69"/>
        <v>3.7488074106424891</v>
      </c>
      <c r="G4354" s="503">
        <v>533.50300000000004</v>
      </c>
      <c r="H4354" s="519" t="s">
        <v>188</v>
      </c>
      <c r="I4354" s="519" t="s">
        <v>4359</v>
      </c>
      <c r="J4354" s="505" t="s">
        <v>96</v>
      </c>
      <c r="K4354" s="505" t="s">
        <v>2102</v>
      </c>
      <c r="L4354" s="505" t="s">
        <v>153</v>
      </c>
    </row>
    <row r="4355" spans="1:12" ht="15.6">
      <c r="A4355" s="526">
        <v>45979</v>
      </c>
      <c r="B4355" s="519" t="s">
        <v>2998</v>
      </c>
      <c r="C4355" s="519" t="s">
        <v>172</v>
      </c>
      <c r="D4355" s="519" t="s">
        <v>115</v>
      </c>
      <c r="E4355" s="558">
        <v>2000</v>
      </c>
      <c r="F4355" s="502">
        <f t="shared" si="69"/>
        <v>3.7488074106424891</v>
      </c>
      <c r="G4355" s="503">
        <v>533.50300000000004</v>
      </c>
      <c r="H4355" s="519" t="s">
        <v>188</v>
      </c>
      <c r="I4355" s="519" t="s">
        <v>4359</v>
      </c>
      <c r="J4355" s="505" t="s">
        <v>96</v>
      </c>
      <c r="K4355" s="505" t="s">
        <v>2102</v>
      </c>
      <c r="L4355" s="505" t="s">
        <v>153</v>
      </c>
    </row>
    <row r="4356" spans="1:12" ht="15.6">
      <c r="A4356" s="532">
        <v>45979</v>
      </c>
      <c r="B4356" s="516" t="s">
        <v>3854</v>
      </c>
      <c r="C4356" s="516" t="s">
        <v>172</v>
      </c>
      <c r="D4356" s="516" t="s">
        <v>118</v>
      </c>
      <c r="E4356" s="556">
        <v>1000</v>
      </c>
      <c r="F4356" s="502">
        <f t="shared" si="69"/>
        <v>1.8744037053212446</v>
      </c>
      <c r="G4356" s="503">
        <v>533.50300000000004</v>
      </c>
      <c r="H4356" s="516" t="s">
        <v>211</v>
      </c>
      <c r="I4356" s="516" t="s">
        <v>4559</v>
      </c>
      <c r="J4356" s="505" t="s">
        <v>96</v>
      </c>
      <c r="K4356" s="505" t="s">
        <v>2102</v>
      </c>
      <c r="L4356" s="505" t="s">
        <v>153</v>
      </c>
    </row>
    <row r="4357" spans="1:12" ht="15.6">
      <c r="A4357" s="532">
        <v>45979</v>
      </c>
      <c r="B4357" s="516" t="s">
        <v>4531</v>
      </c>
      <c r="C4357" s="516" t="s">
        <v>172</v>
      </c>
      <c r="D4357" s="516" t="s">
        <v>118</v>
      </c>
      <c r="E4357" s="556">
        <v>1000</v>
      </c>
      <c r="F4357" s="502">
        <f t="shared" si="69"/>
        <v>1.8744037053212446</v>
      </c>
      <c r="G4357" s="503">
        <v>533.50300000000004</v>
      </c>
      <c r="H4357" s="516" t="s">
        <v>211</v>
      </c>
      <c r="I4357" s="516" t="s">
        <v>4559</v>
      </c>
      <c r="J4357" s="505" t="s">
        <v>96</v>
      </c>
      <c r="K4357" s="505" t="s">
        <v>2102</v>
      </c>
      <c r="L4357" s="505" t="s">
        <v>153</v>
      </c>
    </row>
    <row r="4358" spans="1:12" ht="15.6">
      <c r="A4358" s="532">
        <v>45979</v>
      </c>
      <c r="B4358" s="516" t="s">
        <v>4532</v>
      </c>
      <c r="C4358" s="516" t="s">
        <v>172</v>
      </c>
      <c r="D4358" s="516" t="s">
        <v>118</v>
      </c>
      <c r="E4358" s="533">
        <v>1000</v>
      </c>
      <c r="F4358" s="502">
        <f t="shared" si="69"/>
        <v>1.8744037053212446</v>
      </c>
      <c r="G4358" s="503">
        <v>533.50300000000004</v>
      </c>
      <c r="H4358" s="516" t="s">
        <v>211</v>
      </c>
      <c r="I4358" s="516" t="s">
        <v>4559</v>
      </c>
      <c r="J4358" s="505" t="s">
        <v>96</v>
      </c>
      <c r="K4358" s="505" t="s">
        <v>2102</v>
      </c>
      <c r="L4358" s="505" t="s">
        <v>153</v>
      </c>
    </row>
    <row r="4359" spans="1:12" ht="15.6">
      <c r="A4359" s="532">
        <v>45979</v>
      </c>
      <c r="B4359" s="516" t="s">
        <v>4533</v>
      </c>
      <c r="C4359" s="516" t="s">
        <v>172</v>
      </c>
      <c r="D4359" s="516" t="s">
        <v>118</v>
      </c>
      <c r="E4359" s="556">
        <v>1000</v>
      </c>
      <c r="F4359" s="502">
        <f t="shared" si="69"/>
        <v>1.8744037053212446</v>
      </c>
      <c r="G4359" s="503">
        <v>533.50300000000004</v>
      </c>
      <c r="H4359" s="516" t="s">
        <v>211</v>
      </c>
      <c r="I4359" s="516" t="s">
        <v>4559</v>
      </c>
      <c r="J4359" s="505" t="s">
        <v>96</v>
      </c>
      <c r="K4359" s="505" t="s">
        <v>2102</v>
      </c>
      <c r="L4359" s="505" t="s">
        <v>153</v>
      </c>
    </row>
    <row r="4360" spans="1:12" ht="15.6">
      <c r="A4360" s="515">
        <v>45979</v>
      </c>
      <c r="B4360" s="505" t="s">
        <v>2368</v>
      </c>
      <c r="C4360" s="519" t="s">
        <v>170</v>
      </c>
      <c r="D4360" s="519" t="s">
        <v>116</v>
      </c>
      <c r="E4360" s="553">
        <v>25000</v>
      </c>
      <c r="F4360" s="502">
        <f t="shared" si="69"/>
        <v>46.860092633031115</v>
      </c>
      <c r="G4360" s="503">
        <v>533.50300000000004</v>
      </c>
      <c r="H4360" s="505" t="s">
        <v>185</v>
      </c>
      <c r="I4360" s="505" t="s">
        <v>4641</v>
      </c>
      <c r="J4360" s="505" t="s">
        <v>96</v>
      </c>
      <c r="K4360" s="505" t="s">
        <v>2102</v>
      </c>
      <c r="L4360" s="505" t="s">
        <v>153</v>
      </c>
    </row>
    <row r="4361" spans="1:12" ht="15.6">
      <c r="A4361" s="515">
        <v>45979</v>
      </c>
      <c r="B4361" s="519" t="s">
        <v>4607</v>
      </c>
      <c r="C4361" s="505" t="s">
        <v>172</v>
      </c>
      <c r="D4361" s="519" t="s">
        <v>115</v>
      </c>
      <c r="E4361" s="527">
        <v>20000</v>
      </c>
      <c r="F4361" s="502">
        <f t="shared" si="69"/>
        <v>37.488074106424889</v>
      </c>
      <c r="G4361" s="503">
        <v>533.50300000000004</v>
      </c>
      <c r="H4361" s="519" t="s">
        <v>185</v>
      </c>
      <c r="I4361" s="505" t="s">
        <v>4642</v>
      </c>
      <c r="J4361" s="505" t="s">
        <v>96</v>
      </c>
      <c r="K4361" s="505" t="s">
        <v>2102</v>
      </c>
      <c r="L4361" s="505" t="s">
        <v>153</v>
      </c>
    </row>
    <row r="4362" spans="1:12" ht="15.6">
      <c r="A4362" s="515">
        <v>45979</v>
      </c>
      <c r="B4362" s="519" t="s">
        <v>4608</v>
      </c>
      <c r="C4362" s="505" t="s">
        <v>175</v>
      </c>
      <c r="D4362" s="519" t="s">
        <v>115</v>
      </c>
      <c r="E4362" s="553">
        <v>50000</v>
      </c>
      <c r="F4362" s="502">
        <f t="shared" si="69"/>
        <v>93.720185266062231</v>
      </c>
      <c r="G4362" s="503">
        <v>533.50300000000004</v>
      </c>
      <c r="H4362" s="519" t="s">
        <v>185</v>
      </c>
      <c r="I4362" s="505" t="s">
        <v>4643</v>
      </c>
      <c r="J4362" s="505" t="s">
        <v>96</v>
      </c>
      <c r="K4362" s="505" t="s">
        <v>2102</v>
      </c>
      <c r="L4362" s="505" t="s">
        <v>153</v>
      </c>
    </row>
    <row r="4363" spans="1:12" ht="15.6">
      <c r="A4363" s="526">
        <v>45979</v>
      </c>
      <c r="B4363" s="519" t="s">
        <v>3945</v>
      </c>
      <c r="C4363" s="519" t="s">
        <v>172</v>
      </c>
      <c r="D4363" s="519" t="s">
        <v>115</v>
      </c>
      <c r="E4363" s="519">
        <v>1000</v>
      </c>
      <c r="F4363" s="502">
        <f t="shared" si="69"/>
        <v>1.8744037053212446</v>
      </c>
      <c r="G4363" s="503">
        <v>533.50300000000004</v>
      </c>
      <c r="H4363" s="519" t="s">
        <v>185</v>
      </c>
      <c r="I4363" s="519" t="s">
        <v>4631</v>
      </c>
      <c r="J4363" s="505" t="s">
        <v>96</v>
      </c>
      <c r="K4363" s="505" t="s">
        <v>2102</v>
      </c>
      <c r="L4363" s="505" t="s">
        <v>153</v>
      </c>
    </row>
    <row r="4364" spans="1:12" ht="15.6">
      <c r="A4364" s="526">
        <v>45979</v>
      </c>
      <c r="B4364" s="519" t="s">
        <v>4609</v>
      </c>
      <c r="C4364" s="519" t="s">
        <v>172</v>
      </c>
      <c r="D4364" s="519" t="s">
        <v>115</v>
      </c>
      <c r="E4364" s="542">
        <v>7000</v>
      </c>
      <c r="F4364" s="502">
        <f t="shared" si="69"/>
        <v>13.120825937248712</v>
      </c>
      <c r="G4364" s="503">
        <v>533.50300000000004</v>
      </c>
      <c r="H4364" s="519" t="s">
        <v>185</v>
      </c>
      <c r="I4364" s="519" t="s">
        <v>4645</v>
      </c>
      <c r="J4364" s="505" t="s">
        <v>96</v>
      </c>
      <c r="K4364" s="505" t="s">
        <v>2102</v>
      </c>
      <c r="L4364" s="505" t="s">
        <v>153</v>
      </c>
    </row>
    <row r="4365" spans="1:12" ht="15.6">
      <c r="A4365" s="526">
        <v>45979</v>
      </c>
      <c r="B4365" s="519" t="s">
        <v>4592</v>
      </c>
      <c r="C4365" s="519" t="s">
        <v>172</v>
      </c>
      <c r="D4365" s="519" t="s">
        <v>115</v>
      </c>
      <c r="E4365" s="519">
        <v>1000</v>
      </c>
      <c r="F4365" s="502">
        <f t="shared" si="69"/>
        <v>1.8744037053212446</v>
      </c>
      <c r="G4365" s="503">
        <v>533.50300000000004</v>
      </c>
      <c r="H4365" s="519" t="s">
        <v>185</v>
      </c>
      <c r="I4365" s="519" t="s">
        <v>4631</v>
      </c>
      <c r="J4365" s="505" t="s">
        <v>96</v>
      </c>
      <c r="K4365" s="505" t="s">
        <v>2102</v>
      </c>
      <c r="L4365" s="505" t="s">
        <v>153</v>
      </c>
    </row>
    <row r="4366" spans="1:12" ht="15.6">
      <c r="A4366" s="526">
        <v>45979</v>
      </c>
      <c r="B4366" s="519" t="s">
        <v>4610</v>
      </c>
      <c r="C4366" s="519" t="s">
        <v>172</v>
      </c>
      <c r="D4366" s="519" t="s">
        <v>115</v>
      </c>
      <c r="E4366" s="563">
        <v>1000</v>
      </c>
      <c r="F4366" s="502">
        <f t="shared" si="69"/>
        <v>1.8744037053212446</v>
      </c>
      <c r="G4366" s="503">
        <v>533.50300000000004</v>
      </c>
      <c r="H4366" s="519" t="s">
        <v>185</v>
      </c>
      <c r="I4366" s="519" t="s">
        <v>4631</v>
      </c>
      <c r="J4366" s="505" t="s">
        <v>96</v>
      </c>
      <c r="K4366" s="505" t="s">
        <v>2102</v>
      </c>
      <c r="L4366" s="505" t="s">
        <v>153</v>
      </c>
    </row>
    <row r="4367" spans="1:12" ht="15.6">
      <c r="A4367" s="526">
        <v>45979</v>
      </c>
      <c r="B4367" s="519" t="s">
        <v>4611</v>
      </c>
      <c r="C4367" s="519" t="s">
        <v>172</v>
      </c>
      <c r="D4367" s="519" t="s">
        <v>115</v>
      </c>
      <c r="E4367" s="522">
        <v>1000</v>
      </c>
      <c r="F4367" s="502">
        <f t="shared" si="69"/>
        <v>1.8744037053212446</v>
      </c>
      <c r="G4367" s="503">
        <v>533.50300000000004</v>
      </c>
      <c r="H4367" s="519" t="s">
        <v>185</v>
      </c>
      <c r="I4367" s="519" t="s">
        <v>4631</v>
      </c>
      <c r="J4367" s="505" t="s">
        <v>96</v>
      </c>
      <c r="K4367" s="505" t="s">
        <v>2102</v>
      </c>
      <c r="L4367" s="505" t="s">
        <v>153</v>
      </c>
    </row>
    <row r="4368" spans="1:12" ht="15.6">
      <c r="A4368" s="486">
        <v>45980</v>
      </c>
      <c r="B4368" s="478" t="s">
        <v>2103</v>
      </c>
      <c r="C4368" s="478" t="s">
        <v>172</v>
      </c>
      <c r="D4368" s="501" t="s">
        <v>117</v>
      </c>
      <c r="E4368" s="557">
        <v>1000</v>
      </c>
      <c r="F4368" s="502">
        <f t="shared" si="69"/>
        <v>1.8744037053212446</v>
      </c>
      <c r="G4368" s="503">
        <v>533.50300000000004</v>
      </c>
      <c r="H4368" s="504" t="s">
        <v>151</v>
      </c>
      <c r="I4368" s="478" t="s">
        <v>4133</v>
      </c>
      <c r="J4368" s="505" t="s">
        <v>96</v>
      </c>
      <c r="K4368" s="505" t="s">
        <v>2102</v>
      </c>
      <c r="L4368" s="505" t="s">
        <v>153</v>
      </c>
    </row>
    <row r="4369" spans="1:12" ht="15.6">
      <c r="A4369" s="486">
        <v>45980</v>
      </c>
      <c r="B4369" s="478" t="s">
        <v>2819</v>
      </c>
      <c r="C4369" s="478" t="s">
        <v>172</v>
      </c>
      <c r="D4369" s="501" t="s">
        <v>117</v>
      </c>
      <c r="E4369" s="481">
        <v>1000</v>
      </c>
      <c r="F4369" s="502">
        <f t="shared" si="69"/>
        <v>1.8744037053212446</v>
      </c>
      <c r="G4369" s="503">
        <v>533.50300000000004</v>
      </c>
      <c r="H4369" s="504" t="s">
        <v>151</v>
      </c>
      <c r="I4369" s="478" t="s">
        <v>4133</v>
      </c>
      <c r="J4369" s="505" t="s">
        <v>96</v>
      </c>
      <c r="K4369" s="505" t="s">
        <v>2102</v>
      </c>
      <c r="L4369" s="505" t="s">
        <v>153</v>
      </c>
    </row>
    <row r="4370" spans="1:12" ht="15.6">
      <c r="A4370" s="515">
        <v>45980</v>
      </c>
      <c r="B4370" s="514" t="s">
        <v>4736</v>
      </c>
      <c r="C4370" s="519" t="s">
        <v>180</v>
      </c>
      <c r="D4370" s="519" t="s">
        <v>116</v>
      </c>
      <c r="E4370" s="518">
        <v>6440</v>
      </c>
      <c r="F4370" s="502">
        <f t="shared" si="69"/>
        <v>12.071159862268814</v>
      </c>
      <c r="G4370" s="503">
        <v>533.50300000000004</v>
      </c>
      <c r="H4370" s="519" t="s">
        <v>581</v>
      </c>
      <c r="I4370" s="505" t="s">
        <v>4223</v>
      </c>
      <c r="J4370" s="505" t="s">
        <v>96</v>
      </c>
      <c r="K4370" s="505" t="s">
        <v>2102</v>
      </c>
      <c r="L4370" s="505" t="s">
        <v>153</v>
      </c>
    </row>
    <row r="4371" spans="1:12" ht="15.6">
      <c r="A4371" s="517">
        <v>45980</v>
      </c>
      <c r="B4371" s="519" t="s">
        <v>4204</v>
      </c>
      <c r="C4371" s="519" t="s">
        <v>172</v>
      </c>
      <c r="D4371" s="519" t="s">
        <v>116</v>
      </c>
      <c r="E4371" s="520">
        <v>1000</v>
      </c>
      <c r="F4371" s="502">
        <f t="shared" si="69"/>
        <v>1.8744037053212446</v>
      </c>
      <c r="G4371" s="503">
        <v>533.50300000000004</v>
      </c>
      <c r="H4371" s="519" t="s">
        <v>581</v>
      </c>
      <c r="I4371" s="519" t="s">
        <v>4213</v>
      </c>
      <c r="J4371" s="505" t="s">
        <v>96</v>
      </c>
      <c r="K4371" s="505" t="s">
        <v>2102</v>
      </c>
      <c r="L4371" s="505" t="s">
        <v>153</v>
      </c>
    </row>
    <row r="4372" spans="1:12" ht="15.6">
      <c r="A4372" s="517">
        <v>45980</v>
      </c>
      <c r="B4372" s="519" t="s">
        <v>3398</v>
      </c>
      <c r="C4372" s="519" t="s">
        <v>172</v>
      </c>
      <c r="D4372" s="519" t="s">
        <v>116</v>
      </c>
      <c r="E4372" s="520">
        <v>1000</v>
      </c>
      <c r="F4372" s="502">
        <f t="shared" si="69"/>
        <v>1.8744037053212446</v>
      </c>
      <c r="G4372" s="503">
        <v>533.50300000000004</v>
      </c>
      <c r="H4372" s="519" t="s">
        <v>581</v>
      </c>
      <c r="I4372" s="519" t="s">
        <v>4213</v>
      </c>
      <c r="J4372" s="505" t="s">
        <v>96</v>
      </c>
      <c r="K4372" s="505" t="s">
        <v>2102</v>
      </c>
      <c r="L4372" s="505" t="s">
        <v>153</v>
      </c>
    </row>
    <row r="4373" spans="1:12" ht="15.6">
      <c r="A4373" s="524">
        <v>45980</v>
      </c>
      <c r="B4373" s="525" t="s">
        <v>4912</v>
      </c>
      <c r="C4373" s="525" t="s">
        <v>172</v>
      </c>
      <c r="D4373" s="510" t="s">
        <v>119</v>
      </c>
      <c r="E4373" s="525">
        <v>1500</v>
      </c>
      <c r="F4373" s="502">
        <f t="shared" si="69"/>
        <v>2.8116055579818666</v>
      </c>
      <c r="G4373" s="503">
        <v>533.50300000000004</v>
      </c>
      <c r="H4373" s="525" t="s">
        <v>182</v>
      </c>
      <c r="I4373" s="525" t="s">
        <v>4237</v>
      </c>
      <c r="J4373" s="505" t="s">
        <v>96</v>
      </c>
      <c r="K4373" s="505" t="s">
        <v>2102</v>
      </c>
      <c r="L4373" s="505" t="s">
        <v>153</v>
      </c>
    </row>
    <row r="4374" spans="1:12" ht="15.6">
      <c r="A4374" s="524">
        <v>45980</v>
      </c>
      <c r="B4374" s="525" t="s">
        <v>4917</v>
      </c>
      <c r="C4374" s="525" t="s">
        <v>172</v>
      </c>
      <c r="D4374" s="510" t="s">
        <v>119</v>
      </c>
      <c r="E4374" s="525">
        <v>1000</v>
      </c>
      <c r="F4374" s="502">
        <f t="shared" si="69"/>
        <v>1.8744037053212446</v>
      </c>
      <c r="G4374" s="503">
        <v>533.50300000000004</v>
      </c>
      <c r="H4374" s="525" t="s">
        <v>182</v>
      </c>
      <c r="I4374" s="525" t="s">
        <v>4237</v>
      </c>
      <c r="J4374" s="505" t="s">
        <v>96</v>
      </c>
      <c r="K4374" s="505" t="s">
        <v>2102</v>
      </c>
      <c r="L4374" s="505" t="s">
        <v>153</v>
      </c>
    </row>
    <row r="4375" spans="1:12" ht="15.6">
      <c r="A4375" s="524">
        <v>45980</v>
      </c>
      <c r="B4375" s="525" t="s">
        <v>4917</v>
      </c>
      <c r="C4375" s="525" t="s">
        <v>172</v>
      </c>
      <c r="D4375" s="510" t="s">
        <v>119</v>
      </c>
      <c r="E4375" s="525">
        <v>1000</v>
      </c>
      <c r="F4375" s="502">
        <f t="shared" si="69"/>
        <v>1.8744037053212446</v>
      </c>
      <c r="G4375" s="503">
        <v>533.50300000000004</v>
      </c>
      <c r="H4375" s="525" t="s">
        <v>182</v>
      </c>
      <c r="I4375" s="525" t="s">
        <v>4237</v>
      </c>
      <c r="J4375" s="505" t="s">
        <v>96</v>
      </c>
      <c r="K4375" s="505" t="s">
        <v>2102</v>
      </c>
      <c r="L4375" s="505" t="s">
        <v>153</v>
      </c>
    </row>
    <row r="4376" spans="1:12" ht="15.6">
      <c r="A4376" s="524">
        <v>45980</v>
      </c>
      <c r="B4376" s="525" t="s">
        <v>4917</v>
      </c>
      <c r="C4376" s="525" t="s">
        <v>172</v>
      </c>
      <c r="D4376" s="510" t="s">
        <v>119</v>
      </c>
      <c r="E4376" s="525">
        <v>1000</v>
      </c>
      <c r="F4376" s="502">
        <f t="shared" si="69"/>
        <v>1.8744037053212446</v>
      </c>
      <c r="G4376" s="503">
        <v>533.50300000000004</v>
      </c>
      <c r="H4376" s="525" t="s">
        <v>182</v>
      </c>
      <c r="I4376" s="525" t="s">
        <v>4237</v>
      </c>
      <c r="J4376" s="505" t="s">
        <v>96</v>
      </c>
      <c r="K4376" s="505" t="s">
        <v>2102</v>
      </c>
      <c r="L4376" s="505" t="s">
        <v>153</v>
      </c>
    </row>
    <row r="4377" spans="1:12" ht="15.6">
      <c r="A4377" s="526">
        <v>45980</v>
      </c>
      <c r="B4377" s="519" t="s">
        <v>4982</v>
      </c>
      <c r="C4377" s="519" t="s">
        <v>172</v>
      </c>
      <c r="D4377" s="510" t="s">
        <v>119</v>
      </c>
      <c r="E4377" s="519">
        <v>1000</v>
      </c>
      <c r="F4377" s="502">
        <f t="shared" si="69"/>
        <v>1.8744037053212446</v>
      </c>
      <c r="G4377" s="503">
        <v>533.50300000000004</v>
      </c>
      <c r="H4377" s="519" t="s">
        <v>315</v>
      </c>
      <c r="I4377" s="519" t="s">
        <v>4288</v>
      </c>
      <c r="J4377" s="505" t="s">
        <v>96</v>
      </c>
      <c r="K4377" s="505" t="s">
        <v>2102</v>
      </c>
      <c r="L4377" s="505" t="s">
        <v>153</v>
      </c>
    </row>
    <row r="4378" spans="1:12" ht="15.6">
      <c r="A4378" s="526">
        <v>45980</v>
      </c>
      <c r="B4378" s="519" t="s">
        <v>4983</v>
      </c>
      <c r="C4378" s="519" t="s">
        <v>363</v>
      </c>
      <c r="D4378" s="510" t="s">
        <v>119</v>
      </c>
      <c r="E4378" s="519">
        <v>2000</v>
      </c>
      <c r="F4378" s="502">
        <f t="shared" si="69"/>
        <v>3.6802726345967711</v>
      </c>
      <c r="G4378" s="503">
        <v>543.43799999999999</v>
      </c>
      <c r="H4378" s="519" t="s">
        <v>315</v>
      </c>
      <c r="I4378" s="519" t="s">
        <v>4291</v>
      </c>
      <c r="J4378" s="505" t="s">
        <v>96</v>
      </c>
      <c r="K4378" s="505" t="s">
        <v>4104</v>
      </c>
      <c r="L4378" s="505" t="s">
        <v>153</v>
      </c>
    </row>
    <row r="4379" spans="1:12" ht="15.6">
      <c r="A4379" s="526">
        <v>45980</v>
      </c>
      <c r="B4379" s="519" t="s">
        <v>4876</v>
      </c>
      <c r="C4379" s="519" t="s">
        <v>172</v>
      </c>
      <c r="D4379" s="510" t="s">
        <v>119</v>
      </c>
      <c r="E4379" s="519">
        <v>1500</v>
      </c>
      <c r="F4379" s="502">
        <f t="shared" si="69"/>
        <v>2.8116055579818666</v>
      </c>
      <c r="G4379" s="503">
        <v>533.50300000000004</v>
      </c>
      <c r="H4379" s="519" t="s">
        <v>315</v>
      </c>
      <c r="I4379" s="519" t="s">
        <v>4288</v>
      </c>
      <c r="J4379" s="505" t="s">
        <v>96</v>
      </c>
      <c r="K4379" s="505" t="s">
        <v>2102</v>
      </c>
      <c r="L4379" s="505" t="s">
        <v>153</v>
      </c>
    </row>
    <row r="4380" spans="1:12" ht="15.6">
      <c r="A4380" s="526">
        <v>45980</v>
      </c>
      <c r="B4380" s="519" t="s">
        <v>4876</v>
      </c>
      <c r="C4380" s="519" t="s">
        <v>172</v>
      </c>
      <c r="D4380" s="510" t="s">
        <v>119</v>
      </c>
      <c r="E4380" s="519">
        <v>1500</v>
      </c>
      <c r="F4380" s="502">
        <f t="shared" si="69"/>
        <v>2.8116055579818666</v>
      </c>
      <c r="G4380" s="503">
        <v>533.50300000000004</v>
      </c>
      <c r="H4380" s="519" t="s">
        <v>315</v>
      </c>
      <c r="I4380" s="519" t="s">
        <v>4288</v>
      </c>
      <c r="J4380" s="505" t="s">
        <v>96</v>
      </c>
      <c r="K4380" s="505" t="s">
        <v>2102</v>
      </c>
      <c r="L4380" s="505" t="s">
        <v>153</v>
      </c>
    </row>
    <row r="4381" spans="1:12" ht="15.6">
      <c r="A4381" s="526">
        <v>45980</v>
      </c>
      <c r="B4381" s="519" t="s">
        <v>4876</v>
      </c>
      <c r="C4381" s="519" t="s">
        <v>172</v>
      </c>
      <c r="D4381" s="510" t="s">
        <v>119</v>
      </c>
      <c r="E4381" s="519">
        <v>1000</v>
      </c>
      <c r="F4381" s="502">
        <f t="shared" si="69"/>
        <v>1.8744037053212446</v>
      </c>
      <c r="G4381" s="503">
        <v>533.50300000000004</v>
      </c>
      <c r="H4381" s="519" t="s">
        <v>315</v>
      </c>
      <c r="I4381" s="519" t="s">
        <v>4288</v>
      </c>
      <c r="J4381" s="505" t="s">
        <v>96</v>
      </c>
      <c r="K4381" s="505" t="s">
        <v>2102</v>
      </c>
      <c r="L4381" s="505" t="s">
        <v>153</v>
      </c>
    </row>
    <row r="4382" spans="1:12" ht="15.6">
      <c r="A4382" s="526">
        <v>45980</v>
      </c>
      <c r="B4382" s="519" t="s">
        <v>4876</v>
      </c>
      <c r="C4382" s="519" t="s">
        <v>172</v>
      </c>
      <c r="D4382" s="510" t="s">
        <v>119</v>
      </c>
      <c r="E4382" s="519">
        <v>1000</v>
      </c>
      <c r="F4382" s="502">
        <f t="shared" si="69"/>
        <v>1.8744037053212446</v>
      </c>
      <c r="G4382" s="503">
        <v>533.50300000000004</v>
      </c>
      <c r="H4382" s="519" t="s">
        <v>315</v>
      </c>
      <c r="I4382" s="519" t="s">
        <v>4288</v>
      </c>
      <c r="J4382" s="505" t="s">
        <v>96</v>
      </c>
      <c r="K4382" s="505" t="s">
        <v>2102</v>
      </c>
      <c r="L4382" s="505" t="s">
        <v>153</v>
      </c>
    </row>
    <row r="4383" spans="1:12" ht="15.6">
      <c r="A4383" s="526">
        <v>45980</v>
      </c>
      <c r="B4383" s="519" t="s">
        <v>4876</v>
      </c>
      <c r="C4383" s="519" t="s">
        <v>172</v>
      </c>
      <c r="D4383" s="510" t="s">
        <v>119</v>
      </c>
      <c r="E4383" s="519">
        <v>1000</v>
      </c>
      <c r="F4383" s="502">
        <f t="shared" si="69"/>
        <v>1.8744037053212446</v>
      </c>
      <c r="G4383" s="503">
        <v>533.50300000000004</v>
      </c>
      <c r="H4383" s="519" t="s">
        <v>315</v>
      </c>
      <c r="I4383" s="519" t="s">
        <v>4288</v>
      </c>
      <c r="J4383" s="505" t="s">
        <v>96</v>
      </c>
      <c r="K4383" s="505" t="s">
        <v>2102</v>
      </c>
      <c r="L4383" s="505" t="s">
        <v>153</v>
      </c>
    </row>
    <row r="4384" spans="1:12" ht="15.6">
      <c r="A4384" s="526">
        <v>45980</v>
      </c>
      <c r="B4384" s="519" t="s">
        <v>4876</v>
      </c>
      <c r="C4384" s="519" t="s">
        <v>172</v>
      </c>
      <c r="D4384" s="510" t="s">
        <v>119</v>
      </c>
      <c r="E4384" s="519">
        <v>1500</v>
      </c>
      <c r="F4384" s="502">
        <f t="shared" si="69"/>
        <v>2.8116055579818666</v>
      </c>
      <c r="G4384" s="503">
        <v>533.50300000000004</v>
      </c>
      <c r="H4384" s="519" t="s">
        <v>315</v>
      </c>
      <c r="I4384" s="519" t="s">
        <v>4288</v>
      </c>
      <c r="J4384" s="505" t="s">
        <v>96</v>
      </c>
      <c r="K4384" s="505" t="s">
        <v>2102</v>
      </c>
      <c r="L4384" s="505" t="s">
        <v>153</v>
      </c>
    </row>
    <row r="4385" spans="1:12" ht="15.6">
      <c r="A4385" s="526">
        <v>45980</v>
      </c>
      <c r="B4385" s="519" t="s">
        <v>4285</v>
      </c>
      <c r="C4385" s="519" t="s">
        <v>363</v>
      </c>
      <c r="D4385" s="510" t="s">
        <v>119</v>
      </c>
      <c r="E4385" s="516">
        <v>9000</v>
      </c>
      <c r="F4385" s="502">
        <f t="shared" si="69"/>
        <v>16.561226855685469</v>
      </c>
      <c r="G4385" s="503">
        <v>543.43799999999999</v>
      </c>
      <c r="H4385" s="519" t="s">
        <v>315</v>
      </c>
      <c r="I4385" s="519" t="s">
        <v>4291</v>
      </c>
      <c r="J4385" s="505" t="s">
        <v>96</v>
      </c>
      <c r="K4385" s="505" t="s">
        <v>4104</v>
      </c>
      <c r="L4385" s="505" t="s">
        <v>153</v>
      </c>
    </row>
    <row r="4386" spans="1:12" ht="15.6">
      <c r="A4386" s="526">
        <v>45980</v>
      </c>
      <c r="B4386" s="519" t="s">
        <v>4876</v>
      </c>
      <c r="C4386" s="519" t="s">
        <v>172</v>
      </c>
      <c r="D4386" s="510" t="s">
        <v>119</v>
      </c>
      <c r="E4386" s="519">
        <v>1000</v>
      </c>
      <c r="F4386" s="502">
        <f t="shared" si="69"/>
        <v>1.8744037053212446</v>
      </c>
      <c r="G4386" s="503">
        <v>533.50300000000004</v>
      </c>
      <c r="H4386" s="519" t="s">
        <v>315</v>
      </c>
      <c r="I4386" s="519" t="s">
        <v>4288</v>
      </c>
      <c r="J4386" s="505" t="s">
        <v>96</v>
      </c>
      <c r="K4386" s="505" t="s">
        <v>2102</v>
      </c>
      <c r="L4386" s="505" t="s">
        <v>153</v>
      </c>
    </row>
    <row r="4387" spans="1:12" ht="15.6">
      <c r="A4387" s="526">
        <v>45980</v>
      </c>
      <c r="B4387" s="519" t="s">
        <v>4917</v>
      </c>
      <c r="C4387" s="519" t="s">
        <v>172</v>
      </c>
      <c r="D4387" s="510" t="s">
        <v>119</v>
      </c>
      <c r="E4387" s="519">
        <v>1000</v>
      </c>
      <c r="F4387" s="502">
        <f t="shared" si="69"/>
        <v>1.8744037053212446</v>
      </c>
      <c r="G4387" s="503">
        <v>533.50300000000004</v>
      </c>
      <c r="H4387" s="519" t="s">
        <v>315</v>
      </c>
      <c r="I4387" s="519" t="s">
        <v>4288</v>
      </c>
      <c r="J4387" s="505" t="s">
        <v>96</v>
      </c>
      <c r="K4387" s="505" t="s">
        <v>2102</v>
      </c>
      <c r="L4387" s="505" t="s">
        <v>153</v>
      </c>
    </row>
    <row r="4388" spans="1:12" ht="15.6">
      <c r="A4388" s="526">
        <v>45980</v>
      </c>
      <c r="B4388" s="519" t="s">
        <v>4876</v>
      </c>
      <c r="C4388" s="519" t="s">
        <v>172</v>
      </c>
      <c r="D4388" s="510" t="s">
        <v>119</v>
      </c>
      <c r="E4388" s="519">
        <v>1000</v>
      </c>
      <c r="F4388" s="502">
        <f t="shared" si="69"/>
        <v>1.8744037053212446</v>
      </c>
      <c r="G4388" s="503">
        <v>533.50300000000004</v>
      </c>
      <c r="H4388" s="519" t="s">
        <v>315</v>
      </c>
      <c r="I4388" s="519" t="s">
        <v>4288</v>
      </c>
      <c r="J4388" s="505" t="s">
        <v>96</v>
      </c>
      <c r="K4388" s="505" t="s">
        <v>2102</v>
      </c>
      <c r="L4388" s="505" t="s">
        <v>153</v>
      </c>
    </row>
    <row r="4389" spans="1:12" ht="15.6">
      <c r="A4389" s="526">
        <v>45980</v>
      </c>
      <c r="B4389" s="519" t="s">
        <v>4751</v>
      </c>
      <c r="C4389" s="519" t="s">
        <v>4309</v>
      </c>
      <c r="D4389" s="510" t="s">
        <v>119</v>
      </c>
      <c r="E4389" s="521">
        <v>15000</v>
      </c>
      <c r="F4389" s="502">
        <f t="shared" si="69"/>
        <v>28.116055579818667</v>
      </c>
      <c r="G4389" s="503">
        <v>533.50300000000004</v>
      </c>
      <c r="H4389" s="519" t="s">
        <v>321</v>
      </c>
      <c r="I4389" s="505" t="s">
        <v>4326</v>
      </c>
      <c r="J4389" s="505" t="s">
        <v>96</v>
      </c>
      <c r="K4389" s="505" t="s">
        <v>2102</v>
      </c>
      <c r="L4389" s="505" t="s">
        <v>153</v>
      </c>
    </row>
    <row r="4390" spans="1:12" ht="15.6">
      <c r="A4390" s="526">
        <v>45980</v>
      </c>
      <c r="B4390" s="519" t="s">
        <v>4917</v>
      </c>
      <c r="C4390" s="519" t="s">
        <v>172</v>
      </c>
      <c r="D4390" s="510" t="s">
        <v>119</v>
      </c>
      <c r="E4390" s="521">
        <v>500</v>
      </c>
      <c r="F4390" s="502">
        <f t="shared" si="69"/>
        <v>0.93720185266062228</v>
      </c>
      <c r="G4390" s="503">
        <v>533.50300000000004</v>
      </c>
      <c r="H4390" s="519" t="s">
        <v>321</v>
      </c>
      <c r="I4390" s="519" t="s">
        <v>4314</v>
      </c>
      <c r="J4390" s="505" t="s">
        <v>96</v>
      </c>
      <c r="K4390" s="505" t="s">
        <v>2102</v>
      </c>
      <c r="L4390" s="505" t="s">
        <v>153</v>
      </c>
    </row>
    <row r="4391" spans="1:12" ht="15.6">
      <c r="A4391" s="526">
        <v>45980</v>
      </c>
      <c r="B4391" s="519" t="s">
        <v>4757</v>
      </c>
      <c r="C4391" s="519" t="s">
        <v>172</v>
      </c>
      <c r="D4391" s="510" t="s">
        <v>119</v>
      </c>
      <c r="E4391" s="521">
        <v>12000</v>
      </c>
      <c r="F4391" s="502">
        <f t="shared" si="69"/>
        <v>22.492844463854933</v>
      </c>
      <c r="G4391" s="503">
        <v>533.50300000000004</v>
      </c>
      <c r="H4391" s="519" t="s">
        <v>321</v>
      </c>
      <c r="I4391" s="505" t="s">
        <v>4327</v>
      </c>
      <c r="J4391" s="505" t="s">
        <v>96</v>
      </c>
      <c r="K4391" s="505" t="s">
        <v>2102</v>
      </c>
      <c r="L4391" s="505" t="s">
        <v>153</v>
      </c>
    </row>
    <row r="4392" spans="1:12" ht="15.6">
      <c r="A4392" s="526">
        <v>45980</v>
      </c>
      <c r="B4392" s="519" t="s">
        <v>4876</v>
      </c>
      <c r="C4392" s="519" t="s">
        <v>172</v>
      </c>
      <c r="D4392" s="510" t="s">
        <v>119</v>
      </c>
      <c r="E4392" s="521">
        <v>1000</v>
      </c>
      <c r="F4392" s="502">
        <f t="shared" si="69"/>
        <v>1.8744037053212446</v>
      </c>
      <c r="G4392" s="503">
        <v>533.50300000000004</v>
      </c>
      <c r="H4392" s="519" t="s">
        <v>321</v>
      </c>
      <c r="I4392" s="519" t="s">
        <v>4314</v>
      </c>
      <c r="J4392" s="505" t="s">
        <v>96</v>
      </c>
      <c r="K4392" s="505" t="s">
        <v>2102</v>
      </c>
      <c r="L4392" s="505" t="s">
        <v>153</v>
      </c>
    </row>
    <row r="4393" spans="1:12" ht="15.6">
      <c r="A4393" s="526">
        <v>45980</v>
      </c>
      <c r="B4393" s="519" t="s">
        <v>4612</v>
      </c>
      <c r="C4393" s="519" t="s">
        <v>172</v>
      </c>
      <c r="D4393" s="519" t="s">
        <v>115</v>
      </c>
      <c r="E4393" s="519">
        <v>2500</v>
      </c>
      <c r="F4393" s="502">
        <f t="shared" si="69"/>
        <v>4.6860092633031112</v>
      </c>
      <c r="G4393" s="503">
        <v>533.50300000000004</v>
      </c>
      <c r="H4393" s="519" t="s">
        <v>185</v>
      </c>
      <c r="I4393" s="519" t="s">
        <v>4631</v>
      </c>
      <c r="J4393" s="505" t="s">
        <v>96</v>
      </c>
      <c r="K4393" s="505" t="s">
        <v>2102</v>
      </c>
      <c r="L4393" s="505" t="s">
        <v>153</v>
      </c>
    </row>
    <row r="4394" spans="1:12" ht="15.6">
      <c r="A4394" s="526">
        <v>45980</v>
      </c>
      <c r="B4394" s="519" t="s">
        <v>4613</v>
      </c>
      <c r="C4394" s="519" t="s">
        <v>172</v>
      </c>
      <c r="D4394" s="519" t="s">
        <v>115</v>
      </c>
      <c r="E4394" s="519">
        <v>500</v>
      </c>
      <c r="F4394" s="502"/>
      <c r="G4394" s="503">
        <v>533.50300000000004</v>
      </c>
      <c r="H4394" s="519" t="s">
        <v>185</v>
      </c>
      <c r="I4394" s="519" t="s">
        <v>4631</v>
      </c>
      <c r="J4394" s="505" t="s">
        <v>96</v>
      </c>
      <c r="K4394" s="505" t="s">
        <v>2102</v>
      </c>
      <c r="L4394" s="505" t="s">
        <v>153</v>
      </c>
    </row>
    <row r="4395" spans="1:12" ht="15.6">
      <c r="A4395" s="526">
        <v>45980</v>
      </c>
      <c r="B4395" s="519" t="s">
        <v>4614</v>
      </c>
      <c r="C4395" s="519" t="s">
        <v>175</v>
      </c>
      <c r="D4395" s="519" t="s">
        <v>115</v>
      </c>
      <c r="E4395" s="519">
        <v>20000</v>
      </c>
      <c r="F4395" s="502">
        <f t="shared" ref="F4395:F4458" si="70">E4395/G4395</f>
        <v>37.488074106424889</v>
      </c>
      <c r="G4395" s="503">
        <v>533.50300000000004</v>
      </c>
      <c r="H4395" s="519" t="s">
        <v>185</v>
      </c>
      <c r="I4395" s="519" t="s">
        <v>4646</v>
      </c>
      <c r="J4395" s="505" t="s">
        <v>96</v>
      </c>
      <c r="K4395" s="505" t="s">
        <v>2102</v>
      </c>
      <c r="L4395" s="505" t="s">
        <v>153</v>
      </c>
    </row>
    <row r="4396" spans="1:12" ht="15.6">
      <c r="A4396" s="526">
        <v>45980</v>
      </c>
      <c r="B4396" s="519" t="s">
        <v>4615</v>
      </c>
      <c r="C4396" s="519" t="s">
        <v>172</v>
      </c>
      <c r="D4396" s="519" t="s">
        <v>115</v>
      </c>
      <c r="E4396" s="519">
        <v>500</v>
      </c>
      <c r="F4396" s="502">
        <f t="shared" si="70"/>
        <v>0.93720185266062228</v>
      </c>
      <c r="G4396" s="503">
        <v>533.50300000000004</v>
      </c>
      <c r="H4396" s="519" t="s">
        <v>185</v>
      </c>
      <c r="I4396" s="519" t="s">
        <v>4631</v>
      </c>
      <c r="J4396" s="505" t="s">
        <v>96</v>
      </c>
      <c r="K4396" s="505" t="s">
        <v>2102</v>
      </c>
      <c r="L4396" s="505" t="s">
        <v>153</v>
      </c>
    </row>
    <row r="4397" spans="1:12" ht="15.6">
      <c r="A4397" s="526">
        <v>45980</v>
      </c>
      <c r="B4397" s="519" t="s">
        <v>4726</v>
      </c>
      <c r="C4397" s="505" t="s">
        <v>3317</v>
      </c>
      <c r="D4397" s="519" t="s">
        <v>115</v>
      </c>
      <c r="E4397" s="519">
        <v>1500</v>
      </c>
      <c r="F4397" s="502">
        <f t="shared" si="70"/>
        <v>2.8116055579818666</v>
      </c>
      <c r="G4397" s="503">
        <v>533.50300000000004</v>
      </c>
      <c r="H4397" s="519" t="s">
        <v>185</v>
      </c>
      <c r="I4397" s="519" t="s">
        <v>4647</v>
      </c>
      <c r="J4397" s="505" t="s">
        <v>96</v>
      </c>
      <c r="K4397" s="505" t="s">
        <v>2102</v>
      </c>
      <c r="L4397" s="505" t="s">
        <v>153</v>
      </c>
    </row>
    <row r="4398" spans="1:12" ht="15.6">
      <c r="A4398" s="526">
        <v>45980</v>
      </c>
      <c r="B4398" s="519" t="s">
        <v>4617</v>
      </c>
      <c r="C4398" s="519" t="s">
        <v>172</v>
      </c>
      <c r="D4398" s="519" t="s">
        <v>115</v>
      </c>
      <c r="E4398" s="519">
        <v>500</v>
      </c>
      <c r="F4398" s="502">
        <f t="shared" si="70"/>
        <v>0.93720185266062228</v>
      </c>
      <c r="G4398" s="503">
        <v>533.50300000000004</v>
      </c>
      <c r="H4398" s="519" t="s">
        <v>185</v>
      </c>
      <c r="I4398" s="519" t="s">
        <v>4631</v>
      </c>
      <c r="J4398" s="505" t="s">
        <v>96</v>
      </c>
      <c r="K4398" s="505" t="s">
        <v>2102</v>
      </c>
      <c r="L4398" s="505" t="s">
        <v>153</v>
      </c>
    </row>
    <row r="4399" spans="1:12" ht="15.6">
      <c r="A4399" s="526">
        <v>45980</v>
      </c>
      <c r="B4399" s="519" t="s">
        <v>4618</v>
      </c>
      <c r="C4399" s="519" t="s">
        <v>172</v>
      </c>
      <c r="D4399" s="519" t="s">
        <v>115</v>
      </c>
      <c r="E4399" s="519">
        <v>500</v>
      </c>
      <c r="F4399" s="502">
        <f t="shared" si="70"/>
        <v>0.93720185266062228</v>
      </c>
      <c r="G4399" s="503">
        <v>533.50300000000004</v>
      </c>
      <c r="H4399" s="519" t="s">
        <v>185</v>
      </c>
      <c r="I4399" s="519" t="s">
        <v>4631</v>
      </c>
      <c r="J4399" s="505" t="s">
        <v>96</v>
      </c>
      <c r="K4399" s="505" t="s">
        <v>2102</v>
      </c>
      <c r="L4399" s="505" t="s">
        <v>153</v>
      </c>
    </row>
    <row r="4400" spans="1:12" ht="15.6">
      <c r="A4400" s="486">
        <v>45981</v>
      </c>
      <c r="B4400" s="478" t="s">
        <v>2103</v>
      </c>
      <c r="C4400" s="478" t="s">
        <v>172</v>
      </c>
      <c r="D4400" s="501" t="s">
        <v>117</v>
      </c>
      <c r="E4400" s="481">
        <v>1000</v>
      </c>
      <c r="F4400" s="502">
        <f t="shared" si="70"/>
        <v>1.8744037053212446</v>
      </c>
      <c r="G4400" s="503">
        <v>533.50300000000004</v>
      </c>
      <c r="H4400" s="504" t="s">
        <v>151</v>
      </c>
      <c r="I4400" s="478" t="s">
        <v>4133</v>
      </c>
      <c r="J4400" s="505" t="s">
        <v>96</v>
      </c>
      <c r="K4400" s="505" t="s">
        <v>2102</v>
      </c>
      <c r="L4400" s="505" t="s">
        <v>153</v>
      </c>
    </row>
    <row r="4401" spans="1:12" ht="15.6">
      <c r="A4401" s="486">
        <v>45981</v>
      </c>
      <c r="B4401" s="478" t="s">
        <v>2104</v>
      </c>
      <c r="C4401" s="478" t="s">
        <v>172</v>
      </c>
      <c r="D4401" s="501" t="s">
        <v>117</v>
      </c>
      <c r="E4401" s="481">
        <v>1000</v>
      </c>
      <c r="F4401" s="502">
        <f t="shared" si="70"/>
        <v>1.8744037053212446</v>
      </c>
      <c r="G4401" s="503">
        <v>533.50300000000004</v>
      </c>
      <c r="H4401" s="504" t="s">
        <v>151</v>
      </c>
      <c r="I4401" s="478" t="s">
        <v>4133</v>
      </c>
      <c r="J4401" s="505" t="s">
        <v>96</v>
      </c>
      <c r="K4401" s="505" t="s">
        <v>2102</v>
      </c>
      <c r="L4401" s="505" t="s">
        <v>153</v>
      </c>
    </row>
    <row r="4402" spans="1:12" ht="15.6">
      <c r="A4402" s="511">
        <v>45981</v>
      </c>
      <c r="B4402" s="512" t="s">
        <v>4151</v>
      </c>
      <c r="C4402" s="512" t="s">
        <v>172</v>
      </c>
      <c r="D4402" s="514" t="s">
        <v>115</v>
      </c>
      <c r="E4402" s="513">
        <v>1500</v>
      </c>
      <c r="F4402" s="502">
        <f t="shared" si="70"/>
        <v>2.8116055579818666</v>
      </c>
      <c r="G4402" s="503">
        <v>533.50300000000004</v>
      </c>
      <c r="H4402" s="510" t="s">
        <v>198</v>
      </c>
      <c r="I4402" s="512" t="s">
        <v>4153</v>
      </c>
      <c r="J4402" s="505" t="s">
        <v>96</v>
      </c>
      <c r="K4402" s="505" t="s">
        <v>2102</v>
      </c>
      <c r="L4402" s="505" t="s">
        <v>153</v>
      </c>
    </row>
    <row r="4403" spans="1:12" ht="15.6">
      <c r="A4403" s="511">
        <v>45981</v>
      </c>
      <c r="B4403" s="512" t="s">
        <v>2847</v>
      </c>
      <c r="C4403" s="512" t="s">
        <v>172</v>
      </c>
      <c r="D4403" s="514" t="s">
        <v>115</v>
      </c>
      <c r="E4403" s="513">
        <v>1000</v>
      </c>
      <c r="F4403" s="502">
        <f t="shared" si="70"/>
        <v>1.8744037053212446</v>
      </c>
      <c r="G4403" s="503">
        <v>533.50300000000004</v>
      </c>
      <c r="H4403" s="510" t="s">
        <v>198</v>
      </c>
      <c r="I4403" s="512" t="s">
        <v>4153</v>
      </c>
      <c r="J4403" s="505" t="s">
        <v>96</v>
      </c>
      <c r="K4403" s="505" t="s">
        <v>2102</v>
      </c>
      <c r="L4403" s="505" t="s">
        <v>153</v>
      </c>
    </row>
    <row r="4404" spans="1:12" ht="15.6">
      <c r="A4404" s="511">
        <v>45981</v>
      </c>
      <c r="B4404" s="512" t="s">
        <v>2848</v>
      </c>
      <c r="C4404" s="512" t="s">
        <v>172</v>
      </c>
      <c r="D4404" s="514" t="s">
        <v>115</v>
      </c>
      <c r="E4404" s="513">
        <v>1000</v>
      </c>
      <c r="F4404" s="502">
        <f t="shared" si="70"/>
        <v>1.8744037053212446</v>
      </c>
      <c r="G4404" s="503">
        <v>533.50300000000004</v>
      </c>
      <c r="H4404" s="510" t="s">
        <v>198</v>
      </c>
      <c r="I4404" s="512" t="s">
        <v>4153</v>
      </c>
      <c r="J4404" s="505" t="s">
        <v>96</v>
      </c>
      <c r="K4404" s="505" t="s">
        <v>2102</v>
      </c>
      <c r="L4404" s="505" t="s">
        <v>153</v>
      </c>
    </row>
    <row r="4405" spans="1:12" ht="15.6">
      <c r="A4405" s="511">
        <v>45981</v>
      </c>
      <c r="B4405" s="512" t="s">
        <v>2852</v>
      </c>
      <c r="C4405" s="512" t="s">
        <v>172</v>
      </c>
      <c r="D4405" s="514" t="s">
        <v>115</v>
      </c>
      <c r="E4405" s="513">
        <v>1500</v>
      </c>
      <c r="F4405" s="502">
        <f t="shared" si="70"/>
        <v>2.8116055579818666</v>
      </c>
      <c r="G4405" s="503">
        <v>533.50300000000004</v>
      </c>
      <c r="H4405" s="510" t="s">
        <v>198</v>
      </c>
      <c r="I4405" s="512" t="s">
        <v>4153</v>
      </c>
      <c r="J4405" s="505" t="s">
        <v>96</v>
      </c>
      <c r="K4405" s="505" t="s">
        <v>2102</v>
      </c>
      <c r="L4405" s="505" t="s">
        <v>153</v>
      </c>
    </row>
    <row r="4406" spans="1:12" ht="15.6">
      <c r="A4406" s="515">
        <v>45981</v>
      </c>
      <c r="B4406" s="519" t="s">
        <v>2593</v>
      </c>
      <c r="C4406" s="505" t="s">
        <v>172</v>
      </c>
      <c r="D4406" s="519" t="s">
        <v>115</v>
      </c>
      <c r="E4406" s="528">
        <v>1000</v>
      </c>
      <c r="F4406" s="502">
        <f t="shared" si="70"/>
        <v>1.8744037053212446</v>
      </c>
      <c r="G4406" s="503">
        <v>533.50300000000004</v>
      </c>
      <c r="H4406" s="505" t="s">
        <v>191</v>
      </c>
      <c r="I4406" s="519" t="s">
        <v>4405</v>
      </c>
      <c r="J4406" s="505" t="s">
        <v>96</v>
      </c>
      <c r="K4406" s="505" t="s">
        <v>2102</v>
      </c>
      <c r="L4406" s="505" t="s">
        <v>153</v>
      </c>
    </row>
    <row r="4407" spans="1:12" ht="15.6">
      <c r="A4407" s="515">
        <v>45981</v>
      </c>
      <c r="B4407" s="519" t="s">
        <v>2595</v>
      </c>
      <c r="C4407" s="505" t="s">
        <v>172</v>
      </c>
      <c r="D4407" s="519" t="s">
        <v>115</v>
      </c>
      <c r="E4407" s="528">
        <v>1000</v>
      </c>
      <c r="F4407" s="502">
        <f t="shared" si="70"/>
        <v>1.8744037053212446</v>
      </c>
      <c r="G4407" s="503">
        <v>533.50300000000004</v>
      </c>
      <c r="H4407" s="505" t="s">
        <v>191</v>
      </c>
      <c r="I4407" s="519" t="s">
        <v>4405</v>
      </c>
      <c r="J4407" s="505" t="s">
        <v>96</v>
      </c>
      <c r="K4407" s="505" t="s">
        <v>2102</v>
      </c>
      <c r="L4407" s="505" t="s">
        <v>153</v>
      </c>
    </row>
    <row r="4408" spans="1:12" ht="15.6">
      <c r="A4408" s="515">
        <v>45981</v>
      </c>
      <c r="B4408" s="519" t="s">
        <v>4420</v>
      </c>
      <c r="C4408" s="505" t="s">
        <v>172</v>
      </c>
      <c r="D4408" s="298" t="s">
        <v>115</v>
      </c>
      <c r="E4408" s="518">
        <v>88000</v>
      </c>
      <c r="F4408" s="502">
        <f t="shared" si="70"/>
        <v>164.94752606826953</v>
      </c>
      <c r="G4408" s="503">
        <v>533.50300000000004</v>
      </c>
      <c r="H4408" s="298" t="s">
        <v>435</v>
      </c>
      <c r="I4408" s="505" t="s">
        <v>4449</v>
      </c>
      <c r="J4408" s="505" t="s">
        <v>96</v>
      </c>
      <c r="K4408" s="505" t="s">
        <v>2102</v>
      </c>
      <c r="L4408" s="505" t="s">
        <v>153</v>
      </c>
    </row>
    <row r="4409" spans="1:12" ht="15.6">
      <c r="A4409" s="515">
        <v>45981</v>
      </c>
      <c r="B4409" s="519" t="s">
        <v>4421</v>
      </c>
      <c r="C4409" s="505" t="s">
        <v>175</v>
      </c>
      <c r="D4409" s="298" t="s">
        <v>115</v>
      </c>
      <c r="E4409" s="518">
        <v>175000</v>
      </c>
      <c r="F4409" s="502">
        <f t="shared" si="70"/>
        <v>328.02064843121781</v>
      </c>
      <c r="G4409" s="503">
        <v>533.50300000000004</v>
      </c>
      <c r="H4409" s="298" t="s">
        <v>435</v>
      </c>
      <c r="I4409" s="505" t="s">
        <v>4450</v>
      </c>
      <c r="J4409" s="505" t="s">
        <v>96</v>
      </c>
      <c r="K4409" s="505" t="s">
        <v>2102</v>
      </c>
      <c r="L4409" s="505" t="s">
        <v>153</v>
      </c>
    </row>
    <row r="4410" spans="1:12" ht="15.6">
      <c r="A4410" s="532">
        <v>45981</v>
      </c>
      <c r="B4410" s="516" t="s">
        <v>4534</v>
      </c>
      <c r="C4410" s="516" t="s">
        <v>172</v>
      </c>
      <c r="D4410" s="516" t="s">
        <v>118</v>
      </c>
      <c r="E4410" s="533">
        <v>1000</v>
      </c>
      <c r="F4410" s="502">
        <f t="shared" si="70"/>
        <v>1.8744037053212446</v>
      </c>
      <c r="G4410" s="503">
        <v>533.50300000000004</v>
      </c>
      <c r="H4410" s="516" t="s">
        <v>211</v>
      </c>
      <c r="I4410" s="516" t="s">
        <v>4559</v>
      </c>
      <c r="J4410" s="505" t="s">
        <v>96</v>
      </c>
      <c r="K4410" s="505" t="s">
        <v>2102</v>
      </c>
      <c r="L4410" s="505" t="s">
        <v>153</v>
      </c>
    </row>
    <row r="4411" spans="1:12" ht="15.6">
      <c r="A4411" s="532">
        <v>45981</v>
      </c>
      <c r="B4411" s="516" t="s">
        <v>4535</v>
      </c>
      <c r="C4411" s="516" t="s">
        <v>172</v>
      </c>
      <c r="D4411" s="516" t="s">
        <v>118</v>
      </c>
      <c r="E4411" s="533">
        <v>1000</v>
      </c>
      <c r="F4411" s="502">
        <f t="shared" si="70"/>
        <v>1.8744037053212446</v>
      </c>
      <c r="G4411" s="503">
        <v>533.50300000000004</v>
      </c>
      <c r="H4411" s="516" t="s">
        <v>211</v>
      </c>
      <c r="I4411" s="516" t="s">
        <v>4559</v>
      </c>
      <c r="J4411" s="505" t="s">
        <v>96</v>
      </c>
      <c r="K4411" s="505" t="s">
        <v>2102</v>
      </c>
      <c r="L4411" s="505" t="s">
        <v>153</v>
      </c>
    </row>
    <row r="4412" spans="1:12" ht="15.6">
      <c r="A4412" s="526">
        <v>45981</v>
      </c>
      <c r="B4412" s="519" t="s">
        <v>4619</v>
      </c>
      <c r="C4412" s="519" t="s">
        <v>172</v>
      </c>
      <c r="D4412" s="519" t="s">
        <v>115</v>
      </c>
      <c r="E4412" s="519">
        <v>500</v>
      </c>
      <c r="F4412" s="502">
        <f t="shared" si="70"/>
        <v>0.93720185266062228</v>
      </c>
      <c r="G4412" s="503">
        <v>533.50300000000004</v>
      </c>
      <c r="H4412" s="519" t="s">
        <v>185</v>
      </c>
      <c r="I4412" s="519" t="s">
        <v>4631</v>
      </c>
      <c r="J4412" s="505" t="s">
        <v>96</v>
      </c>
      <c r="K4412" s="505" t="s">
        <v>2102</v>
      </c>
      <c r="L4412" s="505" t="s">
        <v>153</v>
      </c>
    </row>
    <row r="4413" spans="1:12" ht="15.6">
      <c r="A4413" s="526">
        <v>45981</v>
      </c>
      <c r="B4413" s="519" t="s">
        <v>4727</v>
      </c>
      <c r="C4413" s="505" t="s">
        <v>3317</v>
      </c>
      <c r="D4413" s="519" t="s">
        <v>115</v>
      </c>
      <c r="E4413" s="519">
        <v>1500</v>
      </c>
      <c r="F4413" s="502">
        <f t="shared" si="70"/>
        <v>2.8116055579818666</v>
      </c>
      <c r="G4413" s="503">
        <v>533.50300000000004</v>
      </c>
      <c r="H4413" s="519" t="s">
        <v>185</v>
      </c>
      <c r="I4413" s="519" t="s">
        <v>4647</v>
      </c>
      <c r="J4413" s="505" t="s">
        <v>96</v>
      </c>
      <c r="K4413" s="505" t="s">
        <v>2102</v>
      </c>
      <c r="L4413" s="505" t="s">
        <v>153</v>
      </c>
    </row>
    <row r="4414" spans="1:12" ht="15.6">
      <c r="A4414" s="526">
        <v>45981</v>
      </c>
      <c r="B4414" s="519" t="s">
        <v>4621</v>
      </c>
      <c r="C4414" s="519" t="s">
        <v>172</v>
      </c>
      <c r="D4414" s="519" t="s">
        <v>115</v>
      </c>
      <c r="E4414" s="519">
        <v>500</v>
      </c>
      <c r="F4414" s="502">
        <f t="shared" si="70"/>
        <v>0.93720185266062228</v>
      </c>
      <c r="G4414" s="503">
        <v>533.50300000000004</v>
      </c>
      <c r="H4414" s="519" t="s">
        <v>185</v>
      </c>
      <c r="I4414" s="519" t="s">
        <v>4631</v>
      </c>
      <c r="J4414" s="505" t="s">
        <v>96</v>
      </c>
      <c r="K4414" s="505" t="s">
        <v>2102</v>
      </c>
      <c r="L4414" s="505" t="s">
        <v>153</v>
      </c>
    </row>
    <row r="4415" spans="1:12" ht="15.6">
      <c r="A4415" s="526">
        <v>45981</v>
      </c>
      <c r="B4415" s="519" t="s">
        <v>4622</v>
      </c>
      <c r="C4415" s="519" t="s">
        <v>172</v>
      </c>
      <c r="D4415" s="519" t="s">
        <v>115</v>
      </c>
      <c r="E4415" s="519">
        <v>500</v>
      </c>
      <c r="F4415" s="502">
        <f t="shared" si="70"/>
        <v>0.93720185266062228</v>
      </c>
      <c r="G4415" s="503">
        <v>533.50300000000004</v>
      </c>
      <c r="H4415" s="519" t="s">
        <v>185</v>
      </c>
      <c r="I4415" s="519" t="s">
        <v>4631</v>
      </c>
      <c r="J4415" s="505" t="s">
        <v>96</v>
      </c>
      <c r="K4415" s="505" t="s">
        <v>2102</v>
      </c>
      <c r="L4415" s="505" t="s">
        <v>153</v>
      </c>
    </row>
    <row r="4416" spans="1:12" ht="15.6">
      <c r="A4416" s="526">
        <v>45981</v>
      </c>
      <c r="B4416" s="519" t="s">
        <v>4623</v>
      </c>
      <c r="C4416" s="519" t="s">
        <v>172</v>
      </c>
      <c r="D4416" s="519" t="s">
        <v>115</v>
      </c>
      <c r="E4416" s="519">
        <v>7000</v>
      </c>
      <c r="F4416" s="502">
        <f t="shared" si="70"/>
        <v>13.120825937248712</v>
      </c>
      <c r="G4416" s="503">
        <v>533.50300000000004</v>
      </c>
      <c r="H4416" s="519" t="s">
        <v>185</v>
      </c>
      <c r="I4416" s="519" t="s">
        <v>4648</v>
      </c>
      <c r="J4416" s="505" t="s">
        <v>96</v>
      </c>
      <c r="K4416" s="505" t="s">
        <v>2102</v>
      </c>
      <c r="L4416" s="505" t="s">
        <v>153</v>
      </c>
    </row>
    <row r="4417" spans="1:12" ht="15.6">
      <c r="A4417" s="526">
        <v>45981</v>
      </c>
      <c r="B4417" s="519" t="s">
        <v>4613</v>
      </c>
      <c r="C4417" s="519" t="s">
        <v>172</v>
      </c>
      <c r="D4417" s="519" t="s">
        <v>115</v>
      </c>
      <c r="E4417" s="519">
        <v>500</v>
      </c>
      <c r="F4417" s="502">
        <f t="shared" si="70"/>
        <v>0.93720185266062228</v>
      </c>
      <c r="G4417" s="503">
        <v>533.50300000000004</v>
      </c>
      <c r="H4417" s="519" t="s">
        <v>185</v>
      </c>
      <c r="I4417" s="519" t="s">
        <v>4631</v>
      </c>
      <c r="J4417" s="505" t="s">
        <v>96</v>
      </c>
      <c r="K4417" s="505" t="s">
        <v>2102</v>
      </c>
      <c r="L4417" s="505" t="s">
        <v>153</v>
      </c>
    </row>
    <row r="4418" spans="1:12" ht="15.6">
      <c r="A4418" s="526">
        <v>45981</v>
      </c>
      <c r="B4418" s="519" t="s">
        <v>4615</v>
      </c>
      <c r="C4418" s="519" t="s">
        <v>172</v>
      </c>
      <c r="D4418" s="519" t="s">
        <v>115</v>
      </c>
      <c r="E4418" s="519">
        <v>500</v>
      </c>
      <c r="F4418" s="502">
        <f t="shared" si="70"/>
        <v>0.93720185266062228</v>
      </c>
      <c r="G4418" s="503">
        <v>533.50300000000004</v>
      </c>
      <c r="H4418" s="519" t="s">
        <v>185</v>
      </c>
      <c r="I4418" s="519" t="s">
        <v>4631</v>
      </c>
      <c r="J4418" s="505" t="s">
        <v>96</v>
      </c>
      <c r="K4418" s="505" t="s">
        <v>2102</v>
      </c>
      <c r="L4418" s="505" t="s">
        <v>153</v>
      </c>
    </row>
    <row r="4419" spans="1:12" ht="15.6">
      <c r="A4419" s="526">
        <v>45981</v>
      </c>
      <c r="B4419" s="519" t="s">
        <v>4728</v>
      </c>
      <c r="C4419" s="505" t="s">
        <v>3317</v>
      </c>
      <c r="D4419" s="519" t="s">
        <v>115</v>
      </c>
      <c r="E4419" s="519">
        <v>1500</v>
      </c>
      <c r="F4419" s="502">
        <f t="shared" si="70"/>
        <v>2.8116055579818666</v>
      </c>
      <c r="G4419" s="503">
        <v>533.50300000000004</v>
      </c>
      <c r="H4419" s="519" t="s">
        <v>185</v>
      </c>
      <c r="I4419" s="519" t="s">
        <v>4647</v>
      </c>
      <c r="J4419" s="505" t="s">
        <v>96</v>
      </c>
      <c r="K4419" s="505" t="s">
        <v>2102</v>
      </c>
      <c r="L4419" s="505" t="s">
        <v>153</v>
      </c>
    </row>
    <row r="4420" spans="1:12" ht="15.6">
      <c r="A4420" s="526">
        <v>45981</v>
      </c>
      <c r="B4420" s="519" t="s">
        <v>4624</v>
      </c>
      <c r="C4420" s="519" t="s">
        <v>172</v>
      </c>
      <c r="D4420" s="519" t="s">
        <v>115</v>
      </c>
      <c r="E4420" s="519">
        <v>500</v>
      </c>
      <c r="F4420" s="502">
        <f t="shared" si="70"/>
        <v>0.93720185266062228</v>
      </c>
      <c r="G4420" s="503">
        <v>533.50300000000004</v>
      </c>
      <c r="H4420" s="519" t="s">
        <v>185</v>
      </c>
      <c r="I4420" s="519" t="s">
        <v>4631</v>
      </c>
      <c r="J4420" s="505" t="s">
        <v>96</v>
      </c>
      <c r="K4420" s="505" t="s">
        <v>2102</v>
      </c>
      <c r="L4420" s="505" t="s">
        <v>153</v>
      </c>
    </row>
    <row r="4421" spans="1:12" ht="15.6">
      <c r="A4421" s="526">
        <v>45981</v>
      </c>
      <c r="B4421" s="519" t="s">
        <v>4618</v>
      </c>
      <c r="C4421" s="519" t="s">
        <v>172</v>
      </c>
      <c r="D4421" s="519" t="s">
        <v>115</v>
      </c>
      <c r="E4421" s="519">
        <v>500</v>
      </c>
      <c r="F4421" s="502">
        <f t="shared" si="70"/>
        <v>0.93720185266062228</v>
      </c>
      <c r="G4421" s="503">
        <v>533.50300000000004</v>
      </c>
      <c r="H4421" s="519" t="s">
        <v>185</v>
      </c>
      <c r="I4421" s="519" t="s">
        <v>4631</v>
      </c>
      <c r="J4421" s="505" t="s">
        <v>96</v>
      </c>
      <c r="K4421" s="505" t="s">
        <v>2102</v>
      </c>
      <c r="L4421" s="505" t="s">
        <v>153</v>
      </c>
    </row>
    <row r="4422" spans="1:12" ht="15.6">
      <c r="A4422" s="486">
        <v>45982</v>
      </c>
      <c r="B4422" s="478" t="s">
        <v>4128</v>
      </c>
      <c r="C4422" s="478" t="s">
        <v>172</v>
      </c>
      <c r="D4422" s="501" t="s">
        <v>117</v>
      </c>
      <c r="E4422" s="480">
        <v>1500</v>
      </c>
      <c r="F4422" s="502">
        <f t="shared" si="70"/>
        <v>2.8116055579818666</v>
      </c>
      <c r="G4422" s="503">
        <v>533.50300000000004</v>
      </c>
      <c r="H4422" s="504" t="s">
        <v>151</v>
      </c>
      <c r="I4422" s="478" t="s">
        <v>4133</v>
      </c>
      <c r="J4422" s="505" t="s">
        <v>96</v>
      </c>
      <c r="K4422" s="505" t="s">
        <v>2102</v>
      </c>
      <c r="L4422" s="505" t="s">
        <v>153</v>
      </c>
    </row>
    <row r="4423" spans="1:12" ht="15.6">
      <c r="A4423" s="486">
        <v>45982</v>
      </c>
      <c r="B4423" s="478" t="s">
        <v>4129</v>
      </c>
      <c r="C4423" s="478" t="s">
        <v>172</v>
      </c>
      <c r="D4423" s="501" t="s">
        <v>117</v>
      </c>
      <c r="E4423" s="480">
        <v>1500</v>
      </c>
      <c r="F4423" s="502">
        <f t="shared" si="70"/>
        <v>2.8116055579818666</v>
      </c>
      <c r="G4423" s="503">
        <v>533.50300000000004</v>
      </c>
      <c r="H4423" s="504" t="s">
        <v>151</v>
      </c>
      <c r="I4423" s="478" t="s">
        <v>4133</v>
      </c>
      <c r="J4423" s="505" t="s">
        <v>96</v>
      </c>
      <c r="K4423" s="505" t="s">
        <v>2102</v>
      </c>
      <c r="L4423" s="505" t="s">
        <v>153</v>
      </c>
    </row>
    <row r="4424" spans="1:12" ht="15.6">
      <c r="A4424" s="486">
        <v>45982</v>
      </c>
      <c r="B4424" s="478" t="s">
        <v>2116</v>
      </c>
      <c r="C4424" s="478" t="s">
        <v>172</v>
      </c>
      <c r="D4424" s="501" t="s">
        <v>117</v>
      </c>
      <c r="E4424" s="559">
        <v>1000</v>
      </c>
      <c r="F4424" s="502">
        <f t="shared" si="70"/>
        <v>1.8744037053212446</v>
      </c>
      <c r="G4424" s="503">
        <v>533.50300000000004</v>
      </c>
      <c r="H4424" s="504" t="s">
        <v>151</v>
      </c>
      <c r="I4424" s="478" t="s">
        <v>4133</v>
      </c>
      <c r="J4424" s="505" t="s">
        <v>96</v>
      </c>
      <c r="K4424" s="505" t="s">
        <v>2102</v>
      </c>
      <c r="L4424" s="505" t="s">
        <v>153</v>
      </c>
    </row>
    <row r="4425" spans="1:12" ht="15.6">
      <c r="A4425" s="515">
        <v>45982</v>
      </c>
      <c r="B4425" s="514" t="s">
        <v>4736</v>
      </c>
      <c r="C4425" s="519" t="s">
        <v>180</v>
      </c>
      <c r="D4425" s="519" t="s">
        <v>116</v>
      </c>
      <c r="E4425" s="534">
        <v>4060</v>
      </c>
      <c r="F4425" s="502">
        <f t="shared" si="70"/>
        <v>7.6100790436042525</v>
      </c>
      <c r="G4425" s="503">
        <v>533.50300000000004</v>
      </c>
      <c r="H4425" s="519" t="s">
        <v>581</v>
      </c>
      <c r="I4425" s="505" t="s">
        <v>4224</v>
      </c>
      <c r="J4425" s="505" t="s">
        <v>96</v>
      </c>
      <c r="K4425" s="505" t="s">
        <v>2102</v>
      </c>
      <c r="L4425" s="505" t="s">
        <v>153</v>
      </c>
    </row>
    <row r="4426" spans="1:12" ht="15.6">
      <c r="A4426" s="517">
        <v>45982</v>
      </c>
      <c r="B4426" s="519" t="s">
        <v>4204</v>
      </c>
      <c r="C4426" s="519" t="s">
        <v>172</v>
      </c>
      <c r="D4426" s="519" t="s">
        <v>116</v>
      </c>
      <c r="E4426" s="548">
        <v>1000</v>
      </c>
      <c r="F4426" s="502">
        <f t="shared" si="70"/>
        <v>1.8744037053212446</v>
      </c>
      <c r="G4426" s="503">
        <v>533.50300000000004</v>
      </c>
      <c r="H4426" s="519" t="s">
        <v>581</v>
      </c>
      <c r="I4426" s="519" t="s">
        <v>4213</v>
      </c>
      <c r="J4426" s="505" t="s">
        <v>96</v>
      </c>
      <c r="K4426" s="505" t="s">
        <v>2102</v>
      </c>
      <c r="L4426" s="505" t="s">
        <v>153</v>
      </c>
    </row>
    <row r="4427" spans="1:12" ht="15.6">
      <c r="A4427" s="517">
        <v>45982</v>
      </c>
      <c r="B4427" s="519" t="s">
        <v>3398</v>
      </c>
      <c r="C4427" s="519" t="s">
        <v>172</v>
      </c>
      <c r="D4427" s="519" t="s">
        <v>116</v>
      </c>
      <c r="E4427" s="548">
        <v>1000</v>
      </c>
      <c r="F4427" s="502">
        <f t="shared" si="70"/>
        <v>1.8744037053212446</v>
      </c>
      <c r="G4427" s="503">
        <v>533.50300000000004</v>
      </c>
      <c r="H4427" s="519" t="s">
        <v>581</v>
      </c>
      <c r="I4427" s="519" t="s">
        <v>4213</v>
      </c>
      <c r="J4427" s="505" t="s">
        <v>96</v>
      </c>
      <c r="K4427" s="505" t="s">
        <v>2102</v>
      </c>
      <c r="L4427" s="505" t="s">
        <v>153</v>
      </c>
    </row>
    <row r="4428" spans="1:12" ht="15.6">
      <c r="A4428" s="526">
        <v>45982</v>
      </c>
      <c r="B4428" s="519" t="s">
        <v>4876</v>
      </c>
      <c r="C4428" s="519" t="s">
        <v>172</v>
      </c>
      <c r="D4428" s="510" t="s">
        <v>119</v>
      </c>
      <c r="E4428" s="542">
        <v>1000</v>
      </c>
      <c r="F4428" s="502">
        <f t="shared" si="70"/>
        <v>1.8744037053212446</v>
      </c>
      <c r="G4428" s="503">
        <v>533.50300000000004</v>
      </c>
      <c r="H4428" s="519" t="s">
        <v>315</v>
      </c>
      <c r="I4428" s="519" t="s">
        <v>4288</v>
      </c>
      <c r="J4428" s="505" t="s">
        <v>96</v>
      </c>
      <c r="K4428" s="505" t="s">
        <v>2102</v>
      </c>
      <c r="L4428" s="505" t="s">
        <v>153</v>
      </c>
    </row>
    <row r="4429" spans="1:12" ht="15.6">
      <c r="A4429" s="526">
        <v>45982</v>
      </c>
      <c r="B4429" s="519" t="s">
        <v>4917</v>
      </c>
      <c r="C4429" s="519" t="s">
        <v>172</v>
      </c>
      <c r="D4429" s="510" t="s">
        <v>119</v>
      </c>
      <c r="E4429" s="542">
        <v>1000</v>
      </c>
      <c r="F4429" s="502">
        <f t="shared" si="70"/>
        <v>1.8744037053212446</v>
      </c>
      <c r="G4429" s="503">
        <v>533.50300000000004</v>
      </c>
      <c r="H4429" s="519" t="s">
        <v>315</v>
      </c>
      <c r="I4429" s="519" t="s">
        <v>4288</v>
      </c>
      <c r="J4429" s="505" t="s">
        <v>96</v>
      </c>
      <c r="K4429" s="505" t="s">
        <v>2102</v>
      </c>
      <c r="L4429" s="505" t="s">
        <v>153</v>
      </c>
    </row>
    <row r="4430" spans="1:12" ht="15.6">
      <c r="A4430" s="526">
        <v>45982</v>
      </c>
      <c r="B4430" s="519" t="s">
        <v>4625</v>
      </c>
      <c r="C4430" s="519" t="s">
        <v>175</v>
      </c>
      <c r="D4430" s="519" t="s">
        <v>115</v>
      </c>
      <c r="E4430" s="542">
        <v>30000</v>
      </c>
      <c r="F4430" s="502">
        <f t="shared" si="70"/>
        <v>56.232111159637334</v>
      </c>
      <c r="G4430" s="503">
        <v>533.50300000000004</v>
      </c>
      <c r="H4430" s="519" t="s">
        <v>185</v>
      </c>
      <c r="I4430" s="519" t="s">
        <v>4649</v>
      </c>
      <c r="J4430" s="505" t="s">
        <v>96</v>
      </c>
      <c r="K4430" s="505" t="s">
        <v>2102</v>
      </c>
      <c r="L4430" s="505" t="s">
        <v>153</v>
      </c>
    </row>
    <row r="4431" spans="1:12" ht="15.6">
      <c r="A4431" s="526">
        <v>45982</v>
      </c>
      <c r="B4431" s="519" t="s">
        <v>4626</v>
      </c>
      <c r="C4431" s="519" t="s">
        <v>172</v>
      </c>
      <c r="D4431" s="519" t="s">
        <v>115</v>
      </c>
      <c r="E4431" s="542">
        <v>500</v>
      </c>
      <c r="F4431" s="502">
        <f t="shared" si="70"/>
        <v>0.93720185266062228</v>
      </c>
      <c r="G4431" s="503">
        <v>533.50300000000004</v>
      </c>
      <c r="H4431" s="519" t="s">
        <v>185</v>
      </c>
      <c r="I4431" s="519" t="s">
        <v>4631</v>
      </c>
      <c r="J4431" s="505" t="s">
        <v>96</v>
      </c>
      <c r="K4431" s="505" t="s">
        <v>2102</v>
      </c>
      <c r="L4431" s="505" t="s">
        <v>153</v>
      </c>
    </row>
    <row r="4432" spans="1:12" ht="15.6">
      <c r="A4432" s="526">
        <v>45982</v>
      </c>
      <c r="B4432" s="519" t="s">
        <v>4627</v>
      </c>
      <c r="C4432" s="519" t="s">
        <v>172</v>
      </c>
      <c r="D4432" s="519" t="s">
        <v>115</v>
      </c>
      <c r="E4432" s="542">
        <v>2500</v>
      </c>
      <c r="F4432" s="502">
        <f t="shared" si="70"/>
        <v>4.6860092633031112</v>
      </c>
      <c r="G4432" s="503">
        <v>533.50300000000004</v>
      </c>
      <c r="H4432" s="519" t="s">
        <v>185</v>
      </c>
      <c r="I4432" s="519" t="s">
        <v>4631</v>
      </c>
      <c r="J4432" s="505" t="s">
        <v>96</v>
      </c>
      <c r="K4432" s="505" t="s">
        <v>2102</v>
      </c>
      <c r="L4432" s="505" t="s">
        <v>153</v>
      </c>
    </row>
    <row r="4433" spans="1:12" ht="15.6">
      <c r="A4433" s="529">
        <v>45983</v>
      </c>
      <c r="B4433" s="505" t="s">
        <v>4422</v>
      </c>
      <c r="C4433" s="298" t="s">
        <v>194</v>
      </c>
      <c r="D4433" s="298" t="s">
        <v>115</v>
      </c>
      <c r="E4433" s="555">
        <v>2000</v>
      </c>
      <c r="F4433" s="502">
        <f t="shared" si="70"/>
        <v>3.7488074106424891</v>
      </c>
      <c r="G4433" s="503">
        <v>533.50300000000004</v>
      </c>
      <c r="H4433" s="298" t="s">
        <v>435</v>
      </c>
      <c r="I4433" s="519" t="s">
        <v>4451</v>
      </c>
      <c r="J4433" s="505" t="s">
        <v>96</v>
      </c>
      <c r="K4433" s="505" t="s">
        <v>2102</v>
      </c>
      <c r="L4433" s="505" t="s">
        <v>153</v>
      </c>
    </row>
    <row r="4434" spans="1:12" ht="15.6">
      <c r="A4434" s="529">
        <v>45983</v>
      </c>
      <c r="B4434" s="505" t="s">
        <v>4423</v>
      </c>
      <c r="C4434" s="298" t="s">
        <v>194</v>
      </c>
      <c r="D4434" s="298" t="s">
        <v>115</v>
      </c>
      <c r="E4434" s="555">
        <v>2000</v>
      </c>
      <c r="F4434" s="502">
        <f t="shared" si="70"/>
        <v>3.7488074106424891</v>
      </c>
      <c r="G4434" s="503">
        <v>533.50300000000004</v>
      </c>
      <c r="H4434" s="298" t="s">
        <v>435</v>
      </c>
      <c r="I4434" s="519" t="s">
        <v>4451</v>
      </c>
      <c r="J4434" s="505" t="s">
        <v>96</v>
      </c>
      <c r="K4434" s="505" t="s">
        <v>2102</v>
      </c>
      <c r="L4434" s="505" t="s">
        <v>153</v>
      </c>
    </row>
    <row r="4435" spans="1:12" ht="15.6">
      <c r="A4435" s="564">
        <v>45984</v>
      </c>
      <c r="B4435" s="514" t="s">
        <v>4419</v>
      </c>
      <c r="C4435" s="298" t="s">
        <v>194</v>
      </c>
      <c r="D4435" s="298" t="s">
        <v>115</v>
      </c>
      <c r="E4435" s="554">
        <v>37000</v>
      </c>
      <c r="F4435" s="502">
        <f t="shared" si="70"/>
        <v>69.352937096886052</v>
      </c>
      <c r="G4435" s="503">
        <v>533.50300000000004</v>
      </c>
      <c r="H4435" s="298" t="s">
        <v>435</v>
      </c>
      <c r="I4435" s="505" t="s">
        <v>4448</v>
      </c>
      <c r="J4435" s="505" t="s">
        <v>96</v>
      </c>
      <c r="K4435" s="505" t="s">
        <v>2102</v>
      </c>
      <c r="L4435" s="505" t="s">
        <v>153</v>
      </c>
    </row>
    <row r="4436" spans="1:12" ht="15.6">
      <c r="A4436" s="524">
        <v>45984</v>
      </c>
      <c r="B4436" s="525" t="s">
        <v>4917</v>
      </c>
      <c r="C4436" s="525" t="s">
        <v>172</v>
      </c>
      <c r="D4436" s="510" t="s">
        <v>119</v>
      </c>
      <c r="E4436" s="561">
        <v>1000</v>
      </c>
      <c r="F4436" s="502">
        <f t="shared" si="70"/>
        <v>1.8744037053212446</v>
      </c>
      <c r="G4436" s="503">
        <v>533.50300000000004</v>
      </c>
      <c r="H4436" s="525" t="s">
        <v>182</v>
      </c>
      <c r="I4436" s="525" t="s">
        <v>4237</v>
      </c>
      <c r="J4436" s="505" t="s">
        <v>96</v>
      </c>
      <c r="K4436" s="505" t="s">
        <v>2102</v>
      </c>
      <c r="L4436" s="505" t="s">
        <v>153</v>
      </c>
    </row>
    <row r="4437" spans="1:12" ht="15.6">
      <c r="A4437" s="524">
        <v>45984</v>
      </c>
      <c r="B4437" s="525" t="s">
        <v>4917</v>
      </c>
      <c r="C4437" s="525" t="s">
        <v>172</v>
      </c>
      <c r="D4437" s="510" t="s">
        <v>119</v>
      </c>
      <c r="E4437" s="561">
        <v>1000</v>
      </c>
      <c r="F4437" s="502">
        <f t="shared" si="70"/>
        <v>1.8744037053212446</v>
      </c>
      <c r="G4437" s="503">
        <v>533.50300000000004</v>
      </c>
      <c r="H4437" s="525" t="s">
        <v>182</v>
      </c>
      <c r="I4437" s="525" t="s">
        <v>4237</v>
      </c>
      <c r="J4437" s="505" t="s">
        <v>96</v>
      </c>
      <c r="K4437" s="505" t="s">
        <v>2102</v>
      </c>
      <c r="L4437" s="505" t="s">
        <v>153</v>
      </c>
    </row>
    <row r="4438" spans="1:12" ht="15.6">
      <c r="A4438" s="511">
        <v>45985</v>
      </c>
      <c r="B4438" s="525" t="s">
        <v>4758</v>
      </c>
      <c r="C4438" s="525" t="s">
        <v>172</v>
      </c>
      <c r="D4438" s="510" t="s">
        <v>119</v>
      </c>
      <c r="E4438" s="561">
        <v>9000</v>
      </c>
      <c r="F4438" s="502">
        <f t="shared" si="70"/>
        <v>16.869633347891202</v>
      </c>
      <c r="G4438" s="503">
        <v>533.50300000000004</v>
      </c>
      <c r="H4438" s="525" t="s">
        <v>182</v>
      </c>
      <c r="I4438" s="510" t="s">
        <v>4249</v>
      </c>
      <c r="J4438" s="505" t="s">
        <v>96</v>
      </c>
      <c r="K4438" s="505" t="s">
        <v>2102</v>
      </c>
      <c r="L4438" s="505" t="s">
        <v>153</v>
      </c>
    </row>
    <row r="4439" spans="1:12" ht="15.6">
      <c r="A4439" s="526">
        <v>45984</v>
      </c>
      <c r="B4439" s="519" t="s">
        <v>4917</v>
      </c>
      <c r="C4439" s="519" t="s">
        <v>172</v>
      </c>
      <c r="D4439" s="510" t="s">
        <v>119</v>
      </c>
      <c r="E4439" s="542">
        <v>1000</v>
      </c>
      <c r="F4439" s="502">
        <f t="shared" si="70"/>
        <v>1.8744037053212446</v>
      </c>
      <c r="G4439" s="503">
        <v>533.50300000000004</v>
      </c>
      <c r="H4439" s="519" t="s">
        <v>315</v>
      </c>
      <c r="I4439" s="519" t="s">
        <v>4288</v>
      </c>
      <c r="J4439" s="505" t="s">
        <v>96</v>
      </c>
      <c r="K4439" s="505" t="s">
        <v>2102</v>
      </c>
      <c r="L4439" s="505" t="s">
        <v>153</v>
      </c>
    </row>
    <row r="4440" spans="1:12" ht="15.6">
      <c r="A4440" s="526">
        <v>45984</v>
      </c>
      <c r="B4440" s="519" t="s">
        <v>4984</v>
      </c>
      <c r="C4440" s="519" t="s">
        <v>172</v>
      </c>
      <c r="D4440" s="510" t="s">
        <v>119</v>
      </c>
      <c r="E4440" s="542">
        <v>1000</v>
      </c>
      <c r="F4440" s="502">
        <f t="shared" si="70"/>
        <v>1.8744037053212446</v>
      </c>
      <c r="G4440" s="503">
        <v>533.50300000000004</v>
      </c>
      <c r="H4440" s="519" t="s">
        <v>315</v>
      </c>
      <c r="I4440" s="519" t="s">
        <v>4288</v>
      </c>
      <c r="J4440" s="505" t="s">
        <v>96</v>
      </c>
      <c r="K4440" s="505" t="s">
        <v>2102</v>
      </c>
      <c r="L4440" s="505" t="s">
        <v>153</v>
      </c>
    </row>
    <row r="4441" spans="1:12" ht="15.6">
      <c r="A4441" s="529">
        <v>45984</v>
      </c>
      <c r="B4441" s="505" t="s">
        <v>4424</v>
      </c>
      <c r="C4441" s="298" t="s">
        <v>194</v>
      </c>
      <c r="D4441" s="298" t="s">
        <v>115</v>
      </c>
      <c r="E4441" s="555">
        <v>3000</v>
      </c>
      <c r="F4441" s="502">
        <f t="shared" si="70"/>
        <v>5.6232111159637332</v>
      </c>
      <c r="G4441" s="503">
        <v>533.50300000000004</v>
      </c>
      <c r="H4441" s="298" t="s">
        <v>435</v>
      </c>
      <c r="I4441" s="519" t="s">
        <v>4451</v>
      </c>
      <c r="J4441" s="505" t="s">
        <v>96</v>
      </c>
      <c r="K4441" s="505" t="s">
        <v>2102</v>
      </c>
      <c r="L4441" s="505" t="s">
        <v>153</v>
      </c>
    </row>
    <row r="4442" spans="1:12" ht="15.6">
      <c r="A4442" s="529">
        <v>45984</v>
      </c>
      <c r="B4442" s="505" t="s">
        <v>4425</v>
      </c>
      <c r="C4442" s="298" t="s">
        <v>194</v>
      </c>
      <c r="D4442" s="298" t="s">
        <v>115</v>
      </c>
      <c r="E4442" s="555">
        <v>500</v>
      </c>
      <c r="F4442" s="502">
        <f t="shared" si="70"/>
        <v>0.93720185266062228</v>
      </c>
      <c r="G4442" s="503">
        <v>533.50300000000004</v>
      </c>
      <c r="H4442" s="298" t="s">
        <v>435</v>
      </c>
      <c r="I4442" s="519" t="s">
        <v>4451</v>
      </c>
      <c r="J4442" s="505" t="s">
        <v>96</v>
      </c>
      <c r="K4442" s="505" t="s">
        <v>2102</v>
      </c>
      <c r="L4442" s="505" t="s">
        <v>153</v>
      </c>
    </row>
    <row r="4443" spans="1:12" ht="15.6">
      <c r="A4443" s="529">
        <v>45984</v>
      </c>
      <c r="B4443" s="505" t="s">
        <v>4426</v>
      </c>
      <c r="C4443" s="505" t="s">
        <v>175</v>
      </c>
      <c r="D4443" s="505" t="s">
        <v>115</v>
      </c>
      <c r="E4443" s="554">
        <v>70000</v>
      </c>
      <c r="F4443" s="502">
        <f t="shared" si="70"/>
        <v>131.20825937248711</v>
      </c>
      <c r="G4443" s="503">
        <v>533.50300000000004</v>
      </c>
      <c r="H4443" s="298" t="s">
        <v>435</v>
      </c>
      <c r="I4443" s="519" t="s">
        <v>4452</v>
      </c>
      <c r="J4443" s="505" t="s">
        <v>96</v>
      </c>
      <c r="K4443" s="505" t="s">
        <v>2102</v>
      </c>
      <c r="L4443" s="505" t="s">
        <v>153</v>
      </c>
    </row>
    <row r="4444" spans="1:12" ht="15.6">
      <c r="A4444" s="529">
        <v>45984</v>
      </c>
      <c r="B4444" s="505" t="s">
        <v>4427</v>
      </c>
      <c r="C4444" s="505" t="s">
        <v>175</v>
      </c>
      <c r="D4444" s="505" t="s">
        <v>115</v>
      </c>
      <c r="E4444" s="554">
        <v>15000</v>
      </c>
      <c r="F4444" s="502">
        <f t="shared" si="70"/>
        <v>28.116055579818667</v>
      </c>
      <c r="G4444" s="503">
        <v>533.50300000000004</v>
      </c>
      <c r="H4444" s="298" t="s">
        <v>435</v>
      </c>
      <c r="I4444" s="505" t="s">
        <v>4453</v>
      </c>
      <c r="J4444" s="505" t="s">
        <v>96</v>
      </c>
      <c r="K4444" s="505" t="s">
        <v>2102</v>
      </c>
      <c r="L4444" s="505" t="s">
        <v>153</v>
      </c>
    </row>
    <row r="4445" spans="1:12" ht="15.6">
      <c r="A4445" s="486">
        <v>45985</v>
      </c>
      <c r="B4445" s="478" t="s">
        <v>2103</v>
      </c>
      <c r="C4445" s="478" t="s">
        <v>172</v>
      </c>
      <c r="D4445" s="501" t="s">
        <v>117</v>
      </c>
      <c r="E4445" s="480">
        <v>1000</v>
      </c>
      <c r="F4445" s="502">
        <f t="shared" si="70"/>
        <v>1.8744037053212446</v>
      </c>
      <c r="G4445" s="503">
        <v>533.50300000000004</v>
      </c>
      <c r="H4445" s="504" t="s">
        <v>151</v>
      </c>
      <c r="I4445" s="478" t="s">
        <v>4133</v>
      </c>
      <c r="J4445" s="505" t="s">
        <v>96</v>
      </c>
      <c r="K4445" s="505" t="s">
        <v>2102</v>
      </c>
      <c r="L4445" s="505" t="s">
        <v>153</v>
      </c>
    </row>
    <row r="4446" spans="1:12" ht="15.6">
      <c r="A4446" s="486">
        <v>45985</v>
      </c>
      <c r="B4446" s="478" t="s">
        <v>2387</v>
      </c>
      <c r="C4446" s="478" t="s">
        <v>172</v>
      </c>
      <c r="D4446" s="501" t="s">
        <v>117</v>
      </c>
      <c r="E4446" s="480">
        <v>1000</v>
      </c>
      <c r="F4446" s="502">
        <f t="shared" si="70"/>
        <v>1.8744037053212446</v>
      </c>
      <c r="G4446" s="503">
        <v>533.50300000000004</v>
      </c>
      <c r="H4446" s="504" t="s">
        <v>151</v>
      </c>
      <c r="I4446" s="478" t="s">
        <v>4133</v>
      </c>
      <c r="J4446" s="505" t="s">
        <v>96</v>
      </c>
      <c r="K4446" s="505" t="s">
        <v>2102</v>
      </c>
      <c r="L4446" s="505" t="s">
        <v>153</v>
      </c>
    </row>
    <row r="4447" spans="1:12" ht="15.6">
      <c r="A4447" s="524">
        <v>45985</v>
      </c>
      <c r="B4447" s="525" t="s">
        <v>4759</v>
      </c>
      <c r="C4447" s="525" t="s">
        <v>175</v>
      </c>
      <c r="D4447" s="510" t="s">
        <v>119</v>
      </c>
      <c r="E4447" s="525">
        <v>150000</v>
      </c>
      <c r="F4447" s="502">
        <f t="shared" si="70"/>
        <v>281.16055579818669</v>
      </c>
      <c r="G4447" s="503">
        <v>533.50300000000004</v>
      </c>
      <c r="H4447" s="525" t="s">
        <v>182</v>
      </c>
      <c r="I4447" s="510" t="s">
        <v>4250</v>
      </c>
      <c r="J4447" s="505" t="s">
        <v>96</v>
      </c>
      <c r="K4447" s="505" t="s">
        <v>2102</v>
      </c>
      <c r="L4447" s="505" t="s">
        <v>153</v>
      </c>
    </row>
    <row r="4448" spans="1:12" ht="15.6">
      <c r="A4448" s="524">
        <v>45985</v>
      </c>
      <c r="B4448" s="525" t="s">
        <v>4880</v>
      </c>
      <c r="C4448" s="525" t="s">
        <v>172</v>
      </c>
      <c r="D4448" s="510" t="s">
        <v>119</v>
      </c>
      <c r="E4448" s="525">
        <v>1000</v>
      </c>
      <c r="F4448" s="502">
        <f t="shared" si="70"/>
        <v>1.8744037053212446</v>
      </c>
      <c r="G4448" s="503">
        <v>533.50300000000004</v>
      </c>
      <c r="H4448" s="525" t="s">
        <v>182</v>
      </c>
      <c r="I4448" s="525" t="s">
        <v>4237</v>
      </c>
      <c r="J4448" s="505" t="s">
        <v>96</v>
      </c>
      <c r="K4448" s="505" t="s">
        <v>2102</v>
      </c>
      <c r="L4448" s="505" t="s">
        <v>153</v>
      </c>
    </row>
    <row r="4449" spans="1:12" ht="15.6">
      <c r="A4449" s="524">
        <v>45985</v>
      </c>
      <c r="B4449" s="525" t="s">
        <v>4917</v>
      </c>
      <c r="C4449" s="525" t="s">
        <v>172</v>
      </c>
      <c r="D4449" s="510" t="s">
        <v>119</v>
      </c>
      <c r="E4449" s="525">
        <v>1500</v>
      </c>
      <c r="F4449" s="502">
        <f t="shared" si="70"/>
        <v>2.8116055579818666</v>
      </c>
      <c r="G4449" s="503">
        <v>533.50300000000004</v>
      </c>
      <c r="H4449" s="525" t="s">
        <v>182</v>
      </c>
      <c r="I4449" s="525" t="s">
        <v>4237</v>
      </c>
      <c r="J4449" s="505" t="s">
        <v>96</v>
      </c>
      <c r="K4449" s="505" t="s">
        <v>2102</v>
      </c>
      <c r="L4449" s="505" t="s">
        <v>153</v>
      </c>
    </row>
    <row r="4450" spans="1:12" ht="15.6">
      <c r="A4450" s="526">
        <v>45985</v>
      </c>
      <c r="B4450" s="519" t="s">
        <v>4876</v>
      </c>
      <c r="C4450" s="519" t="s">
        <v>172</v>
      </c>
      <c r="D4450" s="510" t="s">
        <v>119</v>
      </c>
      <c r="E4450" s="519">
        <v>1000</v>
      </c>
      <c r="F4450" s="502">
        <f t="shared" si="70"/>
        <v>1.8744037053212446</v>
      </c>
      <c r="G4450" s="503">
        <v>533.50300000000004</v>
      </c>
      <c r="H4450" s="519" t="s">
        <v>173</v>
      </c>
      <c r="I4450" s="519" t="s">
        <v>4263</v>
      </c>
      <c r="J4450" s="505" t="s">
        <v>96</v>
      </c>
      <c r="K4450" s="505" t="s">
        <v>2102</v>
      </c>
      <c r="L4450" s="505" t="s">
        <v>153</v>
      </c>
    </row>
    <row r="4451" spans="1:12" ht="15.6">
      <c r="A4451" s="526">
        <v>45985</v>
      </c>
      <c r="B4451" s="519" t="s">
        <v>4876</v>
      </c>
      <c r="C4451" s="519" t="s">
        <v>172</v>
      </c>
      <c r="D4451" s="510" t="s">
        <v>119</v>
      </c>
      <c r="E4451" s="519">
        <v>1000</v>
      </c>
      <c r="F4451" s="502">
        <f t="shared" si="70"/>
        <v>1.8744037053212446</v>
      </c>
      <c r="G4451" s="503">
        <v>533.50300000000004</v>
      </c>
      <c r="H4451" s="519" t="s">
        <v>173</v>
      </c>
      <c r="I4451" s="519" t="s">
        <v>4263</v>
      </c>
      <c r="J4451" s="505" t="s">
        <v>96</v>
      </c>
      <c r="K4451" s="505" t="s">
        <v>2102</v>
      </c>
      <c r="L4451" s="505" t="s">
        <v>153</v>
      </c>
    </row>
    <row r="4452" spans="1:12" ht="15.6">
      <c r="A4452" s="526">
        <v>45985</v>
      </c>
      <c r="B4452" s="519" t="s">
        <v>4762</v>
      </c>
      <c r="C4452" s="519" t="s">
        <v>175</v>
      </c>
      <c r="D4452" s="510" t="s">
        <v>119</v>
      </c>
      <c r="E4452" s="516">
        <v>150000</v>
      </c>
      <c r="F4452" s="502">
        <f t="shared" si="70"/>
        <v>281.16055579818669</v>
      </c>
      <c r="G4452" s="503">
        <v>533.50300000000004</v>
      </c>
      <c r="H4452" s="519" t="s">
        <v>315</v>
      </c>
      <c r="I4452" s="519" t="s">
        <v>4300</v>
      </c>
      <c r="J4452" s="505" t="s">
        <v>96</v>
      </c>
      <c r="K4452" s="505" t="s">
        <v>2102</v>
      </c>
      <c r="L4452" s="505" t="s">
        <v>153</v>
      </c>
    </row>
    <row r="4453" spans="1:12" ht="15.6">
      <c r="A4453" s="526">
        <v>45985</v>
      </c>
      <c r="B4453" s="519" t="s">
        <v>4917</v>
      </c>
      <c r="C4453" s="519" t="s">
        <v>172</v>
      </c>
      <c r="D4453" s="510" t="s">
        <v>119</v>
      </c>
      <c r="E4453" s="519">
        <v>1000</v>
      </c>
      <c r="F4453" s="502">
        <f t="shared" si="70"/>
        <v>1.8744037053212446</v>
      </c>
      <c r="G4453" s="503">
        <v>533.50300000000004</v>
      </c>
      <c r="H4453" s="519" t="s">
        <v>315</v>
      </c>
      <c r="I4453" s="519" t="s">
        <v>4288</v>
      </c>
      <c r="J4453" s="505" t="s">
        <v>96</v>
      </c>
      <c r="K4453" s="505" t="s">
        <v>2102</v>
      </c>
      <c r="L4453" s="505" t="s">
        <v>153</v>
      </c>
    </row>
    <row r="4454" spans="1:12" ht="15.6">
      <c r="A4454" s="526">
        <v>45985</v>
      </c>
      <c r="B4454" s="519" t="s">
        <v>4749</v>
      </c>
      <c r="C4454" s="519" t="s">
        <v>172</v>
      </c>
      <c r="D4454" s="510" t="s">
        <v>119</v>
      </c>
      <c r="E4454" s="516">
        <v>9000</v>
      </c>
      <c r="F4454" s="502">
        <f t="shared" si="70"/>
        <v>16.869633347891202</v>
      </c>
      <c r="G4454" s="503">
        <v>533.50300000000004</v>
      </c>
      <c r="H4454" s="519" t="s">
        <v>315</v>
      </c>
      <c r="I4454" s="519" t="s">
        <v>4301</v>
      </c>
      <c r="J4454" s="505" t="s">
        <v>96</v>
      </c>
      <c r="K4454" s="505" t="s">
        <v>2102</v>
      </c>
      <c r="L4454" s="505" t="s">
        <v>153</v>
      </c>
    </row>
    <row r="4455" spans="1:12" ht="15.6">
      <c r="A4455" s="526">
        <v>45985</v>
      </c>
      <c r="B4455" s="519" t="s">
        <v>4876</v>
      </c>
      <c r="C4455" s="519" t="s">
        <v>172</v>
      </c>
      <c r="D4455" s="510" t="s">
        <v>119</v>
      </c>
      <c r="E4455" s="519">
        <v>2500</v>
      </c>
      <c r="F4455" s="502">
        <f t="shared" si="70"/>
        <v>4.6860092633031112</v>
      </c>
      <c r="G4455" s="503">
        <v>533.50300000000004</v>
      </c>
      <c r="H4455" s="519" t="s">
        <v>315</v>
      </c>
      <c r="I4455" s="519" t="s">
        <v>4288</v>
      </c>
      <c r="J4455" s="505" t="s">
        <v>96</v>
      </c>
      <c r="K4455" s="505" t="s">
        <v>2102</v>
      </c>
      <c r="L4455" s="505" t="s">
        <v>153</v>
      </c>
    </row>
    <row r="4456" spans="1:12" ht="15.6">
      <c r="A4456" s="515">
        <v>45985</v>
      </c>
      <c r="B4456" s="519" t="s">
        <v>4403</v>
      </c>
      <c r="C4456" s="505" t="s">
        <v>172</v>
      </c>
      <c r="D4456" s="519" t="s">
        <v>115</v>
      </c>
      <c r="E4456" s="528">
        <v>1000</v>
      </c>
      <c r="F4456" s="502">
        <f t="shared" si="70"/>
        <v>1.8744037053212446</v>
      </c>
      <c r="G4456" s="503">
        <v>533.50300000000004</v>
      </c>
      <c r="H4456" s="505" t="s">
        <v>191</v>
      </c>
      <c r="I4456" s="519" t="s">
        <v>4405</v>
      </c>
      <c r="J4456" s="505" t="s">
        <v>96</v>
      </c>
      <c r="K4456" s="505" t="s">
        <v>2102</v>
      </c>
      <c r="L4456" s="505" t="s">
        <v>153</v>
      </c>
    </row>
    <row r="4457" spans="1:12" ht="15.6">
      <c r="A4457" s="515">
        <v>45985</v>
      </c>
      <c r="B4457" s="519" t="s">
        <v>4404</v>
      </c>
      <c r="C4457" s="505" t="s">
        <v>172</v>
      </c>
      <c r="D4457" s="519" t="s">
        <v>115</v>
      </c>
      <c r="E4457" s="528">
        <v>1000</v>
      </c>
      <c r="F4457" s="502">
        <f t="shared" si="70"/>
        <v>1.8744037053212446</v>
      </c>
      <c r="G4457" s="503">
        <v>533.50300000000004</v>
      </c>
      <c r="H4457" s="505" t="s">
        <v>191</v>
      </c>
      <c r="I4457" s="519" t="s">
        <v>4405</v>
      </c>
      <c r="J4457" s="505" t="s">
        <v>96</v>
      </c>
      <c r="K4457" s="505" t="s">
        <v>2102</v>
      </c>
      <c r="L4457" s="505" t="s">
        <v>153</v>
      </c>
    </row>
    <row r="4458" spans="1:12" ht="15.6">
      <c r="A4458" s="529">
        <v>45985</v>
      </c>
      <c r="B4458" s="505" t="s">
        <v>4428</v>
      </c>
      <c r="C4458" s="298" t="s">
        <v>194</v>
      </c>
      <c r="D4458" s="298" t="s">
        <v>115</v>
      </c>
      <c r="E4458" s="521">
        <v>500</v>
      </c>
      <c r="F4458" s="502">
        <f t="shared" si="70"/>
        <v>0.93720185266062228</v>
      </c>
      <c r="G4458" s="503">
        <v>533.50300000000004</v>
      </c>
      <c r="H4458" s="298" t="s">
        <v>435</v>
      </c>
      <c r="I4458" s="519" t="s">
        <v>4451</v>
      </c>
      <c r="J4458" s="505" t="s">
        <v>96</v>
      </c>
      <c r="K4458" s="505" t="s">
        <v>2102</v>
      </c>
      <c r="L4458" s="505" t="s">
        <v>153</v>
      </c>
    </row>
    <row r="4459" spans="1:12" ht="15.6">
      <c r="A4459" s="529">
        <v>45985</v>
      </c>
      <c r="B4459" s="505" t="s">
        <v>2626</v>
      </c>
      <c r="C4459" s="298" t="s">
        <v>194</v>
      </c>
      <c r="D4459" s="298" t="s">
        <v>115</v>
      </c>
      <c r="E4459" s="521">
        <v>500</v>
      </c>
      <c r="F4459" s="502">
        <f t="shared" ref="F4459:F4522" si="71">E4459/G4459</f>
        <v>0.93720185266062228</v>
      </c>
      <c r="G4459" s="503">
        <v>533.50300000000004</v>
      </c>
      <c r="H4459" s="298" t="s">
        <v>435</v>
      </c>
      <c r="I4459" s="519" t="s">
        <v>4451</v>
      </c>
      <c r="J4459" s="505" t="s">
        <v>96</v>
      </c>
      <c r="K4459" s="505" t="s">
        <v>2102</v>
      </c>
      <c r="L4459" s="505" t="s">
        <v>153</v>
      </c>
    </row>
    <row r="4460" spans="1:12" ht="15.6">
      <c r="A4460" s="529">
        <v>45985</v>
      </c>
      <c r="B4460" s="505" t="s">
        <v>4429</v>
      </c>
      <c r="C4460" s="505" t="s">
        <v>175</v>
      </c>
      <c r="D4460" s="505" t="s">
        <v>115</v>
      </c>
      <c r="E4460" s="530">
        <v>15000</v>
      </c>
      <c r="F4460" s="502">
        <f t="shared" si="71"/>
        <v>28.116055579818667</v>
      </c>
      <c r="G4460" s="503">
        <v>533.50300000000004</v>
      </c>
      <c r="H4460" s="298" t="s">
        <v>435</v>
      </c>
      <c r="I4460" s="505" t="s">
        <v>4454</v>
      </c>
      <c r="J4460" s="505" t="s">
        <v>96</v>
      </c>
      <c r="K4460" s="505" t="s">
        <v>2102</v>
      </c>
      <c r="L4460" s="505" t="s">
        <v>153</v>
      </c>
    </row>
    <row r="4461" spans="1:12" ht="15.6">
      <c r="A4461" s="541">
        <v>45985</v>
      </c>
      <c r="B4461" s="549" t="s">
        <v>4704</v>
      </c>
      <c r="C4461" s="519" t="s">
        <v>121</v>
      </c>
      <c r="D4461" s="519" t="s">
        <v>115</v>
      </c>
      <c r="E4461" s="518">
        <v>200000</v>
      </c>
      <c r="F4461" s="502">
        <f t="shared" si="71"/>
        <v>374.88074106424892</v>
      </c>
      <c r="G4461" s="503">
        <v>533.50300000000004</v>
      </c>
      <c r="H4461" s="76" t="s">
        <v>146</v>
      </c>
      <c r="I4461" s="125" t="s">
        <v>4714</v>
      </c>
      <c r="J4461" s="505" t="s">
        <v>96</v>
      </c>
      <c r="K4461" s="505" t="s">
        <v>2102</v>
      </c>
      <c r="L4461" s="505" t="s">
        <v>153</v>
      </c>
    </row>
    <row r="4462" spans="1:12" ht="15.6">
      <c r="A4462" s="541">
        <v>45985</v>
      </c>
      <c r="B4462" s="549" t="s">
        <v>4705</v>
      </c>
      <c r="C4462" s="519" t="s">
        <v>121</v>
      </c>
      <c r="D4462" s="519" t="s">
        <v>115</v>
      </c>
      <c r="E4462" s="518">
        <v>300000</v>
      </c>
      <c r="F4462" s="502">
        <f t="shared" si="71"/>
        <v>562.32111159637338</v>
      </c>
      <c r="G4462" s="503">
        <v>533.50300000000004</v>
      </c>
      <c r="H4462" s="76" t="s">
        <v>146</v>
      </c>
      <c r="I4462" s="125" t="s">
        <v>4715</v>
      </c>
      <c r="J4462" s="505" t="s">
        <v>96</v>
      </c>
      <c r="K4462" s="505" t="s">
        <v>2102</v>
      </c>
      <c r="L4462" s="505" t="s">
        <v>153</v>
      </c>
    </row>
    <row r="4463" spans="1:12" ht="15.6">
      <c r="A4463" s="486">
        <v>45986</v>
      </c>
      <c r="B4463" s="478" t="s">
        <v>2106</v>
      </c>
      <c r="C4463" s="478" t="s">
        <v>172</v>
      </c>
      <c r="D4463" s="501" t="s">
        <v>117</v>
      </c>
      <c r="E4463" s="480">
        <v>1000</v>
      </c>
      <c r="F4463" s="502">
        <f t="shared" si="71"/>
        <v>1.8744037053212446</v>
      </c>
      <c r="G4463" s="503">
        <v>533.50300000000004</v>
      </c>
      <c r="H4463" s="504" t="s">
        <v>151</v>
      </c>
      <c r="I4463" s="478" t="s">
        <v>4133</v>
      </c>
      <c r="J4463" s="505" t="s">
        <v>96</v>
      </c>
      <c r="K4463" s="505" t="s">
        <v>2102</v>
      </c>
      <c r="L4463" s="505" t="s">
        <v>153</v>
      </c>
    </row>
    <row r="4464" spans="1:12" ht="15.6">
      <c r="A4464" s="486">
        <v>45986</v>
      </c>
      <c r="B4464" s="478" t="s">
        <v>2387</v>
      </c>
      <c r="C4464" s="478" t="s">
        <v>172</v>
      </c>
      <c r="D4464" s="501" t="s">
        <v>117</v>
      </c>
      <c r="E4464" s="480">
        <v>1000</v>
      </c>
      <c r="F4464" s="502">
        <f t="shared" si="71"/>
        <v>1.8744037053212446</v>
      </c>
      <c r="G4464" s="503">
        <v>533.50300000000004</v>
      </c>
      <c r="H4464" s="504" t="s">
        <v>151</v>
      </c>
      <c r="I4464" s="478" t="s">
        <v>4133</v>
      </c>
      <c r="J4464" s="505" t="s">
        <v>96</v>
      </c>
      <c r="K4464" s="505" t="s">
        <v>2102</v>
      </c>
      <c r="L4464" s="505" t="s">
        <v>153</v>
      </c>
    </row>
    <row r="4465" spans="1:12" ht="15.6">
      <c r="A4465" s="517">
        <v>45986</v>
      </c>
      <c r="B4465" s="519" t="s">
        <v>4198</v>
      </c>
      <c r="C4465" s="519" t="s">
        <v>172</v>
      </c>
      <c r="D4465" s="519" t="s">
        <v>116</v>
      </c>
      <c r="E4465" s="520">
        <v>1000</v>
      </c>
      <c r="F4465" s="502">
        <f t="shared" si="71"/>
        <v>1.8744037053212446</v>
      </c>
      <c r="G4465" s="503">
        <v>533.50300000000004</v>
      </c>
      <c r="H4465" s="519" t="s">
        <v>581</v>
      </c>
      <c r="I4465" s="519" t="s">
        <v>4213</v>
      </c>
      <c r="J4465" s="505" t="s">
        <v>96</v>
      </c>
      <c r="K4465" s="505" t="s">
        <v>2102</v>
      </c>
      <c r="L4465" s="505" t="s">
        <v>153</v>
      </c>
    </row>
    <row r="4466" spans="1:12" ht="15.6">
      <c r="A4466" s="517">
        <v>45986</v>
      </c>
      <c r="B4466" s="519" t="s">
        <v>4201</v>
      </c>
      <c r="C4466" s="519" t="s">
        <v>172</v>
      </c>
      <c r="D4466" s="519" t="s">
        <v>116</v>
      </c>
      <c r="E4466" s="520">
        <v>1000</v>
      </c>
      <c r="F4466" s="502">
        <f t="shared" si="71"/>
        <v>1.8744037053212446</v>
      </c>
      <c r="G4466" s="503">
        <v>533.50300000000004</v>
      </c>
      <c r="H4466" s="519" t="s">
        <v>581</v>
      </c>
      <c r="I4466" s="519" t="s">
        <v>4213</v>
      </c>
      <c r="J4466" s="505" t="s">
        <v>96</v>
      </c>
      <c r="K4466" s="505" t="s">
        <v>2102</v>
      </c>
      <c r="L4466" s="505" t="s">
        <v>153</v>
      </c>
    </row>
    <row r="4467" spans="1:12" ht="15.6">
      <c r="A4467" s="526">
        <v>45986</v>
      </c>
      <c r="B4467" s="519" t="s">
        <v>4357</v>
      </c>
      <c r="C4467" s="519" t="s">
        <v>172</v>
      </c>
      <c r="D4467" s="519" t="s">
        <v>115</v>
      </c>
      <c r="E4467" s="520">
        <v>1000</v>
      </c>
      <c r="F4467" s="502">
        <f t="shared" si="71"/>
        <v>1.8744037053212446</v>
      </c>
      <c r="G4467" s="503">
        <v>533.50300000000004</v>
      </c>
      <c r="H4467" s="519" t="s">
        <v>188</v>
      </c>
      <c r="I4467" s="519" t="s">
        <v>4359</v>
      </c>
      <c r="J4467" s="505" t="s">
        <v>96</v>
      </c>
      <c r="K4467" s="505" t="s">
        <v>2102</v>
      </c>
      <c r="L4467" s="505" t="s">
        <v>153</v>
      </c>
    </row>
    <row r="4468" spans="1:12" ht="15.6">
      <c r="A4468" s="526">
        <v>45986</v>
      </c>
      <c r="B4468" s="519" t="s">
        <v>4358</v>
      </c>
      <c r="C4468" s="519" t="s">
        <v>172</v>
      </c>
      <c r="D4468" s="519" t="s">
        <v>115</v>
      </c>
      <c r="E4468" s="520">
        <v>1000</v>
      </c>
      <c r="F4468" s="502">
        <f t="shared" si="71"/>
        <v>1.8744037053212446</v>
      </c>
      <c r="G4468" s="503">
        <v>533.50300000000004</v>
      </c>
      <c r="H4468" s="519" t="s">
        <v>188</v>
      </c>
      <c r="I4468" s="519" t="s">
        <v>4359</v>
      </c>
      <c r="J4468" s="505" t="s">
        <v>96</v>
      </c>
      <c r="K4468" s="505" t="s">
        <v>2102</v>
      </c>
      <c r="L4468" s="505" t="s">
        <v>153</v>
      </c>
    </row>
    <row r="4469" spans="1:12" ht="15.6">
      <c r="A4469" s="529">
        <v>45986</v>
      </c>
      <c r="B4469" s="505" t="s">
        <v>2628</v>
      </c>
      <c r="C4469" s="298" t="s">
        <v>194</v>
      </c>
      <c r="D4469" s="298" t="s">
        <v>115</v>
      </c>
      <c r="E4469" s="521">
        <v>500</v>
      </c>
      <c r="F4469" s="502">
        <f t="shared" si="71"/>
        <v>0.93720185266062228</v>
      </c>
      <c r="G4469" s="503">
        <v>533.50300000000004</v>
      </c>
      <c r="H4469" s="298" t="s">
        <v>435</v>
      </c>
      <c r="I4469" s="519" t="s">
        <v>4451</v>
      </c>
      <c r="J4469" s="505" t="s">
        <v>96</v>
      </c>
      <c r="K4469" s="505" t="s">
        <v>2102</v>
      </c>
      <c r="L4469" s="505" t="s">
        <v>153</v>
      </c>
    </row>
    <row r="4470" spans="1:12" ht="15.6">
      <c r="A4470" s="529">
        <v>45986</v>
      </c>
      <c r="B4470" s="505" t="s">
        <v>2629</v>
      </c>
      <c r="C4470" s="298" t="s">
        <v>194</v>
      </c>
      <c r="D4470" s="298" t="s">
        <v>115</v>
      </c>
      <c r="E4470" s="521">
        <v>500</v>
      </c>
      <c r="F4470" s="502">
        <f t="shared" si="71"/>
        <v>0.93720185266062228</v>
      </c>
      <c r="G4470" s="503">
        <v>533.50300000000004</v>
      </c>
      <c r="H4470" s="298" t="s">
        <v>435</v>
      </c>
      <c r="I4470" s="519" t="s">
        <v>4451</v>
      </c>
      <c r="J4470" s="505" t="s">
        <v>96</v>
      </c>
      <c r="K4470" s="505" t="s">
        <v>2102</v>
      </c>
      <c r="L4470" s="505" t="s">
        <v>153</v>
      </c>
    </row>
    <row r="4471" spans="1:12" ht="15.6">
      <c r="A4471" s="515">
        <v>45986</v>
      </c>
      <c r="B4471" s="505" t="s">
        <v>4536</v>
      </c>
      <c r="C4471" s="505" t="s">
        <v>2092</v>
      </c>
      <c r="D4471" s="516" t="s">
        <v>118</v>
      </c>
      <c r="E4471" s="518">
        <v>10000</v>
      </c>
      <c r="F4471" s="502">
        <f t="shared" si="71"/>
        <v>18.744037053212445</v>
      </c>
      <c r="G4471" s="503">
        <v>533.50300000000004</v>
      </c>
      <c r="H4471" s="519" t="s">
        <v>211</v>
      </c>
      <c r="I4471" s="505" t="s">
        <v>4572</v>
      </c>
      <c r="J4471" s="505" t="s">
        <v>96</v>
      </c>
      <c r="K4471" s="505" t="s">
        <v>2102</v>
      </c>
      <c r="L4471" s="505" t="s">
        <v>153</v>
      </c>
    </row>
    <row r="4472" spans="1:12" ht="15.6">
      <c r="A4472" s="515">
        <v>45986</v>
      </c>
      <c r="B4472" s="505" t="s">
        <v>4537</v>
      </c>
      <c r="C4472" s="505" t="s">
        <v>2092</v>
      </c>
      <c r="D4472" s="516" t="s">
        <v>118</v>
      </c>
      <c r="E4472" s="518">
        <v>10000</v>
      </c>
      <c r="F4472" s="502">
        <f t="shared" si="71"/>
        <v>18.744037053212445</v>
      </c>
      <c r="G4472" s="503">
        <v>533.50300000000004</v>
      </c>
      <c r="H4472" s="519" t="s">
        <v>211</v>
      </c>
      <c r="I4472" s="505" t="s">
        <v>4572</v>
      </c>
      <c r="J4472" s="505" t="s">
        <v>96</v>
      </c>
      <c r="K4472" s="505" t="s">
        <v>2102</v>
      </c>
      <c r="L4472" s="505" t="s">
        <v>153</v>
      </c>
    </row>
    <row r="4473" spans="1:12" ht="15.6">
      <c r="A4473" s="515">
        <v>45986</v>
      </c>
      <c r="B4473" s="505" t="s">
        <v>4538</v>
      </c>
      <c r="C4473" s="505" t="s">
        <v>2092</v>
      </c>
      <c r="D4473" s="516" t="s">
        <v>118</v>
      </c>
      <c r="E4473" s="518">
        <v>10000</v>
      </c>
      <c r="F4473" s="502">
        <f t="shared" si="71"/>
        <v>18.744037053212445</v>
      </c>
      <c r="G4473" s="503">
        <v>533.50300000000004</v>
      </c>
      <c r="H4473" s="519" t="s">
        <v>211</v>
      </c>
      <c r="I4473" s="505" t="s">
        <v>4572</v>
      </c>
      <c r="J4473" s="505" t="s">
        <v>96</v>
      </c>
      <c r="K4473" s="505" t="s">
        <v>2102</v>
      </c>
      <c r="L4473" s="505" t="s">
        <v>153</v>
      </c>
    </row>
    <row r="4474" spans="1:12" ht="15.6">
      <c r="A4474" s="515">
        <v>45986</v>
      </c>
      <c r="B4474" s="505" t="s">
        <v>4539</v>
      </c>
      <c r="C4474" s="505" t="s">
        <v>2092</v>
      </c>
      <c r="D4474" s="516" t="s">
        <v>118</v>
      </c>
      <c r="E4474" s="518">
        <v>10000</v>
      </c>
      <c r="F4474" s="502">
        <f t="shared" si="71"/>
        <v>18.744037053212445</v>
      </c>
      <c r="G4474" s="503">
        <v>533.50300000000004</v>
      </c>
      <c r="H4474" s="505" t="s">
        <v>211</v>
      </c>
      <c r="I4474" s="505" t="s">
        <v>4572</v>
      </c>
      <c r="J4474" s="505" t="s">
        <v>96</v>
      </c>
      <c r="K4474" s="505" t="s">
        <v>2102</v>
      </c>
      <c r="L4474" s="505" t="s">
        <v>153</v>
      </c>
    </row>
    <row r="4475" spans="1:12" ht="15.6">
      <c r="A4475" s="515">
        <v>45986</v>
      </c>
      <c r="B4475" s="505" t="s">
        <v>4540</v>
      </c>
      <c r="C4475" s="505" t="s">
        <v>2092</v>
      </c>
      <c r="D4475" s="516" t="s">
        <v>118</v>
      </c>
      <c r="E4475" s="518">
        <v>10000</v>
      </c>
      <c r="F4475" s="502">
        <f t="shared" si="71"/>
        <v>18.744037053212445</v>
      </c>
      <c r="G4475" s="503">
        <v>533.50300000000004</v>
      </c>
      <c r="H4475" s="505" t="s">
        <v>211</v>
      </c>
      <c r="I4475" s="505" t="s">
        <v>4572</v>
      </c>
      <c r="J4475" s="505" t="s">
        <v>96</v>
      </c>
      <c r="K4475" s="505" t="s">
        <v>2102</v>
      </c>
      <c r="L4475" s="505" t="s">
        <v>153</v>
      </c>
    </row>
    <row r="4476" spans="1:12" ht="15.6">
      <c r="A4476" s="515">
        <v>45986</v>
      </c>
      <c r="B4476" s="505" t="s">
        <v>4541</v>
      </c>
      <c r="C4476" s="505" t="s">
        <v>2092</v>
      </c>
      <c r="D4476" s="516" t="s">
        <v>118</v>
      </c>
      <c r="E4476" s="518">
        <v>6000</v>
      </c>
      <c r="F4476" s="502">
        <f t="shared" si="71"/>
        <v>11.246422231927466</v>
      </c>
      <c r="G4476" s="503">
        <v>533.50300000000004</v>
      </c>
      <c r="H4476" s="519" t="s">
        <v>211</v>
      </c>
      <c r="I4476" s="505" t="s">
        <v>4573</v>
      </c>
      <c r="J4476" s="505" t="s">
        <v>96</v>
      </c>
      <c r="K4476" s="505" t="s">
        <v>2102</v>
      </c>
      <c r="L4476" s="505" t="s">
        <v>153</v>
      </c>
    </row>
    <row r="4477" spans="1:12" ht="15.6">
      <c r="A4477" s="515">
        <v>45986</v>
      </c>
      <c r="B4477" s="505" t="s">
        <v>4542</v>
      </c>
      <c r="C4477" s="505" t="s">
        <v>2092</v>
      </c>
      <c r="D4477" s="516" t="s">
        <v>118</v>
      </c>
      <c r="E4477" s="518">
        <v>6000</v>
      </c>
      <c r="F4477" s="502">
        <f t="shared" si="71"/>
        <v>11.246422231927466</v>
      </c>
      <c r="G4477" s="503">
        <v>533.50300000000004</v>
      </c>
      <c r="H4477" s="519" t="s">
        <v>211</v>
      </c>
      <c r="I4477" s="505" t="s">
        <v>4573</v>
      </c>
      <c r="J4477" s="505" t="s">
        <v>96</v>
      </c>
      <c r="K4477" s="505" t="s">
        <v>2102</v>
      </c>
      <c r="L4477" s="505" t="s">
        <v>153</v>
      </c>
    </row>
    <row r="4478" spans="1:12" ht="15.6">
      <c r="A4478" s="515">
        <v>45986</v>
      </c>
      <c r="B4478" s="505" t="s">
        <v>4543</v>
      </c>
      <c r="C4478" s="505" t="s">
        <v>2092</v>
      </c>
      <c r="D4478" s="516" t="s">
        <v>118</v>
      </c>
      <c r="E4478" s="518">
        <v>6000</v>
      </c>
      <c r="F4478" s="502">
        <f t="shared" si="71"/>
        <v>11.246422231927466</v>
      </c>
      <c r="G4478" s="503">
        <v>533.50300000000004</v>
      </c>
      <c r="H4478" s="519" t="s">
        <v>211</v>
      </c>
      <c r="I4478" s="505" t="s">
        <v>4573</v>
      </c>
      <c r="J4478" s="505" t="s">
        <v>96</v>
      </c>
      <c r="K4478" s="505" t="s">
        <v>2102</v>
      </c>
      <c r="L4478" s="505" t="s">
        <v>153</v>
      </c>
    </row>
    <row r="4479" spans="1:12" ht="15.6">
      <c r="A4479" s="515">
        <v>45986</v>
      </c>
      <c r="B4479" s="505" t="s">
        <v>4544</v>
      </c>
      <c r="C4479" s="505" t="s">
        <v>2092</v>
      </c>
      <c r="D4479" s="516" t="s">
        <v>118</v>
      </c>
      <c r="E4479" s="518">
        <v>6000</v>
      </c>
      <c r="F4479" s="502">
        <f t="shared" si="71"/>
        <v>11.246422231927466</v>
      </c>
      <c r="G4479" s="503">
        <v>533.50300000000004</v>
      </c>
      <c r="H4479" s="519" t="s">
        <v>211</v>
      </c>
      <c r="I4479" s="505" t="s">
        <v>4573</v>
      </c>
      <c r="J4479" s="505" t="s">
        <v>96</v>
      </c>
      <c r="K4479" s="505" t="s">
        <v>2102</v>
      </c>
      <c r="L4479" s="505" t="s">
        <v>153</v>
      </c>
    </row>
    <row r="4480" spans="1:12" ht="15.6">
      <c r="A4480" s="515">
        <v>45986</v>
      </c>
      <c r="B4480" s="505" t="s">
        <v>4545</v>
      </c>
      <c r="C4480" s="505" t="s">
        <v>2092</v>
      </c>
      <c r="D4480" s="516" t="s">
        <v>118</v>
      </c>
      <c r="E4480" s="518">
        <v>6000</v>
      </c>
      <c r="F4480" s="502">
        <f t="shared" si="71"/>
        <v>11.246422231927466</v>
      </c>
      <c r="G4480" s="503">
        <v>533.50300000000004</v>
      </c>
      <c r="H4480" s="519" t="s">
        <v>211</v>
      </c>
      <c r="I4480" s="505" t="s">
        <v>4573</v>
      </c>
      <c r="J4480" s="505" t="s">
        <v>96</v>
      </c>
      <c r="K4480" s="505" t="s">
        <v>2102</v>
      </c>
      <c r="L4480" s="505" t="s">
        <v>153</v>
      </c>
    </row>
    <row r="4481" spans="1:12" ht="15.6">
      <c r="A4481" s="515">
        <v>45986</v>
      </c>
      <c r="B4481" s="505" t="s">
        <v>4546</v>
      </c>
      <c r="C4481" s="505" t="s">
        <v>2092</v>
      </c>
      <c r="D4481" s="516" t="s">
        <v>118</v>
      </c>
      <c r="E4481" s="518">
        <v>6000</v>
      </c>
      <c r="F4481" s="502">
        <f t="shared" si="71"/>
        <v>11.246422231927466</v>
      </c>
      <c r="G4481" s="503">
        <v>533.50300000000004</v>
      </c>
      <c r="H4481" s="519" t="s">
        <v>211</v>
      </c>
      <c r="I4481" s="505" t="s">
        <v>4573</v>
      </c>
      <c r="J4481" s="505" t="s">
        <v>96</v>
      </c>
      <c r="K4481" s="505" t="s">
        <v>2102</v>
      </c>
      <c r="L4481" s="505" t="s">
        <v>153</v>
      </c>
    </row>
    <row r="4482" spans="1:12" ht="15.6">
      <c r="A4482" s="515">
        <v>45986</v>
      </c>
      <c r="B4482" s="505" t="s">
        <v>4547</v>
      </c>
      <c r="C4482" s="505" t="s">
        <v>2092</v>
      </c>
      <c r="D4482" s="516" t="s">
        <v>118</v>
      </c>
      <c r="E4482" s="518">
        <v>6000</v>
      </c>
      <c r="F4482" s="502">
        <f t="shared" si="71"/>
        <v>11.246422231927466</v>
      </c>
      <c r="G4482" s="503">
        <v>533.50300000000004</v>
      </c>
      <c r="H4482" s="519" t="s">
        <v>211</v>
      </c>
      <c r="I4482" s="505" t="s">
        <v>4573</v>
      </c>
      <c r="J4482" s="505" t="s">
        <v>96</v>
      </c>
      <c r="K4482" s="505" t="s">
        <v>2102</v>
      </c>
      <c r="L4482" s="505" t="s">
        <v>153</v>
      </c>
    </row>
    <row r="4483" spans="1:12" ht="15.6">
      <c r="A4483" s="515">
        <v>45986</v>
      </c>
      <c r="B4483" s="505" t="s">
        <v>4548</v>
      </c>
      <c r="C4483" s="505" t="s">
        <v>2092</v>
      </c>
      <c r="D4483" s="516" t="s">
        <v>118</v>
      </c>
      <c r="E4483" s="518">
        <v>6000</v>
      </c>
      <c r="F4483" s="502">
        <f t="shared" si="71"/>
        <v>11.246422231927466</v>
      </c>
      <c r="G4483" s="503">
        <v>533.50300000000004</v>
      </c>
      <c r="H4483" s="519" t="s">
        <v>211</v>
      </c>
      <c r="I4483" s="505" t="s">
        <v>4573</v>
      </c>
      <c r="J4483" s="505" t="s">
        <v>96</v>
      </c>
      <c r="K4483" s="505" t="s">
        <v>2102</v>
      </c>
      <c r="L4483" s="505" t="s">
        <v>153</v>
      </c>
    </row>
    <row r="4484" spans="1:12" ht="15.6">
      <c r="A4484" s="515">
        <v>45986</v>
      </c>
      <c r="B4484" s="505" t="s">
        <v>4549</v>
      </c>
      <c r="C4484" s="505" t="s">
        <v>2092</v>
      </c>
      <c r="D4484" s="516" t="s">
        <v>118</v>
      </c>
      <c r="E4484" s="518">
        <v>6000</v>
      </c>
      <c r="F4484" s="502">
        <f t="shared" si="71"/>
        <v>11.246422231927466</v>
      </c>
      <c r="G4484" s="503">
        <v>533.50300000000004</v>
      </c>
      <c r="H4484" s="519" t="s">
        <v>211</v>
      </c>
      <c r="I4484" s="505" t="s">
        <v>4573</v>
      </c>
      <c r="J4484" s="505" t="s">
        <v>96</v>
      </c>
      <c r="K4484" s="505" t="s">
        <v>2102</v>
      </c>
      <c r="L4484" s="505" t="s">
        <v>153</v>
      </c>
    </row>
    <row r="4485" spans="1:12" ht="15.6">
      <c r="A4485" s="515">
        <v>45986</v>
      </c>
      <c r="B4485" s="505" t="s">
        <v>4550</v>
      </c>
      <c r="C4485" s="505" t="s">
        <v>2092</v>
      </c>
      <c r="D4485" s="516" t="s">
        <v>118</v>
      </c>
      <c r="E4485" s="518">
        <v>6000</v>
      </c>
      <c r="F4485" s="502">
        <f t="shared" si="71"/>
        <v>11.246422231927466</v>
      </c>
      <c r="G4485" s="503">
        <v>533.50300000000004</v>
      </c>
      <c r="H4485" s="519" t="s">
        <v>211</v>
      </c>
      <c r="I4485" s="505" t="s">
        <v>4573</v>
      </c>
      <c r="J4485" s="505" t="s">
        <v>96</v>
      </c>
      <c r="K4485" s="505" t="s">
        <v>2102</v>
      </c>
      <c r="L4485" s="505" t="s">
        <v>153</v>
      </c>
    </row>
    <row r="4486" spans="1:12" ht="15.6">
      <c r="A4486" s="515">
        <v>45986</v>
      </c>
      <c r="B4486" s="505" t="s">
        <v>4551</v>
      </c>
      <c r="C4486" s="505" t="s">
        <v>2092</v>
      </c>
      <c r="D4486" s="516" t="s">
        <v>118</v>
      </c>
      <c r="E4486" s="518">
        <v>6000</v>
      </c>
      <c r="F4486" s="502">
        <f t="shared" si="71"/>
        <v>11.246422231927466</v>
      </c>
      <c r="G4486" s="503">
        <v>533.50300000000004</v>
      </c>
      <c r="H4486" s="519" t="s">
        <v>211</v>
      </c>
      <c r="I4486" s="505" t="s">
        <v>4573</v>
      </c>
      <c r="J4486" s="505" t="s">
        <v>96</v>
      </c>
      <c r="K4486" s="505" t="s">
        <v>2102</v>
      </c>
      <c r="L4486" s="505" t="s">
        <v>153</v>
      </c>
    </row>
    <row r="4487" spans="1:12" ht="15.6">
      <c r="A4487" s="515">
        <v>45986</v>
      </c>
      <c r="B4487" s="505" t="s">
        <v>4552</v>
      </c>
      <c r="C4487" s="505" t="s">
        <v>2092</v>
      </c>
      <c r="D4487" s="516" t="s">
        <v>118</v>
      </c>
      <c r="E4487" s="518">
        <v>6000</v>
      </c>
      <c r="F4487" s="502">
        <f t="shared" si="71"/>
        <v>11.246422231927466</v>
      </c>
      <c r="G4487" s="503">
        <v>533.50300000000004</v>
      </c>
      <c r="H4487" s="519" t="s">
        <v>211</v>
      </c>
      <c r="I4487" s="505" t="s">
        <v>4573</v>
      </c>
      <c r="J4487" s="505" t="s">
        <v>96</v>
      </c>
      <c r="K4487" s="505" t="s">
        <v>2102</v>
      </c>
      <c r="L4487" s="505" t="s">
        <v>153</v>
      </c>
    </row>
    <row r="4488" spans="1:12" ht="15.6">
      <c r="A4488" s="532">
        <v>45986</v>
      </c>
      <c r="B4488" s="516" t="s">
        <v>3854</v>
      </c>
      <c r="C4488" s="516" t="s">
        <v>172</v>
      </c>
      <c r="D4488" s="516" t="s">
        <v>118</v>
      </c>
      <c r="E4488" s="533">
        <v>1000</v>
      </c>
      <c r="F4488" s="502">
        <f t="shared" si="71"/>
        <v>1.8744037053212446</v>
      </c>
      <c r="G4488" s="503">
        <v>533.50300000000004</v>
      </c>
      <c r="H4488" s="516" t="s">
        <v>211</v>
      </c>
      <c r="I4488" s="516" t="s">
        <v>4559</v>
      </c>
      <c r="J4488" s="505" t="s">
        <v>96</v>
      </c>
      <c r="K4488" s="505" t="s">
        <v>2102</v>
      </c>
      <c r="L4488" s="505" t="s">
        <v>153</v>
      </c>
    </row>
    <row r="4489" spans="1:12" ht="15.6">
      <c r="A4489" s="532">
        <v>45986</v>
      </c>
      <c r="B4489" s="516" t="s">
        <v>2230</v>
      </c>
      <c r="C4489" s="516" t="s">
        <v>172</v>
      </c>
      <c r="D4489" s="516" t="s">
        <v>118</v>
      </c>
      <c r="E4489" s="533">
        <v>1000</v>
      </c>
      <c r="F4489" s="502">
        <f t="shared" si="71"/>
        <v>1.8744037053212446</v>
      </c>
      <c r="G4489" s="503">
        <v>533.50300000000004</v>
      </c>
      <c r="H4489" s="516" t="s">
        <v>211</v>
      </c>
      <c r="I4489" s="516" t="s">
        <v>4559</v>
      </c>
      <c r="J4489" s="505" t="s">
        <v>96</v>
      </c>
      <c r="K4489" s="505" t="s">
        <v>2102</v>
      </c>
      <c r="L4489" s="505" t="s">
        <v>153</v>
      </c>
    </row>
    <row r="4490" spans="1:12" ht="15.6">
      <c r="A4490" s="532">
        <v>45986</v>
      </c>
      <c r="B4490" s="516" t="s">
        <v>2231</v>
      </c>
      <c r="C4490" s="516" t="s">
        <v>172</v>
      </c>
      <c r="D4490" s="516" t="s">
        <v>118</v>
      </c>
      <c r="E4490" s="533">
        <v>1000</v>
      </c>
      <c r="F4490" s="502">
        <f t="shared" si="71"/>
        <v>1.8744037053212446</v>
      </c>
      <c r="G4490" s="503">
        <v>533.50300000000004</v>
      </c>
      <c r="H4490" s="516" t="s">
        <v>211</v>
      </c>
      <c r="I4490" s="516" t="s">
        <v>4559</v>
      </c>
      <c r="J4490" s="505" t="s">
        <v>96</v>
      </c>
      <c r="K4490" s="505" t="s">
        <v>2102</v>
      </c>
      <c r="L4490" s="505" t="s">
        <v>153</v>
      </c>
    </row>
    <row r="4491" spans="1:12" ht="15.6">
      <c r="A4491" s="532">
        <v>45986</v>
      </c>
      <c r="B4491" s="516" t="s">
        <v>3119</v>
      </c>
      <c r="C4491" s="516" t="s">
        <v>172</v>
      </c>
      <c r="D4491" s="516" t="s">
        <v>118</v>
      </c>
      <c r="E4491" s="533">
        <v>1000</v>
      </c>
      <c r="F4491" s="502">
        <f t="shared" si="71"/>
        <v>1.8744037053212446</v>
      </c>
      <c r="G4491" s="503">
        <v>533.50300000000004</v>
      </c>
      <c r="H4491" s="516" t="s">
        <v>211</v>
      </c>
      <c r="I4491" s="516" t="s">
        <v>4559</v>
      </c>
      <c r="J4491" s="505" t="s">
        <v>96</v>
      </c>
      <c r="K4491" s="505" t="s">
        <v>2102</v>
      </c>
      <c r="L4491" s="505" t="s">
        <v>153</v>
      </c>
    </row>
    <row r="4492" spans="1:12" ht="15.6">
      <c r="A4492" s="526">
        <v>45986</v>
      </c>
      <c r="B4492" s="519" t="s">
        <v>4628</v>
      </c>
      <c r="C4492" s="519" t="s">
        <v>172</v>
      </c>
      <c r="D4492" s="519" t="s">
        <v>115</v>
      </c>
      <c r="E4492" s="519">
        <v>1000</v>
      </c>
      <c r="F4492" s="502">
        <f t="shared" si="71"/>
        <v>1.8744037053212446</v>
      </c>
      <c r="G4492" s="503">
        <v>533.50300000000004</v>
      </c>
      <c r="H4492" s="519" t="s">
        <v>185</v>
      </c>
      <c r="I4492" s="519" t="s">
        <v>4631</v>
      </c>
      <c r="J4492" s="505" t="s">
        <v>96</v>
      </c>
      <c r="K4492" s="505" t="s">
        <v>2102</v>
      </c>
      <c r="L4492" s="505" t="s">
        <v>153</v>
      </c>
    </row>
    <row r="4493" spans="1:12" ht="15.6">
      <c r="A4493" s="526">
        <v>45986</v>
      </c>
      <c r="B4493" s="519" t="s">
        <v>4629</v>
      </c>
      <c r="C4493" s="519" t="s">
        <v>172</v>
      </c>
      <c r="D4493" s="519" t="s">
        <v>115</v>
      </c>
      <c r="E4493" s="519">
        <v>1000</v>
      </c>
      <c r="F4493" s="502">
        <f t="shared" si="71"/>
        <v>1.8744037053212446</v>
      </c>
      <c r="G4493" s="503">
        <v>533.50300000000004</v>
      </c>
      <c r="H4493" s="519" t="s">
        <v>185</v>
      </c>
      <c r="I4493" s="519" t="s">
        <v>4631</v>
      </c>
      <c r="J4493" s="505" t="s">
        <v>96</v>
      </c>
      <c r="K4493" s="505" t="s">
        <v>2102</v>
      </c>
      <c r="L4493" s="505" t="s">
        <v>153</v>
      </c>
    </row>
    <row r="4494" spans="1:12" ht="15.6">
      <c r="A4494" s="486">
        <v>45987</v>
      </c>
      <c r="B4494" s="478" t="s">
        <v>2386</v>
      </c>
      <c r="C4494" s="478" t="s">
        <v>172</v>
      </c>
      <c r="D4494" s="501" t="s">
        <v>117</v>
      </c>
      <c r="E4494" s="480">
        <v>1000</v>
      </c>
      <c r="F4494" s="502">
        <f t="shared" si="71"/>
        <v>1.8744037053212446</v>
      </c>
      <c r="G4494" s="503">
        <v>533.50300000000004</v>
      </c>
      <c r="H4494" s="504" t="s">
        <v>151</v>
      </c>
      <c r="I4494" s="478" t="s">
        <v>4133</v>
      </c>
      <c r="J4494" s="505" t="s">
        <v>96</v>
      </c>
      <c r="K4494" s="505" t="s">
        <v>2102</v>
      </c>
      <c r="L4494" s="505" t="s">
        <v>153</v>
      </c>
    </row>
    <row r="4495" spans="1:12" ht="15.6">
      <c r="A4495" s="486">
        <v>45987</v>
      </c>
      <c r="B4495" s="478" t="s">
        <v>4130</v>
      </c>
      <c r="C4495" s="478" t="s">
        <v>172</v>
      </c>
      <c r="D4495" s="501" t="s">
        <v>117</v>
      </c>
      <c r="E4495" s="480">
        <v>1000</v>
      </c>
      <c r="F4495" s="502">
        <f t="shared" si="71"/>
        <v>1.8744037053212446</v>
      </c>
      <c r="G4495" s="503">
        <v>533.50300000000004</v>
      </c>
      <c r="H4495" s="504" t="s">
        <v>151</v>
      </c>
      <c r="I4495" s="478" t="s">
        <v>4133</v>
      </c>
      <c r="J4495" s="505" t="s">
        <v>96</v>
      </c>
      <c r="K4495" s="505" t="s">
        <v>2102</v>
      </c>
      <c r="L4495" s="505" t="s">
        <v>153</v>
      </c>
    </row>
    <row r="4496" spans="1:12" ht="15.6">
      <c r="A4496" s="486">
        <v>45987</v>
      </c>
      <c r="B4496" s="478" t="s">
        <v>4127</v>
      </c>
      <c r="C4496" s="478" t="s">
        <v>172</v>
      </c>
      <c r="D4496" s="501" t="s">
        <v>117</v>
      </c>
      <c r="E4496" s="480">
        <v>1000</v>
      </c>
      <c r="F4496" s="502">
        <f t="shared" si="71"/>
        <v>1.8744037053212446</v>
      </c>
      <c r="G4496" s="503">
        <v>533.50300000000004</v>
      </c>
      <c r="H4496" s="504" t="s">
        <v>151</v>
      </c>
      <c r="I4496" s="478" t="s">
        <v>4133</v>
      </c>
      <c r="J4496" s="505" t="s">
        <v>96</v>
      </c>
      <c r="K4496" s="505" t="s">
        <v>2102</v>
      </c>
      <c r="L4496" s="505" t="s">
        <v>153</v>
      </c>
    </row>
    <row r="4497" spans="1:12" ht="15.6">
      <c r="A4497" s="486">
        <v>45987</v>
      </c>
      <c r="B4497" s="478" t="s">
        <v>2387</v>
      </c>
      <c r="C4497" s="478" t="s">
        <v>172</v>
      </c>
      <c r="D4497" s="501" t="s">
        <v>117</v>
      </c>
      <c r="E4497" s="480">
        <v>1000</v>
      </c>
      <c r="F4497" s="502">
        <f t="shared" si="71"/>
        <v>1.8744037053212446</v>
      </c>
      <c r="G4497" s="503">
        <v>533.50300000000004</v>
      </c>
      <c r="H4497" s="504" t="s">
        <v>151</v>
      </c>
      <c r="I4497" s="478" t="s">
        <v>4133</v>
      </c>
      <c r="J4497" s="505" t="s">
        <v>96</v>
      </c>
      <c r="K4497" s="505" t="s">
        <v>2102</v>
      </c>
      <c r="L4497" s="505" t="s">
        <v>153</v>
      </c>
    </row>
    <row r="4498" spans="1:12" ht="15.6">
      <c r="A4498" s="515">
        <v>45987</v>
      </c>
      <c r="B4498" s="514" t="s">
        <v>4737</v>
      </c>
      <c r="C4498" s="519" t="s">
        <v>180</v>
      </c>
      <c r="D4498" s="519" t="s">
        <v>116</v>
      </c>
      <c r="E4498" s="518">
        <v>4760</v>
      </c>
      <c r="F4498" s="502">
        <f t="shared" si="71"/>
        <v>8.9221616373291237</v>
      </c>
      <c r="G4498" s="503">
        <v>533.50300000000004</v>
      </c>
      <c r="H4498" s="505" t="s">
        <v>581</v>
      </c>
      <c r="I4498" s="505" t="s">
        <v>4225</v>
      </c>
      <c r="J4498" s="505" t="s">
        <v>96</v>
      </c>
      <c r="K4498" s="505" t="s">
        <v>2102</v>
      </c>
      <c r="L4498" s="505" t="s">
        <v>153</v>
      </c>
    </row>
    <row r="4499" spans="1:12" ht="15.6">
      <c r="A4499" s="517">
        <v>45987</v>
      </c>
      <c r="B4499" s="519" t="s">
        <v>4206</v>
      </c>
      <c r="C4499" s="519" t="s">
        <v>172</v>
      </c>
      <c r="D4499" s="519" t="s">
        <v>116</v>
      </c>
      <c r="E4499" s="520">
        <v>1000</v>
      </c>
      <c r="F4499" s="502">
        <f t="shared" si="71"/>
        <v>1.8744037053212446</v>
      </c>
      <c r="G4499" s="503">
        <v>533.50300000000004</v>
      </c>
      <c r="H4499" s="519" t="s">
        <v>581</v>
      </c>
      <c r="I4499" s="519" t="s">
        <v>4213</v>
      </c>
      <c r="J4499" s="505" t="s">
        <v>96</v>
      </c>
      <c r="K4499" s="505" t="s">
        <v>2102</v>
      </c>
      <c r="L4499" s="505" t="s">
        <v>153</v>
      </c>
    </row>
    <row r="4500" spans="1:12" ht="15.6">
      <c r="A4500" s="517">
        <v>45987</v>
      </c>
      <c r="B4500" s="519" t="s">
        <v>3398</v>
      </c>
      <c r="C4500" s="519" t="s">
        <v>172</v>
      </c>
      <c r="D4500" s="519" t="s">
        <v>116</v>
      </c>
      <c r="E4500" s="520">
        <v>1000</v>
      </c>
      <c r="F4500" s="502">
        <f t="shared" si="71"/>
        <v>1.8744037053212446</v>
      </c>
      <c r="G4500" s="503">
        <v>533.50300000000004</v>
      </c>
      <c r="H4500" s="519" t="s">
        <v>581</v>
      </c>
      <c r="I4500" s="519" t="s">
        <v>4213</v>
      </c>
      <c r="J4500" s="505" t="s">
        <v>96</v>
      </c>
      <c r="K4500" s="505" t="s">
        <v>2102</v>
      </c>
      <c r="L4500" s="505" t="s">
        <v>153</v>
      </c>
    </row>
    <row r="4501" spans="1:12" ht="15.6">
      <c r="A4501" s="529">
        <v>45987</v>
      </c>
      <c r="B4501" s="505" t="s">
        <v>4430</v>
      </c>
      <c r="C4501" s="298" t="s">
        <v>194</v>
      </c>
      <c r="D4501" s="298" t="s">
        <v>115</v>
      </c>
      <c r="E4501" s="521">
        <v>500</v>
      </c>
      <c r="F4501" s="502">
        <f t="shared" si="71"/>
        <v>0.93720185266062228</v>
      </c>
      <c r="G4501" s="503">
        <v>533.50300000000004</v>
      </c>
      <c r="H4501" s="298" t="s">
        <v>435</v>
      </c>
      <c r="I4501" s="519" t="s">
        <v>4451</v>
      </c>
      <c r="J4501" s="505" t="s">
        <v>96</v>
      </c>
      <c r="K4501" s="505" t="s">
        <v>2102</v>
      </c>
      <c r="L4501" s="505" t="s">
        <v>153</v>
      </c>
    </row>
    <row r="4502" spans="1:12" ht="15.6">
      <c r="A4502" s="529">
        <v>45987</v>
      </c>
      <c r="B4502" s="505" t="s">
        <v>4431</v>
      </c>
      <c r="C4502" s="505" t="s">
        <v>3317</v>
      </c>
      <c r="D4502" s="298" t="s">
        <v>115</v>
      </c>
      <c r="E4502" s="521">
        <v>3000</v>
      </c>
      <c r="F4502" s="502">
        <f t="shared" si="71"/>
        <v>5.6232111159637332</v>
      </c>
      <c r="G4502" s="503">
        <v>533.50300000000004</v>
      </c>
      <c r="H4502" s="298" t="s">
        <v>435</v>
      </c>
      <c r="I4502" s="519" t="s">
        <v>4455</v>
      </c>
      <c r="J4502" s="505" t="s">
        <v>96</v>
      </c>
      <c r="K4502" s="505" t="s">
        <v>2102</v>
      </c>
      <c r="L4502" s="505" t="s">
        <v>153</v>
      </c>
    </row>
    <row r="4503" spans="1:12" ht="15.6">
      <c r="A4503" s="529">
        <v>45987</v>
      </c>
      <c r="B4503" s="505" t="s">
        <v>4432</v>
      </c>
      <c r="C4503" s="298" t="s">
        <v>194</v>
      </c>
      <c r="D4503" s="298" t="s">
        <v>115</v>
      </c>
      <c r="E4503" s="521">
        <v>500</v>
      </c>
      <c r="F4503" s="502">
        <f t="shared" si="71"/>
        <v>0.93720185266062228</v>
      </c>
      <c r="G4503" s="503">
        <v>533.50300000000004</v>
      </c>
      <c r="H4503" s="298" t="s">
        <v>435</v>
      </c>
      <c r="I4503" s="519" t="s">
        <v>4451</v>
      </c>
      <c r="J4503" s="505" t="s">
        <v>96</v>
      </c>
      <c r="K4503" s="505" t="s">
        <v>2102</v>
      </c>
      <c r="L4503" s="505" t="s">
        <v>153</v>
      </c>
    </row>
    <row r="4504" spans="1:12" ht="15.6">
      <c r="A4504" s="529">
        <v>45987</v>
      </c>
      <c r="B4504" s="505" t="s">
        <v>2048</v>
      </c>
      <c r="C4504" s="298" t="s">
        <v>194</v>
      </c>
      <c r="D4504" s="298" t="s">
        <v>115</v>
      </c>
      <c r="E4504" s="530">
        <v>37000</v>
      </c>
      <c r="F4504" s="502">
        <f t="shared" si="71"/>
        <v>69.352937096886052</v>
      </c>
      <c r="G4504" s="503">
        <v>533.50300000000004</v>
      </c>
      <c r="H4504" s="298" t="s">
        <v>435</v>
      </c>
      <c r="I4504" s="505" t="s">
        <v>4456</v>
      </c>
      <c r="J4504" s="505" t="s">
        <v>96</v>
      </c>
      <c r="K4504" s="505" t="s">
        <v>2102</v>
      </c>
      <c r="L4504" s="505" t="s">
        <v>153</v>
      </c>
    </row>
    <row r="4505" spans="1:12" ht="15.6">
      <c r="A4505" s="529">
        <v>45987</v>
      </c>
      <c r="B4505" s="505" t="s">
        <v>3067</v>
      </c>
      <c r="C4505" s="298" t="s">
        <v>194</v>
      </c>
      <c r="D4505" s="298" t="s">
        <v>115</v>
      </c>
      <c r="E4505" s="521">
        <v>500</v>
      </c>
      <c r="F4505" s="502">
        <f t="shared" si="71"/>
        <v>0.93720185266062228</v>
      </c>
      <c r="G4505" s="503">
        <v>533.50300000000004</v>
      </c>
      <c r="H4505" s="298" t="s">
        <v>435</v>
      </c>
      <c r="I4505" s="519" t="s">
        <v>4451</v>
      </c>
      <c r="J4505" s="505" t="s">
        <v>96</v>
      </c>
      <c r="K4505" s="505" t="s">
        <v>2102</v>
      </c>
      <c r="L4505" s="505" t="s">
        <v>153</v>
      </c>
    </row>
    <row r="4506" spans="1:12" ht="15.6">
      <c r="A4506" s="529">
        <v>45987</v>
      </c>
      <c r="B4506" s="505" t="s">
        <v>4433</v>
      </c>
      <c r="C4506" s="298" t="s">
        <v>194</v>
      </c>
      <c r="D4506" s="298" t="s">
        <v>115</v>
      </c>
      <c r="E4506" s="521">
        <v>500</v>
      </c>
      <c r="F4506" s="502">
        <f t="shared" si="71"/>
        <v>0.93720185266062228</v>
      </c>
      <c r="G4506" s="503">
        <v>533.50300000000004</v>
      </c>
      <c r="H4506" s="298" t="s">
        <v>435</v>
      </c>
      <c r="I4506" s="519" t="s">
        <v>4451</v>
      </c>
      <c r="J4506" s="505" t="s">
        <v>96</v>
      </c>
      <c r="K4506" s="505" t="s">
        <v>2102</v>
      </c>
      <c r="L4506" s="505" t="s">
        <v>153</v>
      </c>
    </row>
    <row r="4507" spans="1:12" ht="15.6">
      <c r="A4507" s="529">
        <v>45987</v>
      </c>
      <c r="B4507" s="505" t="s">
        <v>4434</v>
      </c>
      <c r="C4507" s="505" t="s">
        <v>3317</v>
      </c>
      <c r="D4507" s="298" t="s">
        <v>115</v>
      </c>
      <c r="E4507" s="521">
        <v>3000</v>
      </c>
      <c r="F4507" s="502">
        <f t="shared" si="71"/>
        <v>5.6232111159637332</v>
      </c>
      <c r="G4507" s="503">
        <v>533.50300000000004</v>
      </c>
      <c r="H4507" s="298" t="s">
        <v>435</v>
      </c>
      <c r="I4507" s="519" t="s">
        <v>4455</v>
      </c>
      <c r="J4507" s="505" t="s">
        <v>96</v>
      </c>
      <c r="K4507" s="505" t="s">
        <v>2102</v>
      </c>
      <c r="L4507" s="505" t="s">
        <v>153</v>
      </c>
    </row>
    <row r="4508" spans="1:12" ht="15.6">
      <c r="A4508" s="529">
        <v>45987</v>
      </c>
      <c r="B4508" s="505" t="s">
        <v>4435</v>
      </c>
      <c r="C4508" s="298" t="s">
        <v>194</v>
      </c>
      <c r="D4508" s="298" t="s">
        <v>115</v>
      </c>
      <c r="E4508" s="521">
        <v>500</v>
      </c>
      <c r="F4508" s="502">
        <f t="shared" si="71"/>
        <v>0.93720185266062228</v>
      </c>
      <c r="G4508" s="503">
        <v>533.50300000000004</v>
      </c>
      <c r="H4508" s="298" t="s">
        <v>435</v>
      </c>
      <c r="I4508" s="519" t="s">
        <v>4451</v>
      </c>
      <c r="J4508" s="505" t="s">
        <v>96</v>
      </c>
      <c r="K4508" s="505" t="s">
        <v>2102</v>
      </c>
      <c r="L4508" s="505" t="s">
        <v>153</v>
      </c>
    </row>
    <row r="4509" spans="1:12" ht="15.6">
      <c r="A4509" s="532">
        <v>45987</v>
      </c>
      <c r="B4509" s="516" t="s">
        <v>2227</v>
      </c>
      <c r="C4509" s="516" t="s">
        <v>172</v>
      </c>
      <c r="D4509" s="516" t="s">
        <v>118</v>
      </c>
      <c r="E4509" s="533">
        <v>1000</v>
      </c>
      <c r="F4509" s="502">
        <f t="shared" si="71"/>
        <v>1.8744037053212446</v>
      </c>
      <c r="G4509" s="503">
        <v>533.50300000000004</v>
      </c>
      <c r="H4509" s="516" t="s">
        <v>211</v>
      </c>
      <c r="I4509" s="516" t="s">
        <v>4559</v>
      </c>
      <c r="J4509" s="505" t="s">
        <v>96</v>
      </c>
      <c r="K4509" s="505" t="s">
        <v>2102</v>
      </c>
      <c r="L4509" s="505" t="s">
        <v>153</v>
      </c>
    </row>
    <row r="4510" spans="1:12" ht="15.6">
      <c r="A4510" s="532">
        <v>45987</v>
      </c>
      <c r="B4510" s="516" t="s">
        <v>3858</v>
      </c>
      <c r="C4510" s="516" t="s">
        <v>172</v>
      </c>
      <c r="D4510" s="516" t="s">
        <v>118</v>
      </c>
      <c r="E4510" s="533">
        <v>1000</v>
      </c>
      <c r="F4510" s="502">
        <f t="shared" si="71"/>
        <v>1.8744037053212446</v>
      </c>
      <c r="G4510" s="503">
        <v>533.50300000000004</v>
      </c>
      <c r="H4510" s="516" t="s">
        <v>211</v>
      </c>
      <c r="I4510" s="516" t="s">
        <v>4559</v>
      </c>
      <c r="J4510" s="505" t="s">
        <v>96</v>
      </c>
      <c r="K4510" s="505" t="s">
        <v>2102</v>
      </c>
      <c r="L4510" s="505" t="s">
        <v>153</v>
      </c>
    </row>
    <row r="4511" spans="1:12" ht="15.6">
      <c r="A4511" s="532">
        <v>45987</v>
      </c>
      <c r="B4511" s="516" t="s">
        <v>4553</v>
      </c>
      <c r="C4511" s="516" t="s">
        <v>172</v>
      </c>
      <c r="D4511" s="516" t="s">
        <v>118</v>
      </c>
      <c r="E4511" s="533">
        <v>1000</v>
      </c>
      <c r="F4511" s="502">
        <f t="shared" si="71"/>
        <v>1.8744037053212446</v>
      </c>
      <c r="G4511" s="503">
        <v>533.50300000000004</v>
      </c>
      <c r="H4511" s="516" t="s">
        <v>211</v>
      </c>
      <c r="I4511" s="516" t="s">
        <v>4559</v>
      </c>
      <c r="J4511" s="505" t="s">
        <v>96</v>
      </c>
      <c r="K4511" s="505" t="s">
        <v>2102</v>
      </c>
      <c r="L4511" s="505" t="s">
        <v>153</v>
      </c>
    </row>
    <row r="4512" spans="1:12" ht="15.6">
      <c r="A4512" s="532">
        <v>45987</v>
      </c>
      <c r="B4512" s="516" t="s">
        <v>4533</v>
      </c>
      <c r="C4512" s="516" t="s">
        <v>172</v>
      </c>
      <c r="D4512" s="516" t="s">
        <v>118</v>
      </c>
      <c r="E4512" s="533">
        <v>1000</v>
      </c>
      <c r="F4512" s="502">
        <f t="shared" si="71"/>
        <v>1.8744037053212446</v>
      </c>
      <c r="G4512" s="503">
        <v>533.50300000000004</v>
      </c>
      <c r="H4512" s="516" t="s">
        <v>211</v>
      </c>
      <c r="I4512" s="516" t="s">
        <v>4559</v>
      </c>
      <c r="J4512" s="505" t="s">
        <v>96</v>
      </c>
      <c r="K4512" s="505" t="s">
        <v>2102</v>
      </c>
      <c r="L4512" s="505" t="s">
        <v>153</v>
      </c>
    </row>
    <row r="4513" spans="1:12" ht="15.6">
      <c r="A4513" s="486">
        <v>45988</v>
      </c>
      <c r="B4513" s="478" t="s">
        <v>2386</v>
      </c>
      <c r="C4513" s="478" t="s">
        <v>172</v>
      </c>
      <c r="D4513" s="501" t="s">
        <v>117</v>
      </c>
      <c r="E4513" s="480">
        <v>1000</v>
      </c>
      <c r="F4513" s="502">
        <f t="shared" si="71"/>
        <v>1.8744037053212446</v>
      </c>
      <c r="G4513" s="503">
        <v>533.50300000000004</v>
      </c>
      <c r="H4513" s="504" t="s">
        <v>151</v>
      </c>
      <c r="I4513" s="478" t="s">
        <v>4133</v>
      </c>
      <c r="J4513" s="505" t="s">
        <v>96</v>
      </c>
      <c r="K4513" s="505" t="s">
        <v>2102</v>
      </c>
      <c r="L4513" s="505" t="s">
        <v>153</v>
      </c>
    </row>
    <row r="4514" spans="1:12" ht="15.6">
      <c r="A4514" s="486">
        <v>45988</v>
      </c>
      <c r="B4514" s="478" t="s">
        <v>2116</v>
      </c>
      <c r="C4514" s="478" t="s">
        <v>172</v>
      </c>
      <c r="D4514" s="501" t="s">
        <v>117</v>
      </c>
      <c r="E4514" s="480">
        <v>1000</v>
      </c>
      <c r="F4514" s="502">
        <f t="shared" si="71"/>
        <v>1.8744037053212446</v>
      </c>
      <c r="G4514" s="503">
        <v>533.50300000000004</v>
      </c>
      <c r="H4514" s="504" t="s">
        <v>151</v>
      </c>
      <c r="I4514" s="478" t="s">
        <v>4133</v>
      </c>
      <c r="J4514" s="505" t="s">
        <v>96</v>
      </c>
      <c r="K4514" s="505" t="s">
        <v>2102</v>
      </c>
      <c r="L4514" s="505" t="s">
        <v>153</v>
      </c>
    </row>
    <row r="4515" spans="1:12" ht="15.6">
      <c r="A4515" s="515">
        <v>45988</v>
      </c>
      <c r="B4515" s="519" t="s">
        <v>4207</v>
      </c>
      <c r="C4515" s="505" t="s">
        <v>302</v>
      </c>
      <c r="D4515" s="519" t="s">
        <v>116</v>
      </c>
      <c r="E4515" s="518">
        <v>40000</v>
      </c>
      <c r="F4515" s="502">
        <f t="shared" si="71"/>
        <v>74.976148212849779</v>
      </c>
      <c r="G4515" s="503">
        <v>533.50300000000004</v>
      </c>
      <c r="H4515" s="519" t="s">
        <v>581</v>
      </c>
      <c r="I4515" s="505" t="s">
        <v>4226</v>
      </c>
      <c r="J4515" s="505" t="s">
        <v>96</v>
      </c>
      <c r="K4515" s="505" t="s">
        <v>2102</v>
      </c>
      <c r="L4515" s="505" t="s">
        <v>153</v>
      </c>
    </row>
    <row r="4516" spans="1:12" ht="15.6">
      <c r="A4516" s="515">
        <v>45988</v>
      </c>
      <c r="B4516" s="519" t="s">
        <v>4208</v>
      </c>
      <c r="C4516" s="519" t="s">
        <v>302</v>
      </c>
      <c r="D4516" s="519" t="s">
        <v>116</v>
      </c>
      <c r="E4516" s="518">
        <v>80000</v>
      </c>
      <c r="F4516" s="502">
        <f t="shared" si="71"/>
        <v>149.95229642569956</v>
      </c>
      <c r="G4516" s="503">
        <v>533.50300000000004</v>
      </c>
      <c r="H4516" s="505" t="s">
        <v>581</v>
      </c>
      <c r="I4516" s="505" t="s">
        <v>4227</v>
      </c>
      <c r="J4516" s="505" t="s">
        <v>96</v>
      </c>
      <c r="K4516" s="505" t="s">
        <v>2102</v>
      </c>
      <c r="L4516" s="505" t="s">
        <v>153</v>
      </c>
    </row>
    <row r="4517" spans="1:12" ht="15.6">
      <c r="A4517" s="515">
        <v>45988</v>
      </c>
      <c r="B4517" s="519" t="s">
        <v>4209</v>
      </c>
      <c r="C4517" s="519" t="s">
        <v>124</v>
      </c>
      <c r="D4517" s="519" t="s">
        <v>116</v>
      </c>
      <c r="E4517" s="518">
        <v>8000</v>
      </c>
      <c r="F4517" s="502">
        <f t="shared" si="71"/>
        <v>14.995229642569956</v>
      </c>
      <c r="G4517" s="503">
        <v>533.50300000000004</v>
      </c>
      <c r="H4517" s="519" t="s">
        <v>581</v>
      </c>
      <c r="I4517" s="505" t="s">
        <v>4228</v>
      </c>
      <c r="J4517" s="505" t="s">
        <v>96</v>
      </c>
      <c r="K4517" s="505" t="s">
        <v>2102</v>
      </c>
      <c r="L4517" s="505" t="s">
        <v>153</v>
      </c>
    </row>
    <row r="4518" spans="1:12" ht="15.6">
      <c r="A4518" s="515">
        <v>45988</v>
      </c>
      <c r="B4518" s="505" t="s">
        <v>4210</v>
      </c>
      <c r="C4518" s="505" t="s">
        <v>624</v>
      </c>
      <c r="D4518" s="505" t="s">
        <v>116</v>
      </c>
      <c r="E4518" s="518">
        <v>45050</v>
      </c>
      <c r="F4518" s="502">
        <f t="shared" si="71"/>
        <v>84.44188692472207</v>
      </c>
      <c r="G4518" s="503">
        <v>533.50300000000004</v>
      </c>
      <c r="H4518" s="505" t="s">
        <v>581</v>
      </c>
      <c r="I4518" s="505" t="s">
        <v>4229</v>
      </c>
      <c r="J4518" s="505" t="s">
        <v>96</v>
      </c>
      <c r="K4518" s="505" t="s">
        <v>2102</v>
      </c>
      <c r="L4518" s="505" t="s">
        <v>153</v>
      </c>
    </row>
    <row r="4519" spans="1:12" ht="15.6">
      <c r="A4519" s="517">
        <v>45988</v>
      </c>
      <c r="B4519" s="519" t="s">
        <v>4211</v>
      </c>
      <c r="C4519" s="519" t="s">
        <v>172</v>
      </c>
      <c r="D4519" s="519" t="s">
        <v>116</v>
      </c>
      <c r="E4519" s="520">
        <v>1000</v>
      </c>
      <c r="F4519" s="502">
        <f t="shared" si="71"/>
        <v>1.8744037053212446</v>
      </c>
      <c r="G4519" s="503">
        <v>533.50300000000004</v>
      </c>
      <c r="H4519" s="519" t="s">
        <v>581</v>
      </c>
      <c r="I4519" s="519" t="s">
        <v>4213</v>
      </c>
      <c r="J4519" s="505" t="s">
        <v>96</v>
      </c>
      <c r="K4519" s="505" t="s">
        <v>2102</v>
      </c>
      <c r="L4519" s="505" t="s">
        <v>153</v>
      </c>
    </row>
    <row r="4520" spans="1:12" ht="15.6">
      <c r="A4520" s="517">
        <v>45988</v>
      </c>
      <c r="B4520" s="519" t="s">
        <v>4212</v>
      </c>
      <c r="C4520" s="519" t="s">
        <v>172</v>
      </c>
      <c r="D4520" s="519" t="s">
        <v>116</v>
      </c>
      <c r="E4520" s="520">
        <v>1000</v>
      </c>
      <c r="F4520" s="502">
        <f t="shared" si="71"/>
        <v>1.8744037053212446</v>
      </c>
      <c r="G4520" s="503">
        <v>533.50300000000004</v>
      </c>
      <c r="H4520" s="519" t="s">
        <v>581</v>
      </c>
      <c r="I4520" s="519" t="s">
        <v>4213</v>
      </c>
      <c r="J4520" s="505" t="s">
        <v>96</v>
      </c>
      <c r="K4520" s="505" t="s">
        <v>2102</v>
      </c>
      <c r="L4520" s="505" t="s">
        <v>153</v>
      </c>
    </row>
    <row r="4521" spans="1:12" ht="15.6">
      <c r="A4521" s="524">
        <v>45988</v>
      </c>
      <c r="B4521" s="525" t="s">
        <v>4917</v>
      </c>
      <c r="C4521" s="525" t="s">
        <v>172</v>
      </c>
      <c r="D4521" s="510" t="s">
        <v>119</v>
      </c>
      <c r="E4521" s="525">
        <v>1000</v>
      </c>
      <c r="F4521" s="502">
        <f t="shared" si="71"/>
        <v>1.8744037053212446</v>
      </c>
      <c r="G4521" s="503">
        <v>533.50300000000004</v>
      </c>
      <c r="H4521" s="525" t="s">
        <v>182</v>
      </c>
      <c r="I4521" s="525" t="s">
        <v>4237</v>
      </c>
      <c r="J4521" s="505" t="s">
        <v>96</v>
      </c>
      <c r="K4521" s="505" t="s">
        <v>2102</v>
      </c>
      <c r="L4521" s="505" t="s">
        <v>153</v>
      </c>
    </row>
    <row r="4522" spans="1:12" ht="15.6">
      <c r="A4522" s="524">
        <v>45988</v>
      </c>
      <c r="B4522" s="525" t="s">
        <v>4912</v>
      </c>
      <c r="C4522" s="525" t="s">
        <v>172</v>
      </c>
      <c r="D4522" s="510" t="s">
        <v>119</v>
      </c>
      <c r="E4522" s="525">
        <v>1500</v>
      </c>
      <c r="F4522" s="502">
        <f t="shared" si="71"/>
        <v>2.8116055579818666</v>
      </c>
      <c r="G4522" s="503">
        <v>533.50300000000004</v>
      </c>
      <c r="H4522" s="525" t="s">
        <v>182</v>
      </c>
      <c r="I4522" s="525" t="s">
        <v>4237</v>
      </c>
      <c r="J4522" s="505" t="s">
        <v>96</v>
      </c>
      <c r="K4522" s="505" t="s">
        <v>2102</v>
      </c>
      <c r="L4522" s="505" t="s">
        <v>153</v>
      </c>
    </row>
    <row r="4523" spans="1:12" ht="15.6">
      <c r="A4523" s="511">
        <v>45989</v>
      </c>
      <c r="B4523" s="525" t="s">
        <v>4758</v>
      </c>
      <c r="C4523" s="525" t="s">
        <v>172</v>
      </c>
      <c r="D4523" s="510" t="s">
        <v>119</v>
      </c>
      <c r="E4523" s="525">
        <v>6000</v>
      </c>
      <c r="F4523" s="502">
        <f t="shared" ref="F4523:F4586" si="72">E4523/G4523</f>
        <v>11.246422231927466</v>
      </c>
      <c r="G4523" s="503">
        <v>533.50300000000004</v>
      </c>
      <c r="H4523" s="525" t="s">
        <v>182</v>
      </c>
      <c r="I4523" s="510" t="s">
        <v>4252</v>
      </c>
      <c r="J4523" s="505" t="s">
        <v>96</v>
      </c>
      <c r="K4523" s="505" t="s">
        <v>2102</v>
      </c>
      <c r="L4523" s="505" t="s">
        <v>153</v>
      </c>
    </row>
    <row r="4524" spans="1:12" ht="15.6">
      <c r="A4524" s="526">
        <v>45988</v>
      </c>
      <c r="B4524" s="519" t="s">
        <v>4876</v>
      </c>
      <c r="C4524" s="519" t="s">
        <v>172</v>
      </c>
      <c r="D4524" s="510" t="s">
        <v>119</v>
      </c>
      <c r="E4524" s="519">
        <v>1000</v>
      </c>
      <c r="F4524" s="502">
        <f t="shared" si="72"/>
        <v>1.8744037053212446</v>
      </c>
      <c r="G4524" s="503">
        <v>533.50300000000004</v>
      </c>
      <c r="H4524" s="519" t="s">
        <v>315</v>
      </c>
      <c r="I4524" s="519" t="s">
        <v>4288</v>
      </c>
      <c r="J4524" s="505" t="s">
        <v>96</v>
      </c>
      <c r="K4524" s="505" t="s">
        <v>2102</v>
      </c>
      <c r="L4524" s="505" t="s">
        <v>153</v>
      </c>
    </row>
    <row r="4525" spans="1:12" ht="15.6">
      <c r="A4525" s="526">
        <v>45988</v>
      </c>
      <c r="B4525" s="519" t="s">
        <v>4917</v>
      </c>
      <c r="C4525" s="519" t="s">
        <v>172</v>
      </c>
      <c r="D4525" s="510" t="s">
        <v>119</v>
      </c>
      <c r="E4525" s="519">
        <v>2000</v>
      </c>
      <c r="F4525" s="502">
        <f t="shared" si="72"/>
        <v>3.7488074106424891</v>
      </c>
      <c r="G4525" s="503">
        <v>533.50300000000004</v>
      </c>
      <c r="H4525" s="519" t="s">
        <v>315</v>
      </c>
      <c r="I4525" s="519" t="s">
        <v>4288</v>
      </c>
      <c r="J4525" s="505" t="s">
        <v>96</v>
      </c>
      <c r="K4525" s="505" t="s">
        <v>2102</v>
      </c>
      <c r="L4525" s="505" t="s">
        <v>153</v>
      </c>
    </row>
    <row r="4526" spans="1:12" ht="15.6">
      <c r="A4526" s="529">
        <v>45988</v>
      </c>
      <c r="B4526" s="505" t="s">
        <v>4436</v>
      </c>
      <c r="C4526" s="298" t="s">
        <v>194</v>
      </c>
      <c r="D4526" s="298" t="s">
        <v>115</v>
      </c>
      <c r="E4526" s="521">
        <v>500</v>
      </c>
      <c r="F4526" s="502">
        <f t="shared" si="72"/>
        <v>0.93720185266062228</v>
      </c>
      <c r="G4526" s="503">
        <v>533.50300000000004</v>
      </c>
      <c r="H4526" s="298" t="s">
        <v>435</v>
      </c>
      <c r="I4526" s="519" t="s">
        <v>4451</v>
      </c>
      <c r="J4526" s="505" t="s">
        <v>96</v>
      </c>
      <c r="K4526" s="505" t="s">
        <v>2102</v>
      </c>
      <c r="L4526" s="505" t="s">
        <v>153</v>
      </c>
    </row>
    <row r="4527" spans="1:12" ht="15.6">
      <c r="A4527" s="529">
        <v>45988</v>
      </c>
      <c r="B4527" s="505" t="s">
        <v>4431</v>
      </c>
      <c r="C4527" s="505" t="s">
        <v>3317</v>
      </c>
      <c r="D4527" s="298" t="s">
        <v>115</v>
      </c>
      <c r="E4527" s="521">
        <v>3000</v>
      </c>
      <c r="F4527" s="502">
        <f t="shared" si="72"/>
        <v>5.6232111159637332</v>
      </c>
      <c r="G4527" s="503">
        <v>533.50300000000004</v>
      </c>
      <c r="H4527" s="298" t="s">
        <v>435</v>
      </c>
      <c r="I4527" s="519" t="s">
        <v>4455</v>
      </c>
      <c r="J4527" s="505" t="s">
        <v>96</v>
      </c>
      <c r="K4527" s="505" t="s">
        <v>2102</v>
      </c>
      <c r="L4527" s="505" t="s">
        <v>153</v>
      </c>
    </row>
    <row r="4528" spans="1:12" ht="15.6">
      <c r="A4528" s="529">
        <v>45988</v>
      </c>
      <c r="B4528" s="505" t="s">
        <v>2665</v>
      </c>
      <c r="C4528" s="298" t="s">
        <v>194</v>
      </c>
      <c r="D4528" s="298" t="s">
        <v>115</v>
      </c>
      <c r="E4528" s="521">
        <v>500</v>
      </c>
      <c r="F4528" s="502">
        <f t="shared" si="72"/>
        <v>0.93720185266062228</v>
      </c>
      <c r="G4528" s="503">
        <v>533.50300000000004</v>
      </c>
      <c r="H4528" s="298" t="s">
        <v>435</v>
      </c>
      <c r="I4528" s="519" t="s">
        <v>4451</v>
      </c>
      <c r="J4528" s="505" t="s">
        <v>96</v>
      </c>
      <c r="K4528" s="505" t="s">
        <v>2102</v>
      </c>
      <c r="L4528" s="505" t="s">
        <v>153</v>
      </c>
    </row>
    <row r="4529" spans="1:12" ht="15.6">
      <c r="A4529" s="529">
        <v>45988</v>
      </c>
      <c r="B4529" s="505" t="s">
        <v>4437</v>
      </c>
      <c r="C4529" s="298" t="s">
        <v>194</v>
      </c>
      <c r="D4529" s="298" t="s">
        <v>115</v>
      </c>
      <c r="E4529" s="521">
        <v>500</v>
      </c>
      <c r="F4529" s="502">
        <f t="shared" si="72"/>
        <v>0.93720185266062228</v>
      </c>
      <c r="G4529" s="503">
        <v>533.50300000000004</v>
      </c>
      <c r="H4529" s="298" t="s">
        <v>435</v>
      </c>
      <c r="I4529" s="519" t="s">
        <v>4451</v>
      </c>
      <c r="J4529" s="505" t="s">
        <v>96</v>
      </c>
      <c r="K4529" s="505" t="s">
        <v>2102</v>
      </c>
      <c r="L4529" s="505" t="s">
        <v>153</v>
      </c>
    </row>
    <row r="4530" spans="1:12" ht="15.6">
      <c r="A4530" s="529">
        <v>45988</v>
      </c>
      <c r="B4530" s="505" t="s">
        <v>4438</v>
      </c>
      <c r="C4530" s="298" t="s">
        <v>194</v>
      </c>
      <c r="D4530" s="298" t="s">
        <v>115</v>
      </c>
      <c r="E4530" s="521">
        <v>500</v>
      </c>
      <c r="F4530" s="502">
        <f t="shared" si="72"/>
        <v>0.93720185266062228</v>
      </c>
      <c r="G4530" s="503">
        <v>533.50300000000004</v>
      </c>
      <c r="H4530" s="298" t="s">
        <v>435</v>
      </c>
      <c r="I4530" s="519" t="s">
        <v>4451</v>
      </c>
      <c r="J4530" s="505" t="s">
        <v>96</v>
      </c>
      <c r="K4530" s="505" t="s">
        <v>2102</v>
      </c>
      <c r="L4530" s="505" t="s">
        <v>153</v>
      </c>
    </row>
    <row r="4531" spans="1:12" ht="15.6">
      <c r="A4531" s="529">
        <v>45988</v>
      </c>
      <c r="B4531" s="505" t="s">
        <v>4434</v>
      </c>
      <c r="C4531" s="505" t="s">
        <v>3317</v>
      </c>
      <c r="D4531" s="298" t="s">
        <v>115</v>
      </c>
      <c r="E4531" s="521">
        <v>3000</v>
      </c>
      <c r="F4531" s="502">
        <f t="shared" si="72"/>
        <v>5.6232111159637332</v>
      </c>
      <c r="G4531" s="503">
        <v>533.50300000000004</v>
      </c>
      <c r="H4531" s="298" t="s">
        <v>435</v>
      </c>
      <c r="I4531" s="519" t="s">
        <v>4455</v>
      </c>
      <c r="J4531" s="505" t="s">
        <v>96</v>
      </c>
      <c r="K4531" s="505" t="s">
        <v>2102</v>
      </c>
      <c r="L4531" s="505" t="s">
        <v>153</v>
      </c>
    </row>
    <row r="4532" spans="1:12" ht="15.6">
      <c r="A4532" s="529">
        <v>45988</v>
      </c>
      <c r="B4532" s="505" t="s">
        <v>4435</v>
      </c>
      <c r="C4532" s="298" t="s">
        <v>194</v>
      </c>
      <c r="D4532" s="298" t="s">
        <v>115</v>
      </c>
      <c r="E4532" s="521">
        <v>500</v>
      </c>
      <c r="F4532" s="502">
        <f t="shared" si="72"/>
        <v>0.93720185266062228</v>
      </c>
      <c r="G4532" s="503">
        <v>533.50300000000004</v>
      </c>
      <c r="H4532" s="298" t="s">
        <v>435</v>
      </c>
      <c r="I4532" s="519" t="s">
        <v>4451</v>
      </c>
      <c r="J4532" s="505" t="s">
        <v>96</v>
      </c>
      <c r="K4532" s="505" t="s">
        <v>2102</v>
      </c>
      <c r="L4532" s="505" t="s">
        <v>153</v>
      </c>
    </row>
    <row r="4533" spans="1:12" ht="15.6">
      <c r="A4533" s="532">
        <v>45988</v>
      </c>
      <c r="B4533" s="516" t="s">
        <v>4554</v>
      </c>
      <c r="C4533" s="516" t="s">
        <v>172</v>
      </c>
      <c r="D4533" s="516" t="s">
        <v>118</v>
      </c>
      <c r="E4533" s="533">
        <v>1000</v>
      </c>
      <c r="F4533" s="502">
        <f t="shared" si="72"/>
        <v>1.8744037053212446</v>
      </c>
      <c r="G4533" s="503">
        <v>533.50300000000004</v>
      </c>
      <c r="H4533" s="516" t="s">
        <v>211</v>
      </c>
      <c r="I4533" s="516" t="s">
        <v>4559</v>
      </c>
      <c r="J4533" s="505" t="s">
        <v>96</v>
      </c>
      <c r="K4533" s="505" t="s">
        <v>2102</v>
      </c>
      <c r="L4533" s="505" t="s">
        <v>153</v>
      </c>
    </row>
    <row r="4534" spans="1:12" ht="15.6">
      <c r="A4534" s="532">
        <v>45988</v>
      </c>
      <c r="B4534" s="516" t="s">
        <v>4555</v>
      </c>
      <c r="C4534" s="516" t="s">
        <v>175</v>
      </c>
      <c r="D4534" s="516" t="s">
        <v>118</v>
      </c>
      <c r="E4534" s="533">
        <v>3100</v>
      </c>
      <c r="F4534" s="502">
        <f t="shared" si="72"/>
        <v>5.8106514864958578</v>
      </c>
      <c r="G4534" s="503">
        <v>533.50300000000004</v>
      </c>
      <c r="H4534" s="516" t="s">
        <v>211</v>
      </c>
      <c r="I4534" s="516" t="s">
        <v>4575</v>
      </c>
      <c r="J4534" s="505" t="s">
        <v>96</v>
      </c>
      <c r="K4534" s="505" t="s">
        <v>2102</v>
      </c>
      <c r="L4534" s="505" t="s">
        <v>153</v>
      </c>
    </row>
    <row r="4535" spans="1:12" ht="15.6">
      <c r="A4535" s="532">
        <v>45988</v>
      </c>
      <c r="B4535" s="516" t="s">
        <v>4556</v>
      </c>
      <c r="C4535" s="516" t="s">
        <v>172</v>
      </c>
      <c r="D4535" s="516" t="s">
        <v>118</v>
      </c>
      <c r="E4535" s="533">
        <v>1000</v>
      </c>
      <c r="F4535" s="502">
        <f t="shared" si="72"/>
        <v>1.8744037053212446</v>
      </c>
      <c r="G4535" s="503">
        <v>533.50300000000004</v>
      </c>
      <c r="H4535" s="516" t="s">
        <v>211</v>
      </c>
      <c r="I4535" s="516" t="s">
        <v>4559</v>
      </c>
      <c r="J4535" s="505" t="s">
        <v>96</v>
      </c>
      <c r="K4535" s="505" t="s">
        <v>2102</v>
      </c>
      <c r="L4535" s="505" t="s">
        <v>153</v>
      </c>
    </row>
    <row r="4536" spans="1:12" ht="15.6">
      <c r="A4536" s="532">
        <v>45988</v>
      </c>
      <c r="B4536" s="516" t="s">
        <v>4464</v>
      </c>
      <c r="C4536" s="516" t="s">
        <v>172</v>
      </c>
      <c r="D4536" s="516" t="s">
        <v>118</v>
      </c>
      <c r="E4536" s="533">
        <v>1000</v>
      </c>
      <c r="F4536" s="502">
        <f t="shared" si="72"/>
        <v>1.8744037053212446</v>
      </c>
      <c r="G4536" s="503">
        <v>533.50300000000004</v>
      </c>
      <c r="H4536" s="516" t="s">
        <v>211</v>
      </c>
      <c r="I4536" s="516" t="s">
        <v>4559</v>
      </c>
      <c r="J4536" s="505" t="s">
        <v>96</v>
      </c>
      <c r="K4536" s="505" t="s">
        <v>2102</v>
      </c>
      <c r="L4536" s="505" t="s">
        <v>153</v>
      </c>
    </row>
    <row r="4537" spans="1:12" ht="15.6">
      <c r="A4537" s="532">
        <v>45988</v>
      </c>
      <c r="B4537" s="516" t="s">
        <v>4557</v>
      </c>
      <c r="C4537" s="516" t="s">
        <v>172</v>
      </c>
      <c r="D4537" s="516" t="s">
        <v>118</v>
      </c>
      <c r="E4537" s="533">
        <v>1000</v>
      </c>
      <c r="F4537" s="502">
        <f t="shared" si="72"/>
        <v>1.8744037053212446</v>
      </c>
      <c r="G4537" s="503">
        <v>533.50300000000004</v>
      </c>
      <c r="H4537" s="516" t="s">
        <v>211</v>
      </c>
      <c r="I4537" s="516" t="s">
        <v>4559</v>
      </c>
      <c r="J4537" s="505" t="s">
        <v>96</v>
      </c>
      <c r="K4537" s="505" t="s">
        <v>2102</v>
      </c>
      <c r="L4537" s="505" t="s">
        <v>153</v>
      </c>
    </row>
    <row r="4538" spans="1:12" ht="15.6">
      <c r="A4538" s="532">
        <v>45988</v>
      </c>
      <c r="B4538" s="516" t="s">
        <v>4558</v>
      </c>
      <c r="C4538" s="516" t="s">
        <v>172</v>
      </c>
      <c r="D4538" s="516" t="s">
        <v>118</v>
      </c>
      <c r="E4538" s="533">
        <v>1000</v>
      </c>
      <c r="F4538" s="502">
        <f t="shared" si="72"/>
        <v>1.8744037053212446</v>
      </c>
      <c r="G4538" s="503">
        <v>533.50300000000004</v>
      </c>
      <c r="H4538" s="516" t="s">
        <v>211</v>
      </c>
      <c r="I4538" s="516" t="s">
        <v>4559</v>
      </c>
      <c r="J4538" s="505" t="s">
        <v>96</v>
      </c>
      <c r="K4538" s="505" t="s">
        <v>2102</v>
      </c>
      <c r="L4538" s="505" t="s">
        <v>153</v>
      </c>
    </row>
    <row r="4539" spans="1:12" ht="15.6">
      <c r="A4539" s="524">
        <v>45989</v>
      </c>
      <c r="B4539" s="525" t="s">
        <v>4761</v>
      </c>
      <c r="C4539" s="525" t="s">
        <v>175</v>
      </c>
      <c r="D4539" s="510" t="s">
        <v>119</v>
      </c>
      <c r="E4539" s="525">
        <v>40000</v>
      </c>
      <c r="F4539" s="502">
        <f t="shared" si="72"/>
        <v>74.976148212849779</v>
      </c>
      <c r="G4539" s="503">
        <v>533.50300000000004</v>
      </c>
      <c r="H4539" s="525" t="s">
        <v>182</v>
      </c>
      <c r="I4539" s="525" t="s">
        <v>4253</v>
      </c>
      <c r="J4539" s="505" t="s">
        <v>96</v>
      </c>
      <c r="K4539" s="505" t="s">
        <v>2102</v>
      </c>
      <c r="L4539" s="505" t="s">
        <v>153</v>
      </c>
    </row>
    <row r="4540" spans="1:12" ht="15.6">
      <c r="A4540" s="524">
        <v>45989</v>
      </c>
      <c r="B4540" s="525" t="s">
        <v>4912</v>
      </c>
      <c r="C4540" s="525" t="s">
        <v>172</v>
      </c>
      <c r="D4540" s="510" t="s">
        <v>119</v>
      </c>
      <c r="E4540" s="525">
        <v>1500</v>
      </c>
      <c r="F4540" s="502">
        <f t="shared" si="72"/>
        <v>2.8116055579818666</v>
      </c>
      <c r="G4540" s="503">
        <v>533.50300000000004</v>
      </c>
      <c r="H4540" s="525" t="s">
        <v>182</v>
      </c>
      <c r="I4540" s="525" t="s">
        <v>4237</v>
      </c>
      <c r="J4540" s="505" t="s">
        <v>96</v>
      </c>
      <c r="K4540" s="505" t="s">
        <v>2102</v>
      </c>
      <c r="L4540" s="505" t="s">
        <v>153</v>
      </c>
    </row>
    <row r="4541" spans="1:12" ht="15.6">
      <c r="A4541" s="524">
        <v>45989</v>
      </c>
      <c r="B4541" s="525" t="s">
        <v>4917</v>
      </c>
      <c r="C4541" s="525" t="s">
        <v>172</v>
      </c>
      <c r="D4541" s="510" t="s">
        <v>119</v>
      </c>
      <c r="E4541" s="525">
        <v>1000</v>
      </c>
      <c r="F4541" s="502">
        <f t="shared" si="72"/>
        <v>1.8744037053212446</v>
      </c>
      <c r="G4541" s="503">
        <v>533.50300000000004</v>
      </c>
      <c r="H4541" s="525" t="s">
        <v>182</v>
      </c>
      <c r="I4541" s="525" t="s">
        <v>4237</v>
      </c>
      <c r="J4541" s="505" t="s">
        <v>96</v>
      </c>
      <c r="K4541" s="505" t="s">
        <v>2102</v>
      </c>
      <c r="L4541" s="505" t="s">
        <v>153</v>
      </c>
    </row>
    <row r="4542" spans="1:12" ht="15.6">
      <c r="A4542" s="526">
        <v>45989</v>
      </c>
      <c r="B4542" s="519" t="s">
        <v>4748</v>
      </c>
      <c r="C4542" s="519" t="s">
        <v>175</v>
      </c>
      <c r="D4542" s="510" t="s">
        <v>119</v>
      </c>
      <c r="E4542" s="519">
        <v>40000</v>
      </c>
      <c r="F4542" s="502">
        <f t="shared" si="72"/>
        <v>74.976148212849779</v>
      </c>
      <c r="G4542" s="503">
        <v>533.50300000000004</v>
      </c>
      <c r="H4542" s="519" t="s">
        <v>315</v>
      </c>
      <c r="I4542" s="519" t="s">
        <v>4303</v>
      </c>
      <c r="J4542" s="505" t="s">
        <v>96</v>
      </c>
      <c r="K4542" s="505" t="s">
        <v>2102</v>
      </c>
      <c r="L4542" s="505" t="s">
        <v>153</v>
      </c>
    </row>
    <row r="4543" spans="1:12" ht="15.6">
      <c r="A4543" s="526">
        <v>45989</v>
      </c>
      <c r="B4543" s="519" t="s">
        <v>4876</v>
      </c>
      <c r="C4543" s="519" t="s">
        <v>172</v>
      </c>
      <c r="D4543" s="510" t="s">
        <v>119</v>
      </c>
      <c r="E4543" s="519">
        <v>2000</v>
      </c>
      <c r="F4543" s="502">
        <f t="shared" si="72"/>
        <v>3.7488074106424891</v>
      </c>
      <c r="G4543" s="503">
        <v>533.50300000000004</v>
      </c>
      <c r="H4543" s="519" t="s">
        <v>315</v>
      </c>
      <c r="I4543" s="519" t="s">
        <v>4288</v>
      </c>
      <c r="J4543" s="505" t="s">
        <v>96</v>
      </c>
      <c r="K4543" s="505" t="s">
        <v>2102</v>
      </c>
      <c r="L4543" s="505" t="s">
        <v>153</v>
      </c>
    </row>
    <row r="4544" spans="1:12" ht="15.6">
      <c r="A4544" s="526">
        <v>45989</v>
      </c>
      <c r="B4544" s="519" t="s">
        <v>4749</v>
      </c>
      <c r="C4544" s="519" t="s">
        <v>172</v>
      </c>
      <c r="D4544" s="510" t="s">
        <v>119</v>
      </c>
      <c r="E4544" s="519">
        <v>5000</v>
      </c>
      <c r="F4544" s="502">
        <f t="shared" si="72"/>
        <v>9.3720185266062224</v>
      </c>
      <c r="G4544" s="503">
        <v>533.50300000000004</v>
      </c>
      <c r="H4544" s="519" t="s">
        <v>315</v>
      </c>
      <c r="I4544" s="519" t="s">
        <v>4304</v>
      </c>
      <c r="J4544" s="505" t="s">
        <v>96</v>
      </c>
      <c r="K4544" s="505" t="s">
        <v>2102</v>
      </c>
      <c r="L4544" s="505" t="s">
        <v>153</v>
      </c>
    </row>
    <row r="4545" spans="1:12" ht="15.6">
      <c r="A4545" s="526">
        <v>45989</v>
      </c>
      <c r="B4545" s="519" t="s">
        <v>4896</v>
      </c>
      <c r="C4545" s="519" t="s">
        <v>172</v>
      </c>
      <c r="D4545" s="510" t="s">
        <v>119</v>
      </c>
      <c r="E4545" s="519">
        <v>500</v>
      </c>
      <c r="F4545" s="502">
        <f t="shared" si="72"/>
        <v>0.93720185266062228</v>
      </c>
      <c r="G4545" s="503">
        <v>533.50300000000004</v>
      </c>
      <c r="H4545" s="519" t="s">
        <v>315</v>
      </c>
      <c r="I4545" s="519" t="s">
        <v>4288</v>
      </c>
      <c r="J4545" s="505" t="s">
        <v>96</v>
      </c>
      <c r="K4545" s="505" t="s">
        <v>2102</v>
      </c>
      <c r="L4545" s="505" t="s">
        <v>153</v>
      </c>
    </row>
    <row r="4546" spans="1:12" ht="15.6">
      <c r="A4546" s="526">
        <v>45989</v>
      </c>
      <c r="B4546" s="519" t="s">
        <v>4888</v>
      </c>
      <c r="C4546" s="519" t="s">
        <v>172</v>
      </c>
      <c r="D4546" s="510" t="s">
        <v>119</v>
      </c>
      <c r="E4546" s="519">
        <v>500</v>
      </c>
      <c r="F4546" s="502">
        <f t="shared" si="72"/>
        <v>0.93720185266062228</v>
      </c>
      <c r="G4546" s="503">
        <v>533.50300000000004</v>
      </c>
      <c r="H4546" s="519" t="s">
        <v>315</v>
      </c>
      <c r="I4546" s="519" t="s">
        <v>4288</v>
      </c>
      <c r="J4546" s="505" t="s">
        <v>96</v>
      </c>
      <c r="K4546" s="505" t="s">
        <v>2102</v>
      </c>
      <c r="L4546" s="505" t="s">
        <v>153</v>
      </c>
    </row>
    <row r="4547" spans="1:12" ht="15.6">
      <c r="A4547" s="526">
        <v>45989</v>
      </c>
      <c r="B4547" s="519" t="s">
        <v>4888</v>
      </c>
      <c r="C4547" s="519" t="s">
        <v>172</v>
      </c>
      <c r="D4547" s="510" t="s">
        <v>119</v>
      </c>
      <c r="E4547" s="519">
        <v>500</v>
      </c>
      <c r="F4547" s="502">
        <f t="shared" si="72"/>
        <v>0.93720185266062228</v>
      </c>
      <c r="G4547" s="503">
        <v>533.50300000000004</v>
      </c>
      <c r="H4547" s="519" t="s">
        <v>315</v>
      </c>
      <c r="I4547" s="519" t="s">
        <v>4288</v>
      </c>
      <c r="J4547" s="505" t="s">
        <v>96</v>
      </c>
      <c r="K4547" s="505" t="s">
        <v>2102</v>
      </c>
      <c r="L4547" s="505" t="s">
        <v>153</v>
      </c>
    </row>
    <row r="4548" spans="1:12" ht="15.6">
      <c r="A4548" s="526">
        <v>45989</v>
      </c>
      <c r="B4548" s="519" t="s">
        <v>4750</v>
      </c>
      <c r="C4548" s="519" t="s">
        <v>2394</v>
      </c>
      <c r="D4548" s="510" t="s">
        <v>119</v>
      </c>
      <c r="E4548" s="521">
        <v>40000</v>
      </c>
      <c r="F4548" s="502">
        <f t="shared" si="72"/>
        <v>74.976148212849779</v>
      </c>
      <c r="G4548" s="503">
        <v>533.50300000000004</v>
      </c>
      <c r="H4548" s="519" t="s">
        <v>321</v>
      </c>
      <c r="I4548" s="519" t="s">
        <v>4329</v>
      </c>
      <c r="J4548" s="505" t="s">
        <v>96</v>
      </c>
      <c r="K4548" s="505" t="s">
        <v>2102</v>
      </c>
      <c r="L4548" s="505" t="s">
        <v>153</v>
      </c>
    </row>
    <row r="4549" spans="1:12" ht="15.6">
      <c r="A4549" s="526">
        <v>45989</v>
      </c>
      <c r="B4549" s="519" t="s">
        <v>4907</v>
      </c>
      <c r="C4549" s="519" t="s">
        <v>172</v>
      </c>
      <c r="D4549" s="510" t="s">
        <v>119</v>
      </c>
      <c r="E4549" s="521">
        <v>1000</v>
      </c>
      <c r="F4549" s="502">
        <f t="shared" si="72"/>
        <v>1.8744037053212446</v>
      </c>
      <c r="G4549" s="503">
        <v>533.50300000000004</v>
      </c>
      <c r="H4549" s="519" t="s">
        <v>321</v>
      </c>
      <c r="I4549" s="519" t="s">
        <v>4314</v>
      </c>
      <c r="J4549" s="505" t="s">
        <v>96</v>
      </c>
      <c r="K4549" s="505" t="s">
        <v>2102</v>
      </c>
      <c r="L4549" s="505" t="s">
        <v>153</v>
      </c>
    </row>
    <row r="4550" spans="1:12" ht="15.6">
      <c r="A4550" s="526">
        <v>45989</v>
      </c>
      <c r="B4550" s="519" t="s">
        <v>4752</v>
      </c>
      <c r="C4550" s="519" t="s">
        <v>172</v>
      </c>
      <c r="D4550" s="510" t="s">
        <v>119</v>
      </c>
      <c r="E4550" s="521">
        <v>5000</v>
      </c>
      <c r="F4550" s="502">
        <f t="shared" si="72"/>
        <v>9.3720185266062224</v>
      </c>
      <c r="G4550" s="503">
        <v>533.50300000000004</v>
      </c>
      <c r="H4550" s="519" t="s">
        <v>321</v>
      </c>
      <c r="I4550" s="505" t="s">
        <v>4330</v>
      </c>
      <c r="J4550" s="505" t="s">
        <v>96</v>
      </c>
      <c r="K4550" s="505" t="s">
        <v>2102</v>
      </c>
      <c r="L4550" s="505" t="s">
        <v>153</v>
      </c>
    </row>
    <row r="4551" spans="1:12" ht="15.6">
      <c r="A4551" s="526">
        <v>45989</v>
      </c>
      <c r="B4551" s="519" t="s">
        <v>4888</v>
      </c>
      <c r="C4551" s="519" t="s">
        <v>172</v>
      </c>
      <c r="D4551" s="510" t="s">
        <v>119</v>
      </c>
      <c r="E4551" s="521">
        <v>500</v>
      </c>
      <c r="F4551" s="502">
        <f t="shared" si="72"/>
        <v>0.93720185266062228</v>
      </c>
      <c r="G4551" s="503">
        <v>533.50300000000004</v>
      </c>
      <c r="H4551" s="519" t="s">
        <v>321</v>
      </c>
      <c r="I4551" s="519" t="s">
        <v>4314</v>
      </c>
      <c r="J4551" s="505" t="s">
        <v>96</v>
      </c>
      <c r="K4551" s="505" t="s">
        <v>2102</v>
      </c>
      <c r="L4551" s="505" t="s">
        <v>153</v>
      </c>
    </row>
    <row r="4552" spans="1:12" ht="15.6">
      <c r="A4552" s="526">
        <v>45989</v>
      </c>
      <c r="B4552" s="519" t="s">
        <v>4967</v>
      </c>
      <c r="C4552" s="519" t="s">
        <v>172</v>
      </c>
      <c r="D4552" s="510" t="s">
        <v>119</v>
      </c>
      <c r="E4552" s="521">
        <v>500</v>
      </c>
      <c r="F4552" s="502">
        <f t="shared" si="72"/>
        <v>0.93720185266062228</v>
      </c>
      <c r="G4552" s="503">
        <v>533.50300000000004</v>
      </c>
      <c r="H4552" s="519" t="s">
        <v>321</v>
      </c>
      <c r="I4552" s="519" t="s">
        <v>4314</v>
      </c>
      <c r="J4552" s="505" t="s">
        <v>96</v>
      </c>
      <c r="K4552" s="505" t="s">
        <v>2102</v>
      </c>
      <c r="L4552" s="505" t="s">
        <v>153</v>
      </c>
    </row>
    <row r="4553" spans="1:12" ht="15.6">
      <c r="A4553" s="526">
        <v>45989</v>
      </c>
      <c r="B4553" s="519" t="s">
        <v>4967</v>
      </c>
      <c r="C4553" s="519" t="s">
        <v>172</v>
      </c>
      <c r="D4553" s="510" t="s">
        <v>119</v>
      </c>
      <c r="E4553" s="521">
        <v>500</v>
      </c>
      <c r="F4553" s="502">
        <f t="shared" si="72"/>
        <v>0.93720185266062228</v>
      </c>
      <c r="G4553" s="503">
        <v>533.50300000000004</v>
      </c>
      <c r="H4553" s="519" t="s">
        <v>321</v>
      </c>
      <c r="I4553" s="519" t="s">
        <v>4314</v>
      </c>
      <c r="J4553" s="505" t="s">
        <v>96</v>
      </c>
      <c r="K4553" s="505" t="s">
        <v>2102</v>
      </c>
      <c r="L4553" s="505" t="s">
        <v>153</v>
      </c>
    </row>
    <row r="4554" spans="1:12" ht="15.6">
      <c r="A4554" s="526">
        <v>45989</v>
      </c>
      <c r="B4554" s="519" t="s">
        <v>2932</v>
      </c>
      <c r="C4554" s="519" t="s">
        <v>366</v>
      </c>
      <c r="D4554" s="510" t="s">
        <v>119</v>
      </c>
      <c r="E4554" s="521">
        <v>1500</v>
      </c>
      <c r="F4554" s="502">
        <f t="shared" si="72"/>
        <v>2.7602044759475781</v>
      </c>
      <c r="G4554" s="503">
        <v>543.43799999999999</v>
      </c>
      <c r="H4554" s="519" t="s">
        <v>321</v>
      </c>
      <c r="I4554" s="519" t="s">
        <v>4321</v>
      </c>
      <c r="J4554" s="505" t="s">
        <v>96</v>
      </c>
      <c r="K4554" s="505" t="s">
        <v>4104</v>
      </c>
      <c r="L4554" s="505" t="s">
        <v>153</v>
      </c>
    </row>
    <row r="4555" spans="1:12" ht="15.6">
      <c r="A4555" s="526">
        <v>45989</v>
      </c>
      <c r="B4555" s="519" t="s">
        <v>4967</v>
      </c>
      <c r="C4555" s="519" t="s">
        <v>172</v>
      </c>
      <c r="D4555" s="510" t="s">
        <v>119</v>
      </c>
      <c r="E4555" s="521">
        <v>500</v>
      </c>
      <c r="F4555" s="502">
        <f t="shared" si="72"/>
        <v>0.93720185266062228</v>
      </c>
      <c r="G4555" s="503">
        <v>533.50300000000004</v>
      </c>
      <c r="H4555" s="519" t="s">
        <v>321</v>
      </c>
      <c r="I4555" s="519" t="s">
        <v>4314</v>
      </c>
      <c r="J4555" s="505" t="s">
        <v>96</v>
      </c>
      <c r="K4555" s="505" t="s">
        <v>2102</v>
      </c>
      <c r="L4555" s="505" t="s">
        <v>153</v>
      </c>
    </row>
    <row r="4556" spans="1:12" ht="15.6">
      <c r="A4556" s="529">
        <v>45989</v>
      </c>
      <c r="B4556" s="505" t="s">
        <v>4439</v>
      </c>
      <c r="C4556" s="505" t="s">
        <v>175</v>
      </c>
      <c r="D4556" s="505" t="s">
        <v>115</v>
      </c>
      <c r="E4556" s="530">
        <v>45000</v>
      </c>
      <c r="F4556" s="502">
        <f t="shared" si="72"/>
        <v>84.348166739456005</v>
      </c>
      <c r="G4556" s="503">
        <v>533.50300000000004</v>
      </c>
      <c r="H4556" s="298" t="s">
        <v>435</v>
      </c>
      <c r="I4556" s="505" t="s">
        <v>4457</v>
      </c>
      <c r="J4556" s="505" t="s">
        <v>96</v>
      </c>
      <c r="K4556" s="505" t="s">
        <v>2102</v>
      </c>
      <c r="L4556" s="505" t="s">
        <v>153</v>
      </c>
    </row>
    <row r="4557" spans="1:12" ht="15.6">
      <c r="A4557" s="529">
        <v>45989</v>
      </c>
      <c r="B4557" s="505" t="s">
        <v>3084</v>
      </c>
      <c r="C4557" s="298" t="s">
        <v>194</v>
      </c>
      <c r="D4557" s="298" t="s">
        <v>115</v>
      </c>
      <c r="E4557" s="521">
        <v>500</v>
      </c>
      <c r="F4557" s="502">
        <f t="shared" si="72"/>
        <v>0.93720185266062228</v>
      </c>
      <c r="G4557" s="503">
        <v>533.50300000000004</v>
      </c>
      <c r="H4557" s="298" t="s">
        <v>435</v>
      </c>
      <c r="I4557" s="519" t="s">
        <v>4451</v>
      </c>
      <c r="J4557" s="505" t="s">
        <v>96</v>
      </c>
      <c r="K4557" s="505" t="s">
        <v>2102</v>
      </c>
      <c r="L4557" s="505" t="s">
        <v>153</v>
      </c>
    </row>
    <row r="4558" spans="1:12" ht="15.6">
      <c r="A4558" s="529">
        <v>45989</v>
      </c>
      <c r="B4558" s="505" t="s">
        <v>3085</v>
      </c>
      <c r="C4558" s="298" t="s">
        <v>194</v>
      </c>
      <c r="D4558" s="298" t="s">
        <v>115</v>
      </c>
      <c r="E4558" s="521">
        <v>500</v>
      </c>
      <c r="F4558" s="502">
        <f t="shared" si="72"/>
        <v>0.93720185266062228</v>
      </c>
      <c r="G4558" s="503">
        <v>533.50300000000004</v>
      </c>
      <c r="H4558" s="298" t="s">
        <v>435</v>
      </c>
      <c r="I4558" s="519" t="s">
        <v>4451</v>
      </c>
      <c r="J4558" s="505" t="s">
        <v>96</v>
      </c>
      <c r="K4558" s="505" t="s">
        <v>2102</v>
      </c>
      <c r="L4558" s="505" t="s">
        <v>153</v>
      </c>
    </row>
    <row r="4559" spans="1:12" ht="15.6">
      <c r="A4559" s="486">
        <v>45990</v>
      </c>
      <c r="B4559" s="478" t="s">
        <v>4132</v>
      </c>
      <c r="C4559" s="478" t="s">
        <v>125</v>
      </c>
      <c r="D4559" s="501" t="s">
        <v>117</v>
      </c>
      <c r="E4559" s="480">
        <v>174625</v>
      </c>
      <c r="F4559" s="502">
        <f t="shared" si="72"/>
        <v>327.31774704172233</v>
      </c>
      <c r="G4559" s="503">
        <v>533.50300000000004</v>
      </c>
      <c r="H4559" s="504" t="s">
        <v>151</v>
      </c>
      <c r="I4559" s="478" t="s">
        <v>4142</v>
      </c>
      <c r="J4559" s="505" t="s">
        <v>96</v>
      </c>
      <c r="K4559" s="505" t="s">
        <v>2102</v>
      </c>
      <c r="L4559" s="505" t="s">
        <v>153</v>
      </c>
    </row>
    <row r="4560" spans="1:12" ht="15.6">
      <c r="A4560" s="524">
        <v>45990</v>
      </c>
      <c r="B4560" s="525" t="s">
        <v>4886</v>
      </c>
      <c r="C4560" s="525" t="s">
        <v>172</v>
      </c>
      <c r="D4560" s="510" t="s">
        <v>119</v>
      </c>
      <c r="E4560" s="525">
        <v>700</v>
      </c>
      <c r="F4560" s="502">
        <f t="shared" si="72"/>
        <v>1.3120825937248712</v>
      </c>
      <c r="G4560" s="503">
        <v>533.50300000000004</v>
      </c>
      <c r="H4560" s="525" t="s">
        <v>182</v>
      </c>
      <c r="I4560" s="525" t="s">
        <v>4237</v>
      </c>
      <c r="J4560" s="505" t="s">
        <v>96</v>
      </c>
      <c r="K4560" s="505" t="s">
        <v>2102</v>
      </c>
      <c r="L4560" s="505" t="s">
        <v>153</v>
      </c>
    </row>
    <row r="4561" spans="1:12" ht="15.6">
      <c r="A4561" s="524">
        <v>45990</v>
      </c>
      <c r="B4561" s="525" t="s">
        <v>4894</v>
      </c>
      <c r="C4561" s="525" t="s">
        <v>172</v>
      </c>
      <c r="D4561" s="510" t="s">
        <v>119</v>
      </c>
      <c r="E4561" s="525">
        <v>700</v>
      </c>
      <c r="F4561" s="502">
        <f t="shared" si="72"/>
        <v>1.3120825937248712</v>
      </c>
      <c r="G4561" s="503">
        <v>533.50300000000004</v>
      </c>
      <c r="H4561" s="525" t="s">
        <v>182</v>
      </c>
      <c r="I4561" s="525" t="s">
        <v>4237</v>
      </c>
      <c r="J4561" s="505" t="s">
        <v>96</v>
      </c>
      <c r="K4561" s="505" t="s">
        <v>2102</v>
      </c>
      <c r="L4561" s="505" t="s">
        <v>153</v>
      </c>
    </row>
    <row r="4562" spans="1:12" ht="15.6">
      <c r="A4562" s="524">
        <v>45990</v>
      </c>
      <c r="B4562" s="525" t="s">
        <v>4894</v>
      </c>
      <c r="C4562" s="525" t="s">
        <v>172</v>
      </c>
      <c r="D4562" s="510" t="s">
        <v>119</v>
      </c>
      <c r="E4562" s="525">
        <v>700</v>
      </c>
      <c r="F4562" s="502">
        <f t="shared" si="72"/>
        <v>1.3120825937248712</v>
      </c>
      <c r="G4562" s="503">
        <v>533.50300000000004</v>
      </c>
      <c r="H4562" s="525" t="s">
        <v>182</v>
      </c>
      <c r="I4562" s="525" t="s">
        <v>4237</v>
      </c>
      <c r="J4562" s="505" t="s">
        <v>96</v>
      </c>
      <c r="K4562" s="505" t="s">
        <v>2102</v>
      </c>
      <c r="L4562" s="505" t="s">
        <v>153</v>
      </c>
    </row>
    <row r="4563" spans="1:12" ht="15.6">
      <c r="A4563" s="524">
        <v>45990</v>
      </c>
      <c r="B4563" s="525" t="s">
        <v>4944</v>
      </c>
      <c r="C4563" s="525" t="s">
        <v>172</v>
      </c>
      <c r="D4563" s="510" t="s">
        <v>119</v>
      </c>
      <c r="E4563" s="525">
        <v>700</v>
      </c>
      <c r="F4563" s="502">
        <f t="shared" si="72"/>
        <v>1.3120825937248712</v>
      </c>
      <c r="G4563" s="503">
        <v>533.50300000000004</v>
      </c>
      <c r="H4563" s="525" t="s">
        <v>182</v>
      </c>
      <c r="I4563" s="525" t="s">
        <v>4237</v>
      </c>
      <c r="J4563" s="505" t="s">
        <v>96</v>
      </c>
      <c r="K4563" s="505" t="s">
        <v>2102</v>
      </c>
      <c r="L4563" s="505" t="s">
        <v>153</v>
      </c>
    </row>
    <row r="4564" spans="1:12" ht="15.6">
      <c r="A4564" s="524">
        <v>45990</v>
      </c>
      <c r="B4564" s="525" t="s">
        <v>4975</v>
      </c>
      <c r="C4564" s="525" t="s">
        <v>366</v>
      </c>
      <c r="D4564" s="510" t="s">
        <v>119</v>
      </c>
      <c r="E4564" s="525">
        <v>2000</v>
      </c>
      <c r="F4564" s="502">
        <f t="shared" si="72"/>
        <v>3.6802726345967711</v>
      </c>
      <c r="G4564" s="503">
        <v>543.43799999999999</v>
      </c>
      <c r="H4564" s="525" t="s">
        <v>182</v>
      </c>
      <c r="I4564" s="525" t="s">
        <v>4238</v>
      </c>
      <c r="J4564" s="505" t="s">
        <v>96</v>
      </c>
      <c r="K4564" s="505" t="s">
        <v>4104</v>
      </c>
      <c r="L4564" s="505" t="s">
        <v>153</v>
      </c>
    </row>
    <row r="4565" spans="1:12" ht="15.6">
      <c r="A4565" s="526">
        <v>45990</v>
      </c>
      <c r="B4565" s="519" t="s">
        <v>4888</v>
      </c>
      <c r="C4565" s="519" t="s">
        <v>172</v>
      </c>
      <c r="D4565" s="510" t="s">
        <v>119</v>
      </c>
      <c r="E4565" s="519">
        <v>500</v>
      </c>
      <c r="F4565" s="502">
        <f t="shared" si="72"/>
        <v>0.93720185266062228</v>
      </c>
      <c r="G4565" s="503">
        <v>533.50300000000004</v>
      </c>
      <c r="H4565" s="519" t="s">
        <v>315</v>
      </c>
      <c r="I4565" s="519" t="s">
        <v>4288</v>
      </c>
      <c r="J4565" s="505" t="s">
        <v>96</v>
      </c>
      <c r="K4565" s="505" t="s">
        <v>2102</v>
      </c>
      <c r="L4565" s="505" t="s">
        <v>153</v>
      </c>
    </row>
    <row r="4566" spans="1:12" ht="15.6">
      <c r="A4566" s="526">
        <v>45990</v>
      </c>
      <c r="B4566" s="519" t="s">
        <v>4985</v>
      </c>
      <c r="C4566" s="519" t="s">
        <v>363</v>
      </c>
      <c r="D4566" s="510" t="s">
        <v>119</v>
      </c>
      <c r="E4566" s="519">
        <v>2000</v>
      </c>
      <c r="F4566" s="502">
        <f t="shared" si="72"/>
        <v>3.6802726345967711</v>
      </c>
      <c r="G4566" s="503">
        <v>543.43799999999999</v>
      </c>
      <c r="H4566" s="519" t="s">
        <v>315</v>
      </c>
      <c r="I4566" s="519" t="s">
        <v>4291</v>
      </c>
      <c r="J4566" s="505" t="s">
        <v>96</v>
      </c>
      <c r="K4566" s="505" t="s">
        <v>4104</v>
      </c>
      <c r="L4566" s="505" t="s">
        <v>153</v>
      </c>
    </row>
    <row r="4567" spans="1:12" ht="15.6">
      <c r="A4567" s="526">
        <v>45990</v>
      </c>
      <c r="B4567" s="519" t="s">
        <v>4896</v>
      </c>
      <c r="C4567" s="519" t="s">
        <v>172</v>
      </c>
      <c r="D4567" s="510" t="s">
        <v>119</v>
      </c>
      <c r="E4567" s="519">
        <v>500</v>
      </c>
      <c r="F4567" s="502">
        <f t="shared" si="72"/>
        <v>0.93720185266062228</v>
      </c>
      <c r="G4567" s="503">
        <v>533.50300000000004</v>
      </c>
      <c r="H4567" s="519" t="s">
        <v>315</v>
      </c>
      <c r="I4567" s="519" t="s">
        <v>4288</v>
      </c>
      <c r="J4567" s="505" t="s">
        <v>96</v>
      </c>
      <c r="K4567" s="505" t="s">
        <v>2102</v>
      </c>
      <c r="L4567" s="505" t="s">
        <v>153</v>
      </c>
    </row>
    <row r="4568" spans="1:12" ht="15.6">
      <c r="A4568" s="526">
        <v>45990</v>
      </c>
      <c r="B4568" s="519" t="s">
        <v>4888</v>
      </c>
      <c r="C4568" s="519" t="s">
        <v>172</v>
      </c>
      <c r="D4568" s="510" t="s">
        <v>119</v>
      </c>
      <c r="E4568" s="519">
        <v>500</v>
      </c>
      <c r="F4568" s="502">
        <f t="shared" si="72"/>
        <v>0.93720185266062228</v>
      </c>
      <c r="G4568" s="503">
        <v>533.50300000000004</v>
      </c>
      <c r="H4568" s="519" t="s">
        <v>315</v>
      </c>
      <c r="I4568" s="519" t="s">
        <v>4288</v>
      </c>
      <c r="J4568" s="505" t="s">
        <v>96</v>
      </c>
      <c r="K4568" s="505" t="s">
        <v>2102</v>
      </c>
      <c r="L4568" s="505" t="s">
        <v>153</v>
      </c>
    </row>
    <row r="4569" spans="1:12" ht="15.6">
      <c r="A4569" s="526">
        <v>45990</v>
      </c>
      <c r="B4569" s="519" t="s">
        <v>4888</v>
      </c>
      <c r="C4569" s="519" t="s">
        <v>172</v>
      </c>
      <c r="D4569" s="510" t="s">
        <v>119</v>
      </c>
      <c r="E4569" s="519">
        <v>500</v>
      </c>
      <c r="F4569" s="502">
        <f t="shared" si="72"/>
        <v>0.93720185266062228</v>
      </c>
      <c r="G4569" s="503">
        <v>533.50300000000004</v>
      </c>
      <c r="H4569" s="519" t="s">
        <v>315</v>
      </c>
      <c r="I4569" s="519" t="s">
        <v>4288</v>
      </c>
      <c r="J4569" s="505" t="s">
        <v>96</v>
      </c>
      <c r="K4569" s="505" t="s">
        <v>2102</v>
      </c>
      <c r="L4569" s="505" t="s">
        <v>153</v>
      </c>
    </row>
    <row r="4570" spans="1:12" ht="15.6">
      <c r="A4570" s="526">
        <v>45990</v>
      </c>
      <c r="B4570" s="519" t="s">
        <v>4967</v>
      </c>
      <c r="C4570" s="519" t="s">
        <v>172</v>
      </c>
      <c r="D4570" s="510" t="s">
        <v>119</v>
      </c>
      <c r="E4570" s="521">
        <v>500</v>
      </c>
      <c r="F4570" s="502">
        <f t="shared" si="72"/>
        <v>0.93720185266062228</v>
      </c>
      <c r="G4570" s="503">
        <v>533.50300000000004</v>
      </c>
      <c r="H4570" s="519" t="s">
        <v>321</v>
      </c>
      <c r="I4570" s="519" t="s">
        <v>4314</v>
      </c>
      <c r="J4570" s="505" t="s">
        <v>96</v>
      </c>
      <c r="K4570" s="505" t="s">
        <v>2102</v>
      </c>
      <c r="L4570" s="505" t="s">
        <v>153</v>
      </c>
    </row>
    <row r="4571" spans="1:12" ht="15.6">
      <c r="A4571" s="526">
        <v>45990</v>
      </c>
      <c r="B4571" s="519" t="s">
        <v>4967</v>
      </c>
      <c r="C4571" s="519" t="s">
        <v>172</v>
      </c>
      <c r="D4571" s="510" t="s">
        <v>119</v>
      </c>
      <c r="E4571" s="521">
        <v>500</v>
      </c>
      <c r="F4571" s="502">
        <f t="shared" si="72"/>
        <v>0.93720185266062228</v>
      </c>
      <c r="G4571" s="503">
        <v>533.50300000000004</v>
      </c>
      <c r="H4571" s="519" t="s">
        <v>321</v>
      </c>
      <c r="I4571" s="519" t="s">
        <v>4314</v>
      </c>
      <c r="J4571" s="505" t="s">
        <v>96</v>
      </c>
      <c r="K4571" s="505" t="s">
        <v>2102</v>
      </c>
      <c r="L4571" s="505" t="s">
        <v>153</v>
      </c>
    </row>
    <row r="4572" spans="1:12" ht="15.6">
      <c r="A4572" s="526">
        <v>45990</v>
      </c>
      <c r="B4572" s="519" t="s">
        <v>2932</v>
      </c>
      <c r="C4572" s="519" t="s">
        <v>366</v>
      </c>
      <c r="D4572" s="510" t="s">
        <v>119</v>
      </c>
      <c r="E4572" s="521">
        <v>1500</v>
      </c>
      <c r="F4572" s="502">
        <f t="shared" si="72"/>
        <v>2.7602044759475781</v>
      </c>
      <c r="G4572" s="503">
        <v>543.43799999999999</v>
      </c>
      <c r="H4572" s="519" t="s">
        <v>321</v>
      </c>
      <c r="I4572" s="519" t="s">
        <v>4321</v>
      </c>
      <c r="J4572" s="505" t="s">
        <v>96</v>
      </c>
      <c r="K4572" s="505" t="s">
        <v>4104</v>
      </c>
      <c r="L4572" s="505" t="s">
        <v>153</v>
      </c>
    </row>
    <row r="4573" spans="1:12" ht="15.6">
      <c r="A4573" s="526">
        <v>45990</v>
      </c>
      <c r="B4573" s="519" t="s">
        <v>4967</v>
      </c>
      <c r="C4573" s="519" t="s">
        <v>172</v>
      </c>
      <c r="D4573" s="510" t="s">
        <v>119</v>
      </c>
      <c r="E4573" s="521">
        <v>500</v>
      </c>
      <c r="F4573" s="502">
        <f t="shared" si="72"/>
        <v>0.93720185266062228</v>
      </c>
      <c r="G4573" s="503">
        <v>533.50300000000004</v>
      </c>
      <c r="H4573" s="519" t="s">
        <v>321</v>
      </c>
      <c r="I4573" s="519" t="s">
        <v>4314</v>
      </c>
      <c r="J4573" s="505" t="s">
        <v>96</v>
      </c>
      <c r="K4573" s="505" t="s">
        <v>2102</v>
      </c>
      <c r="L4573" s="505" t="s">
        <v>153</v>
      </c>
    </row>
    <row r="4574" spans="1:12" ht="15.6">
      <c r="A4574" s="526">
        <v>45990</v>
      </c>
      <c r="B4574" s="519" t="s">
        <v>4967</v>
      </c>
      <c r="C4574" s="519" t="s">
        <v>172</v>
      </c>
      <c r="D4574" s="510" t="s">
        <v>119</v>
      </c>
      <c r="E4574" s="521">
        <v>500</v>
      </c>
      <c r="F4574" s="502">
        <f t="shared" si="72"/>
        <v>0.93720185266062228</v>
      </c>
      <c r="G4574" s="503">
        <v>533.50300000000004</v>
      </c>
      <c r="H4574" s="519" t="s">
        <v>321</v>
      </c>
      <c r="I4574" s="519" t="s">
        <v>4314</v>
      </c>
      <c r="J4574" s="505" t="s">
        <v>96</v>
      </c>
      <c r="K4574" s="505" t="s">
        <v>2102</v>
      </c>
      <c r="L4574" s="505" t="s">
        <v>153</v>
      </c>
    </row>
    <row r="4575" spans="1:12" ht="15.6">
      <c r="A4575" s="529">
        <v>45990</v>
      </c>
      <c r="B4575" s="505" t="s">
        <v>4440</v>
      </c>
      <c r="C4575" s="505" t="s">
        <v>175</v>
      </c>
      <c r="D4575" s="505" t="s">
        <v>115</v>
      </c>
      <c r="E4575" s="530">
        <v>15000</v>
      </c>
      <c r="F4575" s="502">
        <f t="shared" si="72"/>
        <v>28.116055579818667</v>
      </c>
      <c r="G4575" s="503">
        <v>533.50300000000004</v>
      </c>
      <c r="H4575" s="298" t="s">
        <v>435</v>
      </c>
      <c r="I4575" s="505" t="s">
        <v>4458</v>
      </c>
      <c r="J4575" s="505" t="s">
        <v>96</v>
      </c>
      <c r="K4575" s="505" t="s">
        <v>2102</v>
      </c>
      <c r="L4575" s="505" t="s">
        <v>153</v>
      </c>
    </row>
    <row r="4576" spans="1:12" ht="15.6">
      <c r="A4576" s="529">
        <v>45990</v>
      </c>
      <c r="B4576" s="505" t="s">
        <v>3087</v>
      </c>
      <c r="C4576" s="298" t="s">
        <v>194</v>
      </c>
      <c r="D4576" s="298" t="s">
        <v>115</v>
      </c>
      <c r="E4576" s="521">
        <v>500</v>
      </c>
      <c r="F4576" s="502">
        <f t="shared" si="72"/>
        <v>0.93720185266062228</v>
      </c>
      <c r="G4576" s="503">
        <v>533.50300000000004</v>
      </c>
      <c r="H4576" s="298" t="s">
        <v>435</v>
      </c>
      <c r="I4576" s="519" t="s">
        <v>4451</v>
      </c>
      <c r="J4576" s="505" t="s">
        <v>96</v>
      </c>
      <c r="K4576" s="505" t="s">
        <v>2102</v>
      </c>
      <c r="L4576" s="505" t="s">
        <v>153</v>
      </c>
    </row>
    <row r="4577" spans="1:12" ht="15.6">
      <c r="A4577" s="529">
        <v>45990</v>
      </c>
      <c r="B4577" s="505" t="s">
        <v>4441</v>
      </c>
      <c r="C4577" s="298" t="s">
        <v>194</v>
      </c>
      <c r="D4577" s="298" t="s">
        <v>115</v>
      </c>
      <c r="E4577" s="521">
        <v>500</v>
      </c>
      <c r="F4577" s="502">
        <f t="shared" si="72"/>
        <v>0.93720185266062228</v>
      </c>
      <c r="G4577" s="503">
        <v>533.50300000000004</v>
      </c>
      <c r="H4577" s="298" t="s">
        <v>435</v>
      </c>
      <c r="I4577" s="519" t="s">
        <v>4451</v>
      </c>
      <c r="J4577" s="505" t="s">
        <v>96</v>
      </c>
      <c r="K4577" s="505" t="s">
        <v>2102</v>
      </c>
      <c r="L4577" s="505" t="s">
        <v>153</v>
      </c>
    </row>
    <row r="4578" spans="1:12" ht="15.6">
      <c r="A4578" s="486">
        <v>45991</v>
      </c>
      <c r="B4578" s="478" t="s">
        <v>2103</v>
      </c>
      <c r="C4578" s="478" t="s">
        <v>172</v>
      </c>
      <c r="D4578" s="501" t="s">
        <v>117</v>
      </c>
      <c r="E4578" s="480">
        <v>1000</v>
      </c>
      <c r="F4578" s="502">
        <f t="shared" si="72"/>
        <v>1.8744037053212446</v>
      </c>
      <c r="G4578" s="503">
        <v>533.50300000000004</v>
      </c>
      <c r="H4578" s="504" t="s">
        <v>151</v>
      </c>
      <c r="I4578" s="478" t="s">
        <v>4133</v>
      </c>
      <c r="J4578" s="505" t="s">
        <v>96</v>
      </c>
      <c r="K4578" s="505" t="s">
        <v>2102</v>
      </c>
      <c r="L4578" s="505" t="s">
        <v>153</v>
      </c>
    </row>
    <row r="4579" spans="1:12" ht="15.6">
      <c r="A4579" s="486">
        <v>45991</v>
      </c>
      <c r="B4579" s="478" t="s">
        <v>2387</v>
      </c>
      <c r="C4579" s="478" t="s">
        <v>172</v>
      </c>
      <c r="D4579" s="501" t="s">
        <v>117</v>
      </c>
      <c r="E4579" s="480">
        <v>1000</v>
      </c>
      <c r="F4579" s="502">
        <f t="shared" si="72"/>
        <v>1.8744037053212446</v>
      </c>
      <c r="G4579" s="503">
        <v>533.50300000000004</v>
      </c>
      <c r="H4579" s="504" t="s">
        <v>151</v>
      </c>
      <c r="I4579" s="478" t="s">
        <v>4133</v>
      </c>
      <c r="J4579" s="505" t="s">
        <v>96</v>
      </c>
      <c r="K4579" s="505" t="s">
        <v>2102</v>
      </c>
      <c r="L4579" s="505" t="s">
        <v>153</v>
      </c>
    </row>
    <row r="4580" spans="1:12" ht="15.6">
      <c r="A4580" s="524">
        <v>45991</v>
      </c>
      <c r="B4580" s="525" t="s">
        <v>4917</v>
      </c>
      <c r="C4580" s="525" t="s">
        <v>172</v>
      </c>
      <c r="D4580" s="510" t="s">
        <v>119</v>
      </c>
      <c r="E4580" s="525">
        <v>1000</v>
      </c>
      <c r="F4580" s="502">
        <f t="shared" si="72"/>
        <v>1.8744037053212446</v>
      </c>
      <c r="G4580" s="503">
        <v>533.50300000000004</v>
      </c>
      <c r="H4580" s="525" t="s">
        <v>182</v>
      </c>
      <c r="I4580" s="525" t="s">
        <v>4237</v>
      </c>
      <c r="J4580" s="505" t="s">
        <v>96</v>
      </c>
      <c r="K4580" s="505" t="s">
        <v>2102</v>
      </c>
      <c r="L4580" s="505" t="s">
        <v>153</v>
      </c>
    </row>
    <row r="4581" spans="1:12" ht="15.6">
      <c r="A4581" s="524">
        <v>45991</v>
      </c>
      <c r="B4581" s="525" t="s">
        <v>4917</v>
      </c>
      <c r="C4581" s="525" t="s">
        <v>172</v>
      </c>
      <c r="D4581" s="510" t="s">
        <v>119</v>
      </c>
      <c r="E4581" s="525">
        <v>1000</v>
      </c>
      <c r="F4581" s="502">
        <f t="shared" si="72"/>
        <v>1.8744037053212446</v>
      </c>
      <c r="G4581" s="503">
        <v>533.50300000000004</v>
      </c>
      <c r="H4581" s="525" t="s">
        <v>182</v>
      </c>
      <c r="I4581" s="525" t="s">
        <v>4237</v>
      </c>
      <c r="J4581" s="505" t="s">
        <v>96</v>
      </c>
      <c r="K4581" s="505" t="s">
        <v>2102</v>
      </c>
      <c r="L4581" s="505" t="s">
        <v>153</v>
      </c>
    </row>
    <row r="4582" spans="1:12" ht="15.6">
      <c r="A4582" s="524">
        <v>45991</v>
      </c>
      <c r="B4582" s="525" t="s">
        <v>4986</v>
      </c>
      <c r="C4582" s="525" t="s">
        <v>175</v>
      </c>
      <c r="D4582" s="510" t="s">
        <v>119</v>
      </c>
      <c r="E4582" s="525">
        <v>30000</v>
      </c>
      <c r="F4582" s="502">
        <f t="shared" si="72"/>
        <v>56.232111159637334</v>
      </c>
      <c r="G4582" s="503">
        <v>533.50300000000004</v>
      </c>
      <c r="H4582" s="525" t="s">
        <v>182</v>
      </c>
      <c r="I4582" s="510" t="s">
        <v>4254</v>
      </c>
      <c r="J4582" s="505" t="s">
        <v>96</v>
      </c>
      <c r="K4582" s="505" t="s">
        <v>2102</v>
      </c>
      <c r="L4582" s="505" t="s">
        <v>153</v>
      </c>
    </row>
    <row r="4583" spans="1:12" ht="15.6">
      <c r="A4583" s="524">
        <v>45991</v>
      </c>
      <c r="B4583" s="525" t="s">
        <v>4987</v>
      </c>
      <c r="C4583" s="525" t="s">
        <v>172</v>
      </c>
      <c r="D4583" s="510" t="s">
        <v>119</v>
      </c>
      <c r="E4583" s="525">
        <v>5000</v>
      </c>
      <c r="F4583" s="502">
        <f t="shared" si="72"/>
        <v>9.3720185266062224</v>
      </c>
      <c r="G4583" s="503">
        <v>533.50300000000004</v>
      </c>
      <c r="H4583" s="525" t="s">
        <v>182</v>
      </c>
      <c r="I4583" s="510" t="s">
        <v>4255</v>
      </c>
      <c r="J4583" s="505" t="s">
        <v>96</v>
      </c>
      <c r="K4583" s="505" t="s">
        <v>2102</v>
      </c>
      <c r="L4583" s="505" t="s">
        <v>153</v>
      </c>
    </row>
    <row r="4584" spans="1:12" ht="15.6">
      <c r="A4584" s="526">
        <v>45991</v>
      </c>
      <c r="B4584" s="519" t="s">
        <v>4762</v>
      </c>
      <c r="C4584" s="519" t="s">
        <v>175</v>
      </c>
      <c r="D4584" s="510" t="s">
        <v>119</v>
      </c>
      <c r="E4584" s="519">
        <v>30000</v>
      </c>
      <c r="F4584" s="502">
        <f t="shared" si="72"/>
        <v>56.232111159637334</v>
      </c>
      <c r="G4584" s="503">
        <v>533.50300000000004</v>
      </c>
      <c r="H4584" s="519" t="s">
        <v>315</v>
      </c>
      <c r="I4584" s="519" t="s">
        <v>4305</v>
      </c>
      <c r="J4584" s="505" t="s">
        <v>96</v>
      </c>
      <c r="K4584" s="505" t="s">
        <v>2102</v>
      </c>
      <c r="L4584" s="505" t="s">
        <v>153</v>
      </c>
    </row>
    <row r="4585" spans="1:12" ht="15.6">
      <c r="A4585" s="526">
        <v>45991</v>
      </c>
      <c r="B4585" s="519" t="s">
        <v>4888</v>
      </c>
      <c r="C4585" s="519" t="s">
        <v>172</v>
      </c>
      <c r="D4585" s="510" t="s">
        <v>119</v>
      </c>
      <c r="E4585" s="519">
        <v>500</v>
      </c>
      <c r="F4585" s="502">
        <f t="shared" si="72"/>
        <v>0.93720185266062228</v>
      </c>
      <c r="G4585" s="503">
        <v>533.50300000000004</v>
      </c>
      <c r="H4585" s="519" t="s">
        <v>315</v>
      </c>
      <c r="I4585" s="519" t="s">
        <v>4288</v>
      </c>
      <c r="J4585" s="505" t="s">
        <v>96</v>
      </c>
      <c r="K4585" s="505" t="s">
        <v>2102</v>
      </c>
      <c r="L4585" s="505" t="s">
        <v>153</v>
      </c>
    </row>
    <row r="4586" spans="1:12" ht="15.6">
      <c r="A4586" s="526">
        <v>45991</v>
      </c>
      <c r="B4586" s="519" t="s">
        <v>4749</v>
      </c>
      <c r="C4586" s="519" t="s">
        <v>172</v>
      </c>
      <c r="D4586" s="510" t="s">
        <v>119</v>
      </c>
      <c r="E4586" s="519">
        <v>3000</v>
      </c>
      <c r="F4586" s="502">
        <f t="shared" si="72"/>
        <v>5.6232111159637332</v>
      </c>
      <c r="G4586" s="503">
        <v>533.50300000000004</v>
      </c>
      <c r="H4586" s="519" t="s">
        <v>315</v>
      </c>
      <c r="I4586" s="519" t="s">
        <v>4306</v>
      </c>
      <c r="J4586" s="505" t="s">
        <v>96</v>
      </c>
      <c r="K4586" s="505" t="s">
        <v>2102</v>
      </c>
      <c r="L4586" s="505" t="s">
        <v>153</v>
      </c>
    </row>
    <row r="4587" spans="1:12" ht="15.6">
      <c r="A4587" s="526">
        <v>45991</v>
      </c>
      <c r="B4587" s="519" t="s">
        <v>4888</v>
      </c>
      <c r="C4587" s="519" t="s">
        <v>172</v>
      </c>
      <c r="D4587" s="510" t="s">
        <v>119</v>
      </c>
      <c r="E4587" s="519">
        <v>500</v>
      </c>
      <c r="F4587" s="502">
        <f t="shared" ref="F4587:F4601" si="73">E4587/G4587</f>
        <v>0.93720185266062228</v>
      </c>
      <c r="G4587" s="503">
        <v>533.50300000000004</v>
      </c>
      <c r="H4587" s="519" t="s">
        <v>315</v>
      </c>
      <c r="I4587" s="519" t="s">
        <v>4288</v>
      </c>
      <c r="J4587" s="505" t="s">
        <v>96</v>
      </c>
      <c r="K4587" s="505" t="s">
        <v>2102</v>
      </c>
      <c r="L4587" s="505" t="s">
        <v>153</v>
      </c>
    </row>
    <row r="4588" spans="1:12" ht="15.6">
      <c r="A4588" s="526">
        <v>45991</v>
      </c>
      <c r="B4588" s="519" t="s">
        <v>4888</v>
      </c>
      <c r="C4588" s="519" t="s">
        <v>172</v>
      </c>
      <c r="D4588" s="510" t="s">
        <v>119</v>
      </c>
      <c r="E4588" s="519">
        <v>500</v>
      </c>
      <c r="F4588" s="502">
        <f t="shared" si="73"/>
        <v>0.93720185266062228</v>
      </c>
      <c r="G4588" s="503">
        <v>533.50300000000004</v>
      </c>
      <c r="H4588" s="519" t="s">
        <v>315</v>
      </c>
      <c r="I4588" s="519" t="s">
        <v>4288</v>
      </c>
      <c r="J4588" s="505" t="s">
        <v>96</v>
      </c>
      <c r="K4588" s="505" t="s">
        <v>2102</v>
      </c>
      <c r="L4588" s="505" t="s">
        <v>153</v>
      </c>
    </row>
    <row r="4589" spans="1:12" ht="15.6">
      <c r="A4589" s="526">
        <v>45991</v>
      </c>
      <c r="B4589" s="519" t="s">
        <v>4966</v>
      </c>
      <c r="C4589" s="519" t="s">
        <v>363</v>
      </c>
      <c r="D4589" s="510" t="s">
        <v>119</v>
      </c>
      <c r="E4589" s="519">
        <v>1700</v>
      </c>
      <c r="F4589" s="502">
        <f t="shared" si="73"/>
        <v>3.1282317394072554</v>
      </c>
      <c r="G4589" s="503">
        <v>543.43799999999999</v>
      </c>
      <c r="H4589" s="519" t="s">
        <v>315</v>
      </c>
      <c r="I4589" s="519" t="s">
        <v>4291</v>
      </c>
      <c r="J4589" s="505" t="s">
        <v>96</v>
      </c>
      <c r="K4589" s="505" t="s">
        <v>4104</v>
      </c>
      <c r="L4589" s="505" t="s">
        <v>153</v>
      </c>
    </row>
    <row r="4590" spans="1:12" ht="15.6">
      <c r="A4590" s="526">
        <v>45991</v>
      </c>
      <c r="B4590" s="519" t="s">
        <v>4888</v>
      </c>
      <c r="C4590" s="519" t="s">
        <v>172</v>
      </c>
      <c r="D4590" s="510" t="s">
        <v>119</v>
      </c>
      <c r="E4590" s="519">
        <v>500</v>
      </c>
      <c r="F4590" s="502">
        <f t="shared" si="73"/>
        <v>0.93720185266062228</v>
      </c>
      <c r="G4590" s="503">
        <v>533.50300000000004</v>
      </c>
      <c r="H4590" s="519" t="s">
        <v>315</v>
      </c>
      <c r="I4590" s="519" t="s">
        <v>4288</v>
      </c>
      <c r="J4590" s="505" t="s">
        <v>96</v>
      </c>
      <c r="K4590" s="505" t="s">
        <v>2102</v>
      </c>
      <c r="L4590" s="505" t="s">
        <v>153</v>
      </c>
    </row>
    <row r="4591" spans="1:12" ht="15.6">
      <c r="A4591" s="526">
        <v>45991</v>
      </c>
      <c r="B4591" s="519" t="s">
        <v>4888</v>
      </c>
      <c r="C4591" s="519" t="s">
        <v>172</v>
      </c>
      <c r="D4591" s="510" t="s">
        <v>119</v>
      </c>
      <c r="E4591" s="519">
        <v>500</v>
      </c>
      <c r="F4591" s="502">
        <f t="shared" si="73"/>
        <v>0.93720185266062228</v>
      </c>
      <c r="G4591" s="503">
        <v>533.50300000000004</v>
      </c>
      <c r="H4591" s="519" t="s">
        <v>315</v>
      </c>
      <c r="I4591" s="519" t="s">
        <v>4288</v>
      </c>
      <c r="J4591" s="505" t="s">
        <v>96</v>
      </c>
      <c r="K4591" s="505" t="s">
        <v>2102</v>
      </c>
      <c r="L4591" s="505" t="s">
        <v>153</v>
      </c>
    </row>
    <row r="4592" spans="1:12" ht="15.6">
      <c r="A4592" s="526">
        <v>45991</v>
      </c>
      <c r="B4592" s="519" t="s">
        <v>4751</v>
      </c>
      <c r="C4592" s="519" t="s">
        <v>2394</v>
      </c>
      <c r="D4592" s="510" t="s">
        <v>119</v>
      </c>
      <c r="E4592" s="521">
        <v>30000</v>
      </c>
      <c r="F4592" s="502">
        <f t="shared" si="73"/>
        <v>56.232111159637334</v>
      </c>
      <c r="G4592" s="503">
        <v>533.50300000000004</v>
      </c>
      <c r="H4592" s="519" t="s">
        <v>321</v>
      </c>
      <c r="I4592" s="505" t="s">
        <v>4331</v>
      </c>
      <c r="J4592" s="505" t="s">
        <v>96</v>
      </c>
      <c r="K4592" s="505" t="s">
        <v>2102</v>
      </c>
      <c r="L4592" s="505" t="s">
        <v>153</v>
      </c>
    </row>
    <row r="4593" spans="1:12" ht="15.6">
      <c r="A4593" s="526">
        <v>45991</v>
      </c>
      <c r="B4593" s="519" t="s">
        <v>4773</v>
      </c>
      <c r="C4593" s="519" t="s">
        <v>172</v>
      </c>
      <c r="D4593" s="510" t="s">
        <v>119</v>
      </c>
      <c r="E4593" s="521">
        <v>2000</v>
      </c>
      <c r="F4593" s="502">
        <f t="shared" si="73"/>
        <v>3.7488074106424891</v>
      </c>
      <c r="G4593" s="503">
        <v>533.50300000000004</v>
      </c>
      <c r="H4593" s="519" t="s">
        <v>321</v>
      </c>
      <c r="I4593" s="505" t="s">
        <v>4332</v>
      </c>
      <c r="J4593" s="505" t="s">
        <v>96</v>
      </c>
      <c r="K4593" s="505" t="s">
        <v>2102</v>
      </c>
      <c r="L4593" s="505" t="s">
        <v>153</v>
      </c>
    </row>
    <row r="4594" spans="1:12" ht="15.6">
      <c r="A4594" s="526">
        <v>45991</v>
      </c>
      <c r="B4594" s="519" t="s">
        <v>4945</v>
      </c>
      <c r="C4594" s="519" t="s">
        <v>172</v>
      </c>
      <c r="D4594" s="510" t="s">
        <v>119</v>
      </c>
      <c r="E4594" s="521">
        <v>500</v>
      </c>
      <c r="F4594" s="502">
        <f t="shared" si="73"/>
        <v>0.93720185266062228</v>
      </c>
      <c r="G4594" s="503">
        <v>533.50300000000004</v>
      </c>
      <c r="H4594" s="519" t="s">
        <v>321</v>
      </c>
      <c r="I4594" s="519" t="s">
        <v>4314</v>
      </c>
      <c r="J4594" s="505" t="s">
        <v>96</v>
      </c>
      <c r="K4594" s="505" t="s">
        <v>2102</v>
      </c>
      <c r="L4594" s="505" t="s">
        <v>153</v>
      </c>
    </row>
    <row r="4595" spans="1:12" ht="15.6">
      <c r="A4595" s="526">
        <v>45991</v>
      </c>
      <c r="B4595" s="519" t="s">
        <v>4967</v>
      </c>
      <c r="C4595" s="519" t="s">
        <v>172</v>
      </c>
      <c r="D4595" s="510" t="s">
        <v>119</v>
      </c>
      <c r="E4595" s="521">
        <v>1000</v>
      </c>
      <c r="F4595" s="502">
        <f t="shared" si="73"/>
        <v>1.8744037053212446</v>
      </c>
      <c r="G4595" s="503">
        <v>533.50300000000004</v>
      </c>
      <c r="H4595" s="519" t="s">
        <v>321</v>
      </c>
      <c r="I4595" s="519" t="s">
        <v>4314</v>
      </c>
      <c r="J4595" s="505" t="s">
        <v>96</v>
      </c>
      <c r="K4595" s="505" t="s">
        <v>2102</v>
      </c>
      <c r="L4595" s="505" t="s">
        <v>153</v>
      </c>
    </row>
    <row r="4596" spans="1:12" ht="15.6">
      <c r="A4596" s="526">
        <v>45991</v>
      </c>
      <c r="B4596" s="519" t="s">
        <v>4945</v>
      </c>
      <c r="C4596" s="542" t="s">
        <v>172</v>
      </c>
      <c r="D4596" s="510" t="s">
        <v>119</v>
      </c>
      <c r="E4596" s="521">
        <v>500</v>
      </c>
      <c r="F4596" s="502">
        <f t="shared" si="73"/>
        <v>0.93720185266062228</v>
      </c>
      <c r="G4596" s="503">
        <v>533.50300000000004</v>
      </c>
      <c r="H4596" s="519" t="s">
        <v>321</v>
      </c>
      <c r="I4596" s="519" t="s">
        <v>4314</v>
      </c>
      <c r="J4596" s="505" t="s">
        <v>96</v>
      </c>
      <c r="K4596" s="505" t="s">
        <v>2102</v>
      </c>
      <c r="L4596" s="505" t="s">
        <v>153</v>
      </c>
    </row>
    <row r="4597" spans="1:12" ht="15.6">
      <c r="A4597" s="526">
        <v>45991</v>
      </c>
      <c r="B4597" s="519" t="s">
        <v>4867</v>
      </c>
      <c r="C4597" s="519" t="s">
        <v>366</v>
      </c>
      <c r="D4597" s="510" t="s">
        <v>119</v>
      </c>
      <c r="E4597" s="521">
        <v>1500</v>
      </c>
      <c r="F4597" s="502">
        <f t="shared" si="73"/>
        <v>2.7602044759475781</v>
      </c>
      <c r="G4597" s="503">
        <v>543.43799999999999</v>
      </c>
      <c r="H4597" s="519" t="s">
        <v>321</v>
      </c>
      <c r="I4597" s="519" t="s">
        <v>4321</v>
      </c>
      <c r="J4597" s="505" t="s">
        <v>96</v>
      </c>
      <c r="K4597" s="505" t="s">
        <v>4104</v>
      </c>
      <c r="L4597" s="505" t="s">
        <v>153</v>
      </c>
    </row>
    <row r="4598" spans="1:12" ht="15.6">
      <c r="A4598" s="526">
        <v>45991</v>
      </c>
      <c r="B4598" s="519" t="s">
        <v>4967</v>
      </c>
      <c r="C4598" s="542" t="s">
        <v>172</v>
      </c>
      <c r="D4598" s="510" t="s">
        <v>119</v>
      </c>
      <c r="E4598" s="521">
        <v>500</v>
      </c>
      <c r="F4598" s="502">
        <f t="shared" si="73"/>
        <v>0.93720185266062228</v>
      </c>
      <c r="G4598" s="503">
        <v>533.50300000000004</v>
      </c>
      <c r="H4598" s="519" t="s">
        <v>321</v>
      </c>
      <c r="I4598" s="519" t="s">
        <v>4314</v>
      </c>
      <c r="J4598" s="505" t="s">
        <v>96</v>
      </c>
      <c r="K4598" s="505" t="s">
        <v>2102</v>
      </c>
      <c r="L4598" s="505" t="s">
        <v>153</v>
      </c>
    </row>
    <row r="4599" spans="1:12" ht="15.6">
      <c r="A4599" s="529">
        <v>45991</v>
      </c>
      <c r="B4599" s="505" t="s">
        <v>4442</v>
      </c>
      <c r="C4599" s="545" t="s">
        <v>175</v>
      </c>
      <c r="D4599" s="505" t="s">
        <v>115</v>
      </c>
      <c r="E4599" s="530">
        <v>15000</v>
      </c>
      <c r="F4599" s="502">
        <f t="shared" si="73"/>
        <v>28.116055579818667</v>
      </c>
      <c r="G4599" s="503">
        <v>533.50300000000004</v>
      </c>
      <c r="H4599" s="298" t="s">
        <v>435</v>
      </c>
      <c r="I4599" s="505" t="s">
        <v>4459</v>
      </c>
      <c r="J4599" s="505" t="s">
        <v>96</v>
      </c>
      <c r="K4599" s="505" t="s">
        <v>2102</v>
      </c>
      <c r="L4599" s="505" t="s">
        <v>153</v>
      </c>
    </row>
    <row r="4600" spans="1:12" ht="15.6">
      <c r="A4600" s="529">
        <v>45991</v>
      </c>
      <c r="B4600" s="505" t="s">
        <v>4443</v>
      </c>
      <c r="C4600" s="551" t="s">
        <v>194</v>
      </c>
      <c r="D4600" s="551" t="s">
        <v>115</v>
      </c>
      <c r="E4600" s="521">
        <v>500</v>
      </c>
      <c r="F4600" s="502">
        <f t="shared" si="73"/>
        <v>0.93720185266062228</v>
      </c>
      <c r="G4600" s="503">
        <v>533.50300000000004</v>
      </c>
      <c r="H4600" s="298" t="s">
        <v>435</v>
      </c>
      <c r="I4600" s="519" t="s">
        <v>4451</v>
      </c>
      <c r="J4600" s="505" t="s">
        <v>96</v>
      </c>
      <c r="K4600" s="505" t="s">
        <v>2102</v>
      </c>
      <c r="L4600" s="505" t="s">
        <v>153</v>
      </c>
    </row>
    <row r="4601" spans="1:12" ht="15.6">
      <c r="A4601" s="529">
        <v>45991</v>
      </c>
      <c r="B4601" s="505" t="s">
        <v>3091</v>
      </c>
      <c r="C4601" s="551" t="s">
        <v>194</v>
      </c>
      <c r="D4601" s="298" t="s">
        <v>115</v>
      </c>
      <c r="E4601" s="530">
        <v>3000</v>
      </c>
      <c r="F4601" s="502">
        <f t="shared" si="73"/>
        <v>5.6232111159637332</v>
      </c>
      <c r="G4601" s="503">
        <v>533.50300000000004</v>
      </c>
      <c r="H4601" s="298" t="s">
        <v>435</v>
      </c>
      <c r="I4601" s="519" t="s">
        <v>4451</v>
      </c>
      <c r="J4601" s="505" t="s">
        <v>96</v>
      </c>
      <c r="K4601" s="505" t="s">
        <v>2102</v>
      </c>
      <c r="L4601" s="505" t="s">
        <v>153</v>
      </c>
    </row>
  </sheetData>
  <autoFilter ref="A1:O4601" xr:uid="{00000000-0009-0000-0000-00000A000000}">
    <filterColumn colId="0">
      <filters>
        <dateGroupItem year="2025" month="11" dateTimeGrouping="month"/>
      </filters>
    </filterColumn>
    <sortState xmlns:xlrd2="http://schemas.microsoft.com/office/spreadsheetml/2017/richdata2" ref="A3842:O4601">
      <sortCondition ref="A1:A4601"/>
    </sortState>
  </autoFilter>
  <dataValidations count="1">
    <dataValidation type="list" allowBlank="1" showInputMessage="1" showErrorMessage="1" sqref="C44:C46 C177:C178 C59:C60 C55 C175 C326 C232 C948 C1003:C1006 C965:C967 C953 C995:C999 C835:C837 C945:C946 C829:C832 C933:C940 C825 C827 C943 C957:C958 C1001 C1008:C1010 C960 C962 C1142:C1143 C1150:C1151 C1334:C1336 C1305 C1302 C1292 C1971 C1955:C1969 C2666:C2693 C3776 C3754 C3729 C3722 C4558:C4559 C4567:C4568" xr:uid="{00000000-0002-0000-0A00-000000000000}"/>
  </dataValidations>
  <pageMargins left="0.7" right="0.7" top="0.78740157499999996" bottom="0.78740157499999996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Feuil14"/>
  <dimension ref="A1:O66"/>
  <sheetViews>
    <sheetView zoomScale="64" zoomScaleNormal="64" workbookViewId="0">
      <pane ySplit="1" topLeftCell="A2" activePane="bottomLeft" state="frozen"/>
      <selection pane="bottomLeft" activeCell="O70" sqref="O70"/>
    </sheetView>
  </sheetViews>
  <sheetFormatPr baseColWidth="10" defaultColWidth="8.69921875" defaultRowHeight="13.8"/>
  <cols>
    <col min="1" max="8" width="13.3984375" customWidth="1"/>
    <col min="9" max="9" width="16" customWidth="1"/>
    <col min="10" max="10" width="19.09765625" style="161" customWidth="1"/>
    <col min="11" max="11" width="21.69921875" bestFit="1" customWidth="1"/>
    <col min="12" max="12" width="22.8984375" bestFit="1" customWidth="1"/>
    <col min="13" max="13" width="19.8984375" bestFit="1" customWidth="1"/>
    <col min="14" max="14" width="25.09765625" bestFit="1" customWidth="1"/>
    <col min="15" max="15" width="20.8984375" bestFit="1" customWidth="1"/>
  </cols>
  <sheetData>
    <row r="1" spans="1:15" ht="39.6">
      <c r="A1" s="100" t="s">
        <v>436</v>
      </c>
      <c r="B1" s="101" t="s">
        <v>73</v>
      </c>
      <c r="C1" s="101" t="s">
        <v>74</v>
      </c>
      <c r="D1" s="101" t="s">
        <v>75</v>
      </c>
      <c r="E1" s="101" t="s">
        <v>76</v>
      </c>
      <c r="F1" s="101" t="s">
        <v>77</v>
      </c>
      <c r="G1" s="101" t="s">
        <v>78</v>
      </c>
      <c r="H1" s="101" t="s">
        <v>79</v>
      </c>
      <c r="I1" s="101" t="s">
        <v>71</v>
      </c>
      <c r="J1" s="160" t="s">
        <v>72</v>
      </c>
    </row>
    <row r="2" spans="1:15">
      <c r="A2" s="102" t="s">
        <v>2101</v>
      </c>
      <c r="B2" s="103"/>
      <c r="C2" s="104"/>
      <c r="D2" s="104">
        <f>SUM(D3:D8)</f>
        <v>5377542</v>
      </c>
      <c r="E2" s="104">
        <f>SUM(E3:E8)</f>
        <v>10000</v>
      </c>
      <c r="F2" s="104">
        <f>SUM(F3:F8)</f>
        <v>4084833</v>
      </c>
      <c r="G2" s="104">
        <f>SUM(G3:G8)</f>
        <v>7596.0968784623183</v>
      </c>
      <c r="H2" s="104">
        <f>B2+D2-F2</f>
        <v>1292709</v>
      </c>
      <c r="I2" s="104">
        <f>C2+E2-G2</f>
        <v>2403.9031215376817</v>
      </c>
      <c r="K2" s="168" t="s">
        <v>460</v>
      </c>
      <c r="L2" t="s">
        <v>462</v>
      </c>
      <c r="M2" t="s">
        <v>467</v>
      </c>
      <c r="N2" t="s">
        <v>2082</v>
      </c>
      <c r="O2" t="s">
        <v>2083</v>
      </c>
    </row>
    <row r="3" spans="1:15">
      <c r="A3" s="105" t="s">
        <v>86</v>
      </c>
      <c r="B3" s="109"/>
      <c r="C3" s="112"/>
      <c r="D3" s="112">
        <f>GETPIVOTDATA("Somme de Receved in XAF",$K$2,"Donor","ELONGA","Mois",7)</f>
        <v>5377542</v>
      </c>
      <c r="E3" s="212">
        <f>GETPIVOTDATA("Somme de Receved  $",$K$2,"Donor","ELONGA","Mois",7)</f>
        <v>10000</v>
      </c>
      <c r="F3" s="211">
        <f>GETPIVOTDATA("Somme de Spent  in XAF",$K$2,"Donor","ELONGA","Mois",7)</f>
        <v>4084833</v>
      </c>
      <c r="G3" s="212">
        <f>GETPIVOTDATA("Somme de Spent in $",$K$2,"Donor","ELONGA","Mois",7)</f>
        <v>7596.0968784623183</v>
      </c>
      <c r="H3" s="112">
        <f>B2+D3-F3</f>
        <v>1292709</v>
      </c>
      <c r="I3" s="112">
        <f>C2+E3-G3</f>
        <v>2403.9031215376817</v>
      </c>
      <c r="J3" s="167"/>
      <c r="K3" s="145" t="s">
        <v>2102</v>
      </c>
      <c r="L3" s="313">
        <v>6790622</v>
      </c>
      <c r="M3" s="313">
        <v>12722.743827120052</v>
      </c>
      <c r="N3" s="313">
        <v>5598777</v>
      </c>
      <c r="O3" s="313">
        <v>10500</v>
      </c>
    </row>
    <row r="4" spans="1:15">
      <c r="A4" s="105" t="s">
        <v>87</v>
      </c>
      <c r="B4" s="109"/>
      <c r="C4" s="112"/>
      <c r="D4" s="112"/>
      <c r="E4" s="212"/>
      <c r="F4" s="211"/>
      <c r="G4" s="212"/>
      <c r="H4" s="112">
        <f>H3+D4-F4</f>
        <v>1292709</v>
      </c>
      <c r="I4" s="112">
        <f>I3+E4-G4</f>
        <v>2403.9031215376817</v>
      </c>
      <c r="K4" s="169" t="s">
        <v>2761</v>
      </c>
      <c r="L4" s="313"/>
      <c r="M4" s="313">
        <v>0</v>
      </c>
      <c r="N4" s="313">
        <v>2664510</v>
      </c>
      <c r="O4" s="313">
        <v>5000</v>
      </c>
    </row>
    <row r="5" spans="1:15">
      <c r="A5" s="108" t="s">
        <v>88</v>
      </c>
      <c r="B5" s="106"/>
      <c r="C5" s="106"/>
      <c r="D5" s="106"/>
      <c r="E5" s="106"/>
      <c r="F5" s="107"/>
      <c r="G5" s="106"/>
      <c r="H5" s="112">
        <f t="shared" ref="H5:I8" si="0">H4+D5-F5</f>
        <v>1292709</v>
      </c>
      <c r="I5" s="112">
        <f t="shared" si="0"/>
        <v>2403.9031215376817</v>
      </c>
      <c r="K5" s="169" t="s">
        <v>3212</v>
      </c>
      <c r="L5" s="313">
        <v>297000</v>
      </c>
      <c r="M5" s="313">
        <v>556.69790048040954</v>
      </c>
      <c r="N5" s="313">
        <v>2934267</v>
      </c>
      <c r="O5" s="313">
        <v>5500</v>
      </c>
    </row>
    <row r="6" spans="1:15">
      <c r="A6" s="105" t="s">
        <v>89</v>
      </c>
      <c r="B6" s="106"/>
      <c r="C6" s="106"/>
      <c r="D6" s="106"/>
      <c r="E6" s="106"/>
      <c r="F6" s="107"/>
      <c r="G6" s="106"/>
      <c r="H6" s="112">
        <f t="shared" si="0"/>
        <v>1292709</v>
      </c>
      <c r="I6" s="112">
        <f t="shared" si="0"/>
        <v>2403.9031215376817</v>
      </c>
      <c r="K6" s="169" t="s">
        <v>4729</v>
      </c>
      <c r="L6" s="313">
        <v>6493622</v>
      </c>
      <c r="M6" s="313">
        <v>12166.045926639643</v>
      </c>
      <c r="N6" s="313"/>
      <c r="O6" s="313"/>
    </row>
    <row r="7" spans="1:15">
      <c r="A7" s="105" t="s">
        <v>90</v>
      </c>
      <c r="B7" s="106"/>
      <c r="C7" s="106"/>
      <c r="D7" s="106"/>
      <c r="E7" s="106"/>
      <c r="F7" s="107"/>
      <c r="G7" s="106"/>
      <c r="H7" s="112">
        <f t="shared" si="0"/>
        <v>1292709</v>
      </c>
      <c r="I7" s="112">
        <f t="shared" si="0"/>
        <v>2403.9031215376817</v>
      </c>
      <c r="K7" s="145" t="s">
        <v>2314</v>
      </c>
      <c r="L7" s="313">
        <v>4084833</v>
      </c>
      <c r="M7" s="313">
        <v>7596.0968784623183</v>
      </c>
      <c r="N7" s="313">
        <v>5377542</v>
      </c>
      <c r="O7" s="313">
        <v>10000</v>
      </c>
    </row>
    <row r="8" spans="1:15">
      <c r="A8" s="105" t="s">
        <v>91</v>
      </c>
      <c r="B8" s="106"/>
      <c r="C8" s="106"/>
      <c r="D8" s="106"/>
      <c r="E8" s="106"/>
      <c r="F8" s="107"/>
      <c r="G8" s="106"/>
      <c r="H8" s="112">
        <f t="shared" si="0"/>
        <v>1292709</v>
      </c>
      <c r="I8" s="112">
        <f t="shared" si="0"/>
        <v>2403.9031215376817</v>
      </c>
      <c r="K8" s="169" t="s">
        <v>2321</v>
      </c>
      <c r="L8" s="313">
        <v>4084833</v>
      </c>
      <c r="M8" s="313">
        <v>7596.0968784623183</v>
      </c>
      <c r="N8" s="313">
        <v>5377542</v>
      </c>
      <c r="O8" s="313">
        <v>10000</v>
      </c>
    </row>
    <row r="9" spans="1:15">
      <c r="A9" s="128" t="s">
        <v>2102</v>
      </c>
      <c r="B9" s="103"/>
      <c r="C9" s="104"/>
      <c r="D9" s="104">
        <f>SUM(D10:D15)</f>
        <v>5598777</v>
      </c>
      <c r="E9" s="104">
        <f>SUM(E10:E15)</f>
        <v>10500</v>
      </c>
      <c r="F9" s="104">
        <f>SUM(F10:F15)</f>
        <v>6790622</v>
      </c>
      <c r="G9" s="104">
        <f>SUM(G10:G15)</f>
        <v>8152.794778942728</v>
      </c>
      <c r="H9" s="104">
        <f>B9+D9-F9</f>
        <v>-1191845</v>
      </c>
      <c r="I9" s="104">
        <f>C9+E9-G9</f>
        <v>2347.205221057272</v>
      </c>
      <c r="K9" s="145" t="s">
        <v>4104</v>
      </c>
      <c r="L9" s="313">
        <v>61100</v>
      </c>
      <c r="M9" s="313">
        <v>112.43232898693137</v>
      </c>
      <c r="N9" s="313">
        <v>2717192</v>
      </c>
      <c r="O9" s="313">
        <v>5000</v>
      </c>
    </row>
    <row r="10" spans="1:15">
      <c r="A10" s="105" t="s">
        <v>86</v>
      </c>
      <c r="B10" s="106"/>
      <c r="C10" s="106"/>
      <c r="D10" s="106"/>
      <c r="E10" s="106"/>
      <c r="F10" s="107"/>
      <c r="G10" s="106"/>
      <c r="H10" s="112">
        <f>B9+D10-F10</f>
        <v>0</v>
      </c>
      <c r="I10" s="112">
        <f>C9+E10-G10</f>
        <v>0</v>
      </c>
      <c r="K10" s="169" t="s">
        <v>4105</v>
      </c>
      <c r="L10" s="313"/>
      <c r="M10" s="313"/>
      <c r="N10" s="313">
        <v>2717192</v>
      </c>
      <c r="O10" s="313">
        <v>5000</v>
      </c>
    </row>
    <row r="11" spans="1:15">
      <c r="A11" s="105" t="s">
        <v>87</v>
      </c>
      <c r="B11" s="106"/>
      <c r="C11" s="106"/>
      <c r="D11" s="106">
        <f>GETPIVOTDATA("Somme de Receved in XAF",$K$2,"Donor","Dahan","Mois",8)</f>
        <v>2664510</v>
      </c>
      <c r="E11" s="106">
        <f>GETPIVOTDATA("Somme de Receved  $",$K$2,"Donor","Dahan","Mois",8)</f>
        <v>5000</v>
      </c>
      <c r="F11" s="107"/>
      <c r="G11" s="106"/>
      <c r="H11" s="112">
        <f t="shared" ref="H11:I15" si="1">H10+D11-F11</f>
        <v>2664510</v>
      </c>
      <c r="I11" s="112">
        <f t="shared" si="1"/>
        <v>5000</v>
      </c>
      <c r="K11" s="169" t="s">
        <v>4729</v>
      </c>
      <c r="L11" s="313">
        <v>61100</v>
      </c>
      <c r="M11" s="313">
        <v>112.43232898693137</v>
      </c>
      <c r="N11" s="313"/>
      <c r="O11" s="313"/>
    </row>
    <row r="12" spans="1:15">
      <c r="A12" s="108" t="s">
        <v>88</v>
      </c>
      <c r="B12" s="106"/>
      <c r="C12" s="106"/>
      <c r="D12" s="106">
        <f>GETPIVOTDATA("Somme de Receved in XAF",$K$2,"Donor","Dahan","Mois",9)</f>
        <v>2934267</v>
      </c>
      <c r="E12" s="106">
        <f>GETPIVOTDATA("Somme de Receved  $",$K$2,"Donor","Dahan","Mois",9)</f>
        <v>5500</v>
      </c>
      <c r="F12" s="107">
        <f>GETPIVOTDATA("Somme de Spent  in XAF",$K$2,"Donor","Dahan","Mois",9)</f>
        <v>297000</v>
      </c>
      <c r="G12" s="106">
        <f>GETPIVOTDATA("Somme de Spent in $",$K$2,"Donor","Dahan","Mois",9)</f>
        <v>556.69790048040954</v>
      </c>
      <c r="H12" s="112">
        <f t="shared" si="1"/>
        <v>5301777</v>
      </c>
      <c r="I12" s="112">
        <f t="shared" si="1"/>
        <v>9943.3020995195911</v>
      </c>
      <c r="J12" s="167">
        <f>+D12/E12</f>
        <v>533.50309090909093</v>
      </c>
      <c r="K12" s="145" t="s">
        <v>200</v>
      </c>
      <c r="L12" s="313">
        <v>38956819</v>
      </c>
      <c r="M12" s="313">
        <v>67675.982714933547</v>
      </c>
      <c r="N12" s="313">
        <v>17389380</v>
      </c>
      <c r="O12" s="313">
        <v>30000</v>
      </c>
    </row>
    <row r="13" spans="1:15">
      <c r="A13" s="105" t="s">
        <v>89</v>
      </c>
      <c r="B13" s="106"/>
      <c r="C13" s="106"/>
      <c r="D13" s="106"/>
      <c r="E13" s="106"/>
      <c r="F13" s="107"/>
      <c r="G13" s="106"/>
      <c r="H13" s="112">
        <f t="shared" si="1"/>
        <v>5301777</v>
      </c>
      <c r="I13" s="112">
        <f t="shared" si="1"/>
        <v>9943.3020995195911</v>
      </c>
      <c r="K13" s="169" t="s">
        <v>2315</v>
      </c>
      <c r="L13" s="313">
        <v>4559707</v>
      </c>
      <c r="M13" s="313">
        <v>7722.280285933226</v>
      </c>
      <c r="N13" s="313"/>
      <c r="O13" s="313"/>
    </row>
    <row r="14" spans="1:15">
      <c r="A14" s="105" t="s">
        <v>90</v>
      </c>
      <c r="B14" s="106"/>
      <c r="C14" s="106"/>
      <c r="D14" s="106"/>
      <c r="E14" s="106"/>
      <c r="F14" s="107">
        <f>GETPIVOTDATA("Somme de Spent  in XAF",$K$2,"Donor","Dahan","Mois",11)</f>
        <v>6493622</v>
      </c>
      <c r="G14" s="106">
        <f>GETPIVOTDATA("Somme de Spent in $",$K$2,"Donor","ELONGA")</f>
        <v>7596.0968784623183</v>
      </c>
      <c r="H14" s="112">
        <f t="shared" si="1"/>
        <v>-1191845</v>
      </c>
      <c r="I14" s="112">
        <f t="shared" si="1"/>
        <v>2347.2052210572729</v>
      </c>
      <c r="K14" s="169" t="s">
        <v>2316</v>
      </c>
      <c r="L14" s="313">
        <v>17852548</v>
      </c>
      <c r="M14" s="313">
        <v>30806.433646228274</v>
      </c>
      <c r="N14" s="313">
        <v>17389380</v>
      </c>
      <c r="O14" s="313">
        <v>30000</v>
      </c>
    </row>
    <row r="15" spans="1:15">
      <c r="A15" s="105" t="s">
        <v>91</v>
      </c>
      <c r="B15" s="106"/>
      <c r="C15" s="106"/>
      <c r="D15" s="106"/>
      <c r="E15" s="106"/>
      <c r="F15" s="107"/>
      <c r="G15" s="106"/>
      <c r="H15" s="112">
        <f t="shared" si="1"/>
        <v>-1191845</v>
      </c>
      <c r="I15" s="112">
        <f t="shared" si="1"/>
        <v>2347.2052210572729</v>
      </c>
      <c r="J15" s="167">
        <f>844005/1375</f>
        <v>613.82181818181823</v>
      </c>
      <c r="K15" s="169" t="s">
        <v>2317</v>
      </c>
      <c r="L15" s="313">
        <v>1171000</v>
      </c>
      <c r="M15" s="313">
        <v>2013.9213225330598</v>
      </c>
      <c r="N15" s="313"/>
      <c r="O15" s="313"/>
    </row>
    <row r="16" spans="1:15">
      <c r="A16" s="102" t="s">
        <v>1511</v>
      </c>
      <c r="B16" s="103">
        <f>C16*J28</f>
        <v>0</v>
      </c>
      <c r="C16" s="104">
        <v>0</v>
      </c>
      <c r="D16" s="104">
        <f>SUM(D17:D28)</f>
        <v>69533773</v>
      </c>
      <c r="E16" s="104">
        <f>SUM(E17:E28)</f>
        <v>125500</v>
      </c>
      <c r="F16" s="104">
        <f>SUM(F17:F28)</f>
        <v>56472013</v>
      </c>
      <c r="G16" s="104">
        <f>SUM(G17:G28)</f>
        <v>101058.02147954697</v>
      </c>
      <c r="H16" s="104">
        <f>B16+D16-F16</f>
        <v>13061760</v>
      </c>
      <c r="I16" s="104">
        <f>C16+E16-G16</f>
        <v>24441.978520453034</v>
      </c>
      <c r="K16" s="169" t="s">
        <v>2318</v>
      </c>
      <c r="L16" s="313">
        <v>8553739</v>
      </c>
      <c r="M16" s="313">
        <v>14975.550104617092</v>
      </c>
      <c r="N16" s="313"/>
      <c r="O16" s="313"/>
    </row>
    <row r="17" spans="1:15">
      <c r="A17" s="113" t="s">
        <v>80</v>
      </c>
      <c r="B17" s="109"/>
      <c r="C17" s="110"/>
      <c r="D17" s="110"/>
      <c r="E17" s="109"/>
      <c r="F17" s="111"/>
      <c r="G17" s="109"/>
      <c r="H17" s="112">
        <f>B16+D17-F17</f>
        <v>0</v>
      </c>
      <c r="I17" s="112">
        <f>C16+E17-G17</f>
        <v>0</v>
      </c>
      <c r="K17" s="169" t="s">
        <v>2319</v>
      </c>
      <c r="L17" s="313">
        <v>6819825</v>
      </c>
      <c r="M17" s="313">
        <v>12157.797355621908</v>
      </c>
      <c r="N17" s="313"/>
      <c r="O17" s="313"/>
    </row>
    <row r="18" spans="1:15">
      <c r="A18" s="113" t="s">
        <v>81</v>
      </c>
      <c r="B18" s="109"/>
      <c r="C18" s="110"/>
      <c r="D18" s="110"/>
      <c r="E18" s="109"/>
      <c r="F18" s="111"/>
      <c r="G18" s="109"/>
      <c r="H18" s="112">
        <f>H17+D18-F18</f>
        <v>0</v>
      </c>
      <c r="I18" s="112">
        <f>I17+E18-G18</f>
        <v>0</v>
      </c>
      <c r="K18" s="145" t="s">
        <v>1137</v>
      </c>
      <c r="L18" s="313">
        <v>11416819</v>
      </c>
      <c r="M18" s="313">
        <v>20951.54420379478</v>
      </c>
      <c r="N18" s="313">
        <v>11441630</v>
      </c>
      <c r="O18" s="313">
        <v>21000</v>
      </c>
    </row>
    <row r="19" spans="1:15">
      <c r="A19" s="114" t="s">
        <v>82</v>
      </c>
      <c r="B19" s="106"/>
      <c r="C19" s="106"/>
      <c r="D19" s="106"/>
      <c r="E19" s="106"/>
      <c r="F19" s="107"/>
      <c r="G19" s="106"/>
      <c r="H19" s="112">
        <f t="shared" ref="H19:I28" si="2">H18+D19-F19</f>
        <v>0</v>
      </c>
      <c r="I19" s="112">
        <f t="shared" si="2"/>
        <v>0</v>
      </c>
      <c r="K19" s="169" t="s">
        <v>2316</v>
      </c>
      <c r="L19" s="313">
        <v>2392885</v>
      </c>
      <c r="M19" s="313">
        <v>4128.1834084941502</v>
      </c>
      <c r="N19" s="313">
        <v>2898230</v>
      </c>
      <c r="O19" s="313">
        <v>5000</v>
      </c>
    </row>
    <row r="20" spans="1:15">
      <c r="A20" s="113" t="s">
        <v>83</v>
      </c>
      <c r="B20" s="106"/>
      <c r="C20" s="106"/>
      <c r="D20" s="106">
        <f>GETPIVOTDATA("Somme de Receved in XAF",$K$2,"Donor","Wildcat 2025","Mois",4)</f>
        <v>17487258</v>
      </c>
      <c r="E20" s="106">
        <f>GETPIVOTDATA("Somme de Receved  $",$K$2,"Donor","Wildcat 2025","Mois",4)</f>
        <v>30000</v>
      </c>
      <c r="F20" s="107">
        <f>GETPIVOTDATA("Somme de Spent  in XAF",$K$2,"Donor","Wildcat 2025","Mois",4)</f>
        <v>12009908</v>
      </c>
      <c r="G20" s="106">
        <f>GETPIVOTDATA("Somme de Spent in $",$K$2,"Donor","Wildcat 2025","Mois",4)</f>
        <v>20603.401216999559</v>
      </c>
      <c r="H20" s="112">
        <f t="shared" si="2"/>
        <v>5477350</v>
      </c>
      <c r="I20" s="112">
        <f t="shared" si="2"/>
        <v>9396.5987830004415</v>
      </c>
      <c r="K20" s="169" t="s">
        <v>2317</v>
      </c>
      <c r="L20" s="313">
        <v>506000</v>
      </c>
      <c r="M20" s="313">
        <v>872.94659154035401</v>
      </c>
      <c r="N20" s="313"/>
      <c r="O20" s="313"/>
    </row>
    <row r="21" spans="1:15">
      <c r="A21" s="114" t="s">
        <v>84</v>
      </c>
      <c r="B21" s="106"/>
      <c r="C21" s="106"/>
      <c r="D21" s="106">
        <f>GETPIVOTDATA("Somme de Receved in XAF",$K$2,"Donor","Wildcat 2025","Mois",5)</f>
        <v>14023562</v>
      </c>
      <c r="E21" s="106">
        <f>GETPIVOTDATA("Somme de Receved  $",$K$2,"Donor","Wildcat 2025","Mois",5)</f>
        <v>25000</v>
      </c>
      <c r="F21" s="107">
        <f>GETPIVOTDATA("Somme de Spent  in XAF",$K$2,"Donor","Wildcat 2025","Mois",5)</f>
        <v>3911880</v>
      </c>
      <c r="G21" s="106">
        <f>GETPIVOTDATA("Somme de Spent in $",$K$2,"Donor","Wildcat 2025","Mois",5)</f>
        <v>6936.5039158833861</v>
      </c>
      <c r="H21" s="112">
        <f t="shared" si="2"/>
        <v>15589032</v>
      </c>
      <c r="I21" s="112">
        <f t="shared" si="2"/>
        <v>27460.094867117059</v>
      </c>
      <c r="K21" s="169" t="s">
        <v>2321</v>
      </c>
      <c r="L21" s="313">
        <v>5334511</v>
      </c>
      <c r="M21" s="313">
        <v>9985.2687406607474</v>
      </c>
      <c r="N21" s="313">
        <v>5342381</v>
      </c>
      <c r="O21" s="313">
        <v>10000</v>
      </c>
    </row>
    <row r="22" spans="1:15">
      <c r="A22" s="105" t="s">
        <v>85</v>
      </c>
      <c r="B22" s="106"/>
      <c r="C22" s="106"/>
      <c r="D22" s="106"/>
      <c r="E22" s="106"/>
      <c r="F22" s="107">
        <f>GETPIVOTDATA("Somme de Spent  in XAF",$K$2,"Donor","Wildcat 2025","Mois",6)</f>
        <v>1782188</v>
      </c>
      <c r="G22" s="106">
        <f>GETPIVOTDATA("Somme de Spent in $",$K$2,"Donor","Wildcat 2025","Mois",6)</f>
        <v>3177.1314591827681</v>
      </c>
      <c r="H22" s="112">
        <f t="shared" si="2"/>
        <v>13806844</v>
      </c>
      <c r="I22" s="112">
        <f t="shared" si="2"/>
        <v>24282.96340793429</v>
      </c>
      <c r="K22" s="169" t="s">
        <v>3212</v>
      </c>
      <c r="L22" s="313">
        <v>3183423</v>
      </c>
      <c r="M22" s="313">
        <v>5965.1454630995295</v>
      </c>
      <c r="N22" s="313">
        <v>3201019</v>
      </c>
      <c r="O22" s="313">
        <v>6000</v>
      </c>
    </row>
    <row r="23" spans="1:15">
      <c r="A23" s="105" t="s">
        <v>86</v>
      </c>
      <c r="B23" s="106"/>
      <c r="C23" s="106"/>
      <c r="D23" s="106"/>
      <c r="E23" s="106"/>
      <c r="F23" s="107">
        <f>GETPIVOTDATA("Somme de Spent  in XAF",$K$2,"Donor","Wildcat 2025","Mois",7)</f>
        <v>1710955</v>
      </c>
      <c r="G23" s="106">
        <f>GETPIVOTDATA("Somme de Spent in $",$K$2,"Donor","Wildcat 2025","Mois",7)</f>
        <v>3050.1433943815391</v>
      </c>
      <c r="H23" s="112">
        <f t="shared" si="2"/>
        <v>12095889</v>
      </c>
      <c r="I23" s="112">
        <f t="shared" si="2"/>
        <v>21232.820013552751</v>
      </c>
      <c r="K23" s="145" t="s">
        <v>437</v>
      </c>
      <c r="L23" s="313">
        <v>3055340</v>
      </c>
      <c r="M23" s="313">
        <v>4977.5684082904827</v>
      </c>
      <c r="N23" s="313"/>
      <c r="O23" s="313"/>
    </row>
    <row r="24" spans="1:15">
      <c r="A24" s="105" t="s">
        <v>87</v>
      </c>
      <c r="B24" s="106"/>
      <c r="C24" s="106"/>
      <c r="D24" s="106">
        <f>GETPIVOTDATA("Somme de Receved in XAF",$K$2,"Donor","Wildcat 2025","Mois",8)</f>
        <v>14388352</v>
      </c>
      <c r="E24" s="106">
        <f>GETPIVOTDATA("Somme de Receved  $",$K$2,"Donor","Wildcat 2025","Mois",8)</f>
        <v>27000</v>
      </c>
      <c r="F24" s="107">
        <f>GETPIVOTDATA("Somme de Spent  in XAF",$K$2,"Donor","Wildcat 2025","Mois",8)</f>
        <v>11692271</v>
      </c>
      <c r="G24" s="106">
        <f>GETPIVOTDATA("Somme de Spent in $",$K$2,"Donor","Wildcat 2025","Mois",8)</f>
        <v>20839.535994808622</v>
      </c>
      <c r="H24" s="112">
        <f t="shared" si="2"/>
        <v>14791970</v>
      </c>
      <c r="I24" s="112">
        <f t="shared" si="2"/>
        <v>27393.284018744129</v>
      </c>
      <c r="K24" s="169" t="s">
        <v>2315</v>
      </c>
      <c r="L24" s="313">
        <v>3055340</v>
      </c>
      <c r="M24" s="313">
        <v>4977.5684082904827</v>
      </c>
      <c r="N24" s="313"/>
      <c r="O24" s="313"/>
    </row>
    <row r="25" spans="1:15">
      <c r="A25" s="108" t="s">
        <v>88</v>
      </c>
      <c r="B25" s="106"/>
      <c r="C25" s="106"/>
      <c r="D25" s="106">
        <f>GETPIVOTDATA("Somme de Receved in XAF",$K$2,"Donor","Wildcat 2025","Mois",9)</f>
        <v>266752</v>
      </c>
      <c r="E25" s="106">
        <f>GETPIVOTDATA("Somme de Receved  $",$K$2,"Donor","Wildcat 2025","Mois",9)</f>
        <v>500</v>
      </c>
      <c r="F25" s="107">
        <f>GETPIVOTDATA("Somme de Spent  in XAF",$K$2,"Donor","Wildcat 2025","Mois",9)</f>
        <v>3827559</v>
      </c>
      <c r="G25" s="106">
        <f>GETPIVOTDATA("Somme de Spent in $",$K$2,"Donor","Wildcat 2025","Mois",9)</f>
        <v>6821.6660546010216</v>
      </c>
      <c r="H25" s="112">
        <f t="shared" si="2"/>
        <v>11231163</v>
      </c>
      <c r="I25" s="112">
        <f t="shared" si="2"/>
        <v>21071.617964143108</v>
      </c>
      <c r="J25" s="167">
        <f>+D25/E25</f>
        <v>533.50400000000002</v>
      </c>
      <c r="K25" s="145" t="s">
        <v>1136</v>
      </c>
      <c r="L25" s="313">
        <v>2107400</v>
      </c>
      <c r="M25" s="313">
        <v>3635.6672865852611</v>
      </c>
      <c r="N25" s="313"/>
      <c r="O25" s="313"/>
    </row>
    <row r="26" spans="1:15">
      <c r="A26" s="105" t="s">
        <v>89</v>
      </c>
      <c r="B26" s="106"/>
      <c r="C26" s="106"/>
      <c r="D26" s="106">
        <f>GETPIVOTDATA("Somme de Receved in XAF",$K$2,"Donor","Wildcat 2025","Mois",10)</f>
        <v>23367849</v>
      </c>
      <c r="E26" s="106">
        <f>GETPIVOTDATA("Somme de Receved  $",$K$2,"Donor","Wildcat 2025","Mois",10)</f>
        <v>43000</v>
      </c>
      <c r="F26" s="107">
        <f>GETPIVOTDATA("Somme de Spent  in XAF",$K$2,"Donor","Wildcat 2025","Mois",10)</f>
        <v>21537252</v>
      </c>
      <c r="G26" s="106">
        <f>GETPIVOTDATA("Somme de Spent in $",$K$2,"Donor","Wildcat 2025","Mois",10)</f>
        <v>39629.639443690066</v>
      </c>
      <c r="H26" s="112">
        <f t="shared" si="2"/>
        <v>13061760</v>
      </c>
      <c r="I26" s="112">
        <f t="shared" si="2"/>
        <v>24441.978520453042</v>
      </c>
      <c r="J26" s="161">
        <f>+D26/E26</f>
        <v>543.43834883720933</v>
      </c>
      <c r="K26" s="169" t="s">
        <v>2316</v>
      </c>
      <c r="L26" s="313">
        <v>2107400</v>
      </c>
      <c r="M26" s="313">
        <v>3635.6672865852611</v>
      </c>
      <c r="N26" s="313"/>
      <c r="O26" s="313"/>
    </row>
    <row r="27" spans="1:15">
      <c r="A27" s="105" t="s">
        <v>90</v>
      </c>
      <c r="B27" s="106"/>
      <c r="C27" s="106"/>
      <c r="D27" s="106"/>
      <c r="E27" s="106"/>
      <c r="F27" s="107"/>
      <c r="G27" s="106"/>
      <c r="H27" s="112">
        <f t="shared" si="2"/>
        <v>13061760</v>
      </c>
      <c r="I27" s="112">
        <f t="shared" si="2"/>
        <v>24441.978520453042</v>
      </c>
      <c r="K27" s="145" t="s">
        <v>1905</v>
      </c>
      <c r="L27" s="313">
        <v>13654604</v>
      </c>
      <c r="M27" s="313">
        <v>23208.427443302349</v>
      </c>
      <c r="N27" s="313">
        <v>17885797</v>
      </c>
      <c r="O27" s="313">
        <v>30000</v>
      </c>
    </row>
    <row r="28" spans="1:15">
      <c r="A28" s="115" t="s">
        <v>91</v>
      </c>
      <c r="B28" s="116"/>
      <c r="C28" s="116"/>
      <c r="D28" s="116"/>
      <c r="E28" s="116"/>
      <c r="F28" s="117"/>
      <c r="G28" s="116"/>
      <c r="H28" s="112">
        <f t="shared" si="2"/>
        <v>13061760</v>
      </c>
      <c r="I28" s="112">
        <f t="shared" si="2"/>
        <v>24441.978520453042</v>
      </c>
      <c r="J28" s="167"/>
      <c r="K28" s="169" t="s">
        <v>2320</v>
      </c>
      <c r="L28" s="313">
        <v>12832742</v>
      </c>
      <c r="M28" s="313">
        <v>21829.91075491453</v>
      </c>
      <c r="N28" s="313">
        <v>17885797</v>
      </c>
      <c r="O28" s="313">
        <v>30000</v>
      </c>
    </row>
    <row r="29" spans="1:15">
      <c r="A29" s="102" t="s">
        <v>1137</v>
      </c>
      <c r="B29" s="103">
        <v>0</v>
      </c>
      <c r="C29" s="104">
        <v>0</v>
      </c>
      <c r="D29" s="104">
        <f>SUM(D30:D41)</f>
        <v>11441630</v>
      </c>
      <c r="E29" s="104">
        <f>SUM(E30:E41)</f>
        <v>21000</v>
      </c>
      <c r="F29" s="104">
        <f>SUM(F30:F41)</f>
        <v>11416819</v>
      </c>
      <c r="G29" s="104">
        <f>SUM(G30:G41)</f>
        <v>20951.54420379478</v>
      </c>
      <c r="H29" s="104">
        <f>B29+D29-F29</f>
        <v>24811</v>
      </c>
      <c r="I29" s="104">
        <f>C29+E29-G29</f>
        <v>48.455796205220395</v>
      </c>
      <c r="K29" s="169" t="s">
        <v>2315</v>
      </c>
      <c r="L29" s="313">
        <v>821862</v>
      </c>
      <c r="M29" s="313">
        <v>1378.5166883878207</v>
      </c>
      <c r="N29" s="313"/>
      <c r="O29" s="313"/>
    </row>
    <row r="30" spans="1:15">
      <c r="A30" s="113" t="s">
        <v>80</v>
      </c>
      <c r="B30" s="109"/>
      <c r="C30" s="110"/>
      <c r="D30" s="110"/>
      <c r="E30" s="109"/>
      <c r="F30" s="111"/>
      <c r="G30" s="109"/>
      <c r="H30" s="112">
        <f>B29+D30-F30</f>
        <v>0</v>
      </c>
      <c r="I30" s="112">
        <f>C29+E30-G30</f>
        <v>0</v>
      </c>
      <c r="K30" s="145" t="s">
        <v>1906</v>
      </c>
      <c r="L30" s="313">
        <v>56472013</v>
      </c>
      <c r="M30" s="313">
        <v>101058.02147954697</v>
      </c>
      <c r="N30" s="313">
        <v>69533773</v>
      </c>
      <c r="O30" s="313">
        <v>125500</v>
      </c>
    </row>
    <row r="31" spans="1:15">
      <c r="A31" s="113" t="s">
        <v>81</v>
      </c>
      <c r="B31" s="109"/>
      <c r="C31" s="110"/>
      <c r="D31" s="110"/>
      <c r="E31" s="109"/>
      <c r="F31" s="111"/>
      <c r="G31" s="109"/>
      <c r="H31" s="112">
        <f>H30+D31-F31</f>
        <v>0</v>
      </c>
      <c r="I31" s="112">
        <f>I30+E31-G31</f>
        <v>0</v>
      </c>
      <c r="K31" s="169" t="s">
        <v>2317</v>
      </c>
      <c r="L31" s="313">
        <v>12009908</v>
      </c>
      <c r="M31" s="313">
        <v>20603.401216999559</v>
      </c>
      <c r="N31" s="313">
        <v>17487258</v>
      </c>
      <c r="O31" s="313">
        <v>30000</v>
      </c>
    </row>
    <row r="32" spans="1:15">
      <c r="A32" s="114" t="s">
        <v>82</v>
      </c>
      <c r="B32" s="106"/>
      <c r="C32" s="106"/>
      <c r="D32" s="106">
        <f>GETPIVOTDATA("Somme de Receved in XAF",$K$2,"Donor","OAT","Mois",3)</f>
        <v>2898230</v>
      </c>
      <c r="E32" s="106">
        <f>GETPIVOTDATA("Somme de Receved  $",$K$2,"Donor","OAT","Mois",3)</f>
        <v>5000</v>
      </c>
      <c r="F32" s="107">
        <f>GETPIVOTDATA("Somme de Spent  in XAF",$K$2,"Donor","OAT","Mois",3)</f>
        <v>2392885</v>
      </c>
      <c r="G32" s="106">
        <f>GETPIVOTDATA("Somme de Spent in $",$K$2,"Donor","OAT","Mois",3)</f>
        <v>4128.1834084941502</v>
      </c>
      <c r="H32" s="112">
        <f t="shared" ref="H32:I41" si="3">H31+D32-F32</f>
        <v>505345</v>
      </c>
      <c r="I32" s="112">
        <f t="shared" si="3"/>
        <v>871.81659150584983</v>
      </c>
      <c r="J32" s="161">
        <f>+D20/E20</f>
        <v>582.90859999999998</v>
      </c>
      <c r="K32" s="169" t="s">
        <v>2318</v>
      </c>
      <c r="L32" s="313">
        <v>3911880</v>
      </c>
      <c r="M32" s="313">
        <v>6936.5039158833861</v>
      </c>
      <c r="N32" s="313">
        <v>14023562</v>
      </c>
      <c r="O32" s="313">
        <v>25000</v>
      </c>
    </row>
    <row r="33" spans="1:15">
      <c r="A33" s="113" t="s">
        <v>83</v>
      </c>
      <c r="B33" s="106"/>
      <c r="C33" s="106"/>
      <c r="D33" s="106"/>
      <c r="E33" s="106"/>
      <c r="F33" s="107">
        <f>GETPIVOTDATA("Somme de Spent  in XAF",$K$2,"Donor","OAT","Mois",4)</f>
        <v>506000</v>
      </c>
      <c r="G33" s="106">
        <f>GETPIVOTDATA("Somme de Spent in $",$K$2,"Donor","OAT","Mois",4)</f>
        <v>872.94659154035401</v>
      </c>
      <c r="H33" s="112">
        <f t="shared" si="3"/>
        <v>-655</v>
      </c>
      <c r="I33" s="112">
        <f t="shared" si="3"/>
        <v>-1.1300000345041781</v>
      </c>
      <c r="J33" s="161">
        <f>D21/E21</f>
        <v>560.94248000000005</v>
      </c>
      <c r="K33" s="169" t="s">
        <v>2319</v>
      </c>
      <c r="L33" s="313">
        <v>1782188</v>
      </c>
      <c r="M33" s="313">
        <v>3177.1314591827681</v>
      </c>
      <c r="N33" s="313"/>
      <c r="O33" s="313"/>
    </row>
    <row r="34" spans="1:15">
      <c r="A34" s="114" t="s">
        <v>84</v>
      </c>
      <c r="B34" s="106"/>
      <c r="C34" s="106"/>
      <c r="D34" s="106"/>
      <c r="E34" s="106"/>
      <c r="F34" s="107"/>
      <c r="G34" s="106"/>
      <c r="H34" s="112">
        <f t="shared" si="3"/>
        <v>-655</v>
      </c>
      <c r="I34" s="112">
        <f t="shared" si="3"/>
        <v>-1.1300000345041781</v>
      </c>
      <c r="K34" s="169" t="s">
        <v>2321</v>
      </c>
      <c r="L34" s="313">
        <v>1710955</v>
      </c>
      <c r="M34" s="313">
        <v>3050.1433943815391</v>
      </c>
      <c r="N34" s="313"/>
      <c r="O34" s="313"/>
    </row>
    <row r="35" spans="1:15">
      <c r="A35" s="105" t="s">
        <v>85</v>
      </c>
      <c r="B35" s="106"/>
      <c r="C35" s="106"/>
      <c r="D35" s="106"/>
      <c r="E35" s="106"/>
      <c r="F35" s="107"/>
      <c r="G35" s="106"/>
      <c r="H35" s="112">
        <f t="shared" si="3"/>
        <v>-655</v>
      </c>
      <c r="I35" s="112">
        <f t="shared" si="3"/>
        <v>-1.1300000345041781</v>
      </c>
      <c r="K35" s="169" t="s">
        <v>2761</v>
      </c>
      <c r="L35" s="313">
        <v>11692271</v>
      </c>
      <c r="M35" s="313">
        <v>20839.535994808622</v>
      </c>
      <c r="N35" s="313">
        <v>14388352</v>
      </c>
      <c r="O35" s="313">
        <v>27000</v>
      </c>
    </row>
    <row r="36" spans="1:15">
      <c r="A36" s="105" t="s">
        <v>86</v>
      </c>
      <c r="B36" s="106"/>
      <c r="C36" s="106"/>
      <c r="D36" s="106">
        <f>GETPIVOTDATA("Somme de Receved in XAF",$K$2,"Donor","OAT","Mois",7)</f>
        <v>5342381</v>
      </c>
      <c r="E36" s="106">
        <f>GETPIVOTDATA("Somme de Receved  $",$K$2,"Donor","OAT","Mois",7)</f>
        <v>10000</v>
      </c>
      <c r="F36" s="107">
        <f>GETPIVOTDATA("Somme de Spent  in XAF",$K$2,"Donor","OAT","Mois",7)</f>
        <v>5334511</v>
      </c>
      <c r="G36" s="106">
        <f>GETPIVOTDATA("Somme de Spent in $",$K$2,"Donor","OAT","Mois",7)</f>
        <v>9985.2687406607474</v>
      </c>
      <c r="H36" s="112">
        <f t="shared" si="3"/>
        <v>7215</v>
      </c>
      <c r="I36" s="112">
        <f t="shared" si="3"/>
        <v>13.601259304748964</v>
      </c>
      <c r="J36" s="161">
        <f>D36/E36</f>
        <v>534.23810000000003</v>
      </c>
      <c r="K36" s="169" t="s">
        <v>3212</v>
      </c>
      <c r="L36" s="313">
        <v>3827559</v>
      </c>
      <c r="M36" s="313">
        <v>6821.6660546010216</v>
      </c>
      <c r="N36" s="313">
        <v>266752</v>
      </c>
      <c r="O36" s="313">
        <v>500</v>
      </c>
    </row>
    <row r="37" spans="1:15">
      <c r="A37" s="105" t="s">
        <v>87</v>
      </c>
      <c r="B37" s="106"/>
      <c r="C37" s="106"/>
      <c r="D37" s="106"/>
      <c r="E37" s="106"/>
      <c r="F37" s="107"/>
      <c r="G37" s="106"/>
      <c r="H37" s="112">
        <f t="shared" si="3"/>
        <v>7215</v>
      </c>
      <c r="I37" s="112">
        <f t="shared" si="3"/>
        <v>13.601259304748964</v>
      </c>
      <c r="K37" s="169" t="s">
        <v>4105</v>
      </c>
      <c r="L37" s="313">
        <v>21537252</v>
      </c>
      <c r="M37" s="313">
        <v>39629.639443690066</v>
      </c>
      <c r="N37" s="313">
        <v>23367849</v>
      </c>
      <c r="O37" s="313">
        <v>43000</v>
      </c>
    </row>
    <row r="38" spans="1:15">
      <c r="A38" s="108" t="s">
        <v>88</v>
      </c>
      <c r="B38" s="106"/>
      <c r="C38" s="106"/>
      <c r="D38" s="106">
        <f>GETPIVOTDATA("Somme de Receved in XAF",$K$2,"Donor","OAT","Mois",9)</f>
        <v>3201019</v>
      </c>
      <c r="E38" s="106">
        <f>GETPIVOTDATA("Somme de Receved  $",$K$2,"Donor","OAT","Mois",9)</f>
        <v>6000</v>
      </c>
      <c r="F38" s="107">
        <f>GETPIVOTDATA("Somme de Spent  in XAF",$K$2,"Donor","OAT","Mois",9)</f>
        <v>3183423</v>
      </c>
      <c r="G38" s="106">
        <f>GETPIVOTDATA("Somme de Spent in $",$K$2,"Donor","OAT","Mois",9)</f>
        <v>5965.1454630995295</v>
      </c>
      <c r="H38" s="112">
        <f t="shared" si="3"/>
        <v>24811</v>
      </c>
      <c r="I38" s="112">
        <f t="shared" si="3"/>
        <v>48.455796205219485</v>
      </c>
      <c r="J38" s="167">
        <f>+D38/E38</f>
        <v>533.50316666666663</v>
      </c>
      <c r="K38" s="145" t="s">
        <v>461</v>
      </c>
      <c r="L38" s="313">
        <v>136599550</v>
      </c>
      <c r="M38" s="313">
        <v>241938.48457102271</v>
      </c>
      <c r="N38" s="313">
        <v>129944091</v>
      </c>
      <c r="O38" s="313">
        <v>232000</v>
      </c>
    </row>
    <row r="39" spans="1:15">
      <c r="A39" s="105" t="s">
        <v>89</v>
      </c>
      <c r="B39" s="106"/>
      <c r="C39" s="106"/>
      <c r="D39" s="106"/>
      <c r="E39" s="106"/>
      <c r="F39" s="107"/>
      <c r="G39" s="106"/>
      <c r="H39" s="112">
        <f t="shared" si="3"/>
        <v>24811</v>
      </c>
      <c r="I39" s="112">
        <f t="shared" si="3"/>
        <v>48.455796205219485</v>
      </c>
    </row>
    <row r="40" spans="1:15">
      <c r="A40" s="105" t="s">
        <v>90</v>
      </c>
      <c r="B40" s="106"/>
      <c r="C40" s="106"/>
      <c r="D40" s="106"/>
      <c r="E40" s="106"/>
      <c r="F40" s="107"/>
      <c r="G40" s="106"/>
      <c r="H40" s="112">
        <f t="shared" si="3"/>
        <v>24811</v>
      </c>
      <c r="I40" s="112">
        <f t="shared" si="3"/>
        <v>48.455796205219485</v>
      </c>
    </row>
    <row r="41" spans="1:15">
      <c r="A41" s="115" t="s">
        <v>91</v>
      </c>
      <c r="B41" s="116"/>
      <c r="C41" s="116"/>
      <c r="D41" s="116"/>
      <c r="E41" s="116"/>
      <c r="F41" s="117"/>
      <c r="G41" s="116"/>
      <c r="H41" s="112">
        <f t="shared" si="3"/>
        <v>24811</v>
      </c>
      <c r="I41" s="112">
        <f t="shared" si="3"/>
        <v>48.455796205219485</v>
      </c>
    </row>
    <row r="42" spans="1:15">
      <c r="A42" s="102" t="s">
        <v>4104</v>
      </c>
      <c r="B42" s="103"/>
      <c r="C42" s="104"/>
      <c r="D42" s="104">
        <f>SUM(D43:D54)</f>
        <v>2717192</v>
      </c>
      <c r="E42" s="104">
        <f>SUM(E43:E54)</f>
        <v>5000</v>
      </c>
      <c r="F42" s="104">
        <f>SUM(F43:F54)</f>
        <v>61100</v>
      </c>
      <c r="G42" s="104">
        <f>SUM(G43:G54)</f>
        <v>112.43232898693137</v>
      </c>
      <c r="H42" s="104">
        <f>B42+D42-F42</f>
        <v>2656092</v>
      </c>
      <c r="I42" s="104">
        <f>C42+E42-G42</f>
        <v>4887.5676710130683</v>
      </c>
    </row>
    <row r="43" spans="1:15">
      <c r="A43" s="113" t="s">
        <v>80</v>
      </c>
      <c r="B43" s="109"/>
      <c r="C43" s="110"/>
      <c r="D43" s="110"/>
      <c r="E43" s="109"/>
      <c r="F43" s="111"/>
      <c r="G43" s="109"/>
      <c r="H43" s="112"/>
      <c r="I43" s="112"/>
    </row>
    <row r="44" spans="1:15">
      <c r="A44" s="113" t="s">
        <v>81</v>
      </c>
      <c r="B44" s="109"/>
      <c r="C44" s="110"/>
      <c r="D44" s="110"/>
      <c r="E44" s="109"/>
      <c r="F44" s="211"/>
      <c r="G44" s="212"/>
      <c r="H44" s="112"/>
      <c r="I44" s="112"/>
    </row>
    <row r="45" spans="1:15">
      <c r="A45" s="114" t="s">
        <v>82</v>
      </c>
      <c r="B45" s="106"/>
      <c r="C45" s="106"/>
      <c r="D45" s="106"/>
      <c r="E45" s="106"/>
      <c r="F45" s="211"/>
      <c r="G45" s="106"/>
      <c r="H45" s="112"/>
      <c r="I45" s="112"/>
    </row>
    <row r="46" spans="1:15">
      <c r="A46" s="113" t="s">
        <v>83</v>
      </c>
      <c r="B46" s="106"/>
      <c r="C46" s="106"/>
      <c r="D46" s="106"/>
      <c r="E46" s="106"/>
      <c r="F46" s="211"/>
      <c r="G46" s="106"/>
      <c r="H46" s="112"/>
      <c r="I46" s="112"/>
    </row>
    <row r="47" spans="1:15">
      <c r="A47" s="114" t="s">
        <v>84</v>
      </c>
      <c r="B47" s="106"/>
      <c r="C47" s="106"/>
      <c r="D47" s="106"/>
      <c r="E47" s="106"/>
      <c r="F47" s="107"/>
      <c r="G47" s="106"/>
      <c r="H47" s="112"/>
      <c r="I47" s="112"/>
    </row>
    <row r="48" spans="1:15">
      <c r="A48" s="105" t="s">
        <v>85</v>
      </c>
      <c r="B48" s="106"/>
      <c r="C48" s="106"/>
      <c r="D48" s="106"/>
      <c r="E48" s="106"/>
      <c r="F48" s="107"/>
      <c r="G48" s="106"/>
      <c r="H48" s="112"/>
      <c r="I48" s="112"/>
    </row>
    <row r="49" spans="1:10">
      <c r="A49" s="105" t="s">
        <v>86</v>
      </c>
      <c r="B49" s="106"/>
      <c r="C49" s="106"/>
      <c r="D49" s="106"/>
      <c r="E49" s="106"/>
      <c r="F49" s="107"/>
      <c r="G49" s="106"/>
      <c r="H49" s="112"/>
      <c r="I49" s="112"/>
    </row>
    <row r="50" spans="1:10">
      <c r="A50" s="105" t="s">
        <v>87</v>
      </c>
      <c r="B50" s="106"/>
      <c r="C50" s="106"/>
      <c r="D50" s="106"/>
      <c r="E50" s="106"/>
      <c r="F50" s="107"/>
      <c r="G50" s="106"/>
      <c r="H50" s="112"/>
      <c r="I50" s="112"/>
    </row>
    <row r="51" spans="1:10">
      <c r="A51" s="108" t="s">
        <v>88</v>
      </c>
      <c r="B51" s="106"/>
      <c r="C51" s="106"/>
      <c r="D51" s="106"/>
      <c r="E51" s="106"/>
      <c r="F51" s="107"/>
      <c r="G51" s="106"/>
      <c r="H51" s="112"/>
      <c r="I51" s="112"/>
    </row>
    <row r="52" spans="1:10">
      <c r="A52" s="105" t="s">
        <v>89</v>
      </c>
      <c r="B52" s="106"/>
      <c r="C52" s="106"/>
      <c r="D52" s="106">
        <f>GETPIVOTDATA("Somme de Receved in XAF",$K$2,"Donor","Marchig Trust","Mois",10)</f>
        <v>2717192</v>
      </c>
      <c r="E52" s="106">
        <f>GETPIVOTDATA("Somme de Receved  $",$K$2,"Donor","Marchig Trust","Mois",10)</f>
        <v>5000</v>
      </c>
      <c r="F52" s="107"/>
      <c r="G52" s="106"/>
      <c r="H52" s="112"/>
      <c r="I52" s="112"/>
    </row>
    <row r="53" spans="1:10">
      <c r="A53" s="105" t="s">
        <v>90</v>
      </c>
      <c r="B53" s="106"/>
      <c r="C53" s="106"/>
      <c r="D53" s="106"/>
      <c r="E53" s="106"/>
      <c r="F53" s="107">
        <f>GETPIVOTDATA("Somme de Spent  in XAF",$K$2,"Donor","Marchig Trust","Mois",11)</f>
        <v>61100</v>
      </c>
      <c r="G53" s="106">
        <f>GETPIVOTDATA("Somme de Spent in $",$K$2,"Donor","Marchig Trust","Mois",11)</f>
        <v>112.43232898693137</v>
      </c>
      <c r="H53" s="112"/>
      <c r="I53" s="112"/>
    </row>
    <row r="54" spans="1:10">
      <c r="A54" s="115" t="s">
        <v>91</v>
      </c>
      <c r="B54" s="116"/>
      <c r="C54" s="116"/>
      <c r="D54" s="116"/>
      <c r="E54" s="116"/>
      <c r="F54" s="117"/>
      <c r="G54" s="116"/>
      <c r="H54" s="112"/>
      <c r="I54" s="112"/>
      <c r="J54" s="161">
        <f>D32/E32</f>
        <v>579.64599999999996</v>
      </c>
    </row>
    <row r="55" spans="1:10" ht="26.4">
      <c r="A55" s="294" t="s">
        <v>2100</v>
      </c>
      <c r="B55" s="295">
        <v>-5950675.7000000002</v>
      </c>
      <c r="C55" s="295">
        <v>-10017.969999999999</v>
      </c>
      <c r="D55" s="295"/>
      <c r="E55" s="296"/>
      <c r="F55" s="295"/>
      <c r="G55" s="297"/>
      <c r="H55" s="295">
        <f>+B55</f>
        <v>-5950675.7000000002</v>
      </c>
      <c r="I55" s="296">
        <f>+C55</f>
        <v>-10017.969999999999</v>
      </c>
    </row>
    <row r="56" spans="1:10">
      <c r="A56" s="294" t="s">
        <v>1905</v>
      </c>
      <c r="B56" s="295">
        <v>-1211363.3</v>
      </c>
      <c r="C56" s="296">
        <v>-2031.83</v>
      </c>
      <c r="D56" s="295">
        <f>GETPIVOTDATA("Somme de Receved in XAF",$K$2,"Donor","Wildcat 2024")</f>
        <v>17885797</v>
      </c>
      <c r="E56" s="296">
        <f>GETPIVOTDATA("Somme de Receved  $",$K$2,"Donor","Wildcat 2024")</f>
        <v>30000</v>
      </c>
      <c r="F56" s="295">
        <f>GETPIVOTDATA("Somme de Spent  in XAF",$K$2,"Donor","Wildcat 2024")</f>
        <v>13654604</v>
      </c>
      <c r="G56" s="297">
        <f>GETPIVOTDATA("Somme de Spent in $",$K$2,"Donor","Wildcat 2024")</f>
        <v>23208.427443302349</v>
      </c>
      <c r="H56" s="295">
        <f>B56+D56-F56</f>
        <v>3019829.6999999993</v>
      </c>
      <c r="I56" s="296">
        <f>C56+E56-G56</f>
        <v>4759.742556697649</v>
      </c>
    </row>
    <row r="57" spans="1:10">
      <c r="A57" s="294" t="s">
        <v>1136</v>
      </c>
      <c r="B57" s="295">
        <v>2107400</v>
      </c>
      <c r="C57" s="296">
        <v>0</v>
      </c>
      <c r="D57" s="295">
        <v>0</v>
      </c>
      <c r="E57" s="296">
        <v>0</v>
      </c>
      <c r="F57" s="295">
        <f>GETPIVOTDATA("Somme de Spent  in XAF",$K$2,"Donor","UE")</f>
        <v>2107400</v>
      </c>
      <c r="G57" s="297">
        <v>0</v>
      </c>
      <c r="H57" s="295">
        <f>B57+D57-F57</f>
        <v>0</v>
      </c>
      <c r="I57" s="296">
        <v>0</v>
      </c>
      <c r="J57" s="161">
        <f>D32/E32</f>
        <v>579.64599999999996</v>
      </c>
    </row>
    <row r="58" spans="1:10">
      <c r="A58" s="294" t="s">
        <v>437</v>
      </c>
      <c r="B58" s="295">
        <v>3069109.09</v>
      </c>
      <c r="C58" s="296">
        <v>5000</v>
      </c>
      <c r="D58" s="295">
        <v>0</v>
      </c>
      <c r="E58" s="296">
        <v>0</v>
      </c>
      <c r="F58" s="295">
        <f>GETPIVOTDATA("Somme de Spent  in XAF",$K$2,"Donor","Rufford","Mois",2)</f>
        <v>3055340</v>
      </c>
      <c r="G58" s="297">
        <f>GETPIVOTDATA("Somme de Spent in $",$K$2,"Donor","Rufford","Mois",2)</f>
        <v>4977.5684082904827</v>
      </c>
      <c r="H58" s="295">
        <f>B58+D58-F58</f>
        <v>13769.089999999851</v>
      </c>
      <c r="I58" s="296">
        <f>C58+E58-G58</f>
        <v>22.431591709517306</v>
      </c>
    </row>
    <row r="59" spans="1:10">
      <c r="A59" s="294" t="s">
        <v>200</v>
      </c>
      <c r="B59" s="295">
        <v>13324442.9</v>
      </c>
      <c r="C59" s="295">
        <v>23002.880000000001</v>
      </c>
      <c r="D59" s="295">
        <f>GETPIVOTDATA("Somme de Receved in XAF",$K$2,"Donor","OAK","Mois",3)</f>
        <v>17389380</v>
      </c>
      <c r="E59" s="296">
        <f>GETPIVOTDATA("Somme de Receved  $",$K$2,"Donor","OAK","Mois",3)</f>
        <v>30000</v>
      </c>
      <c r="F59" s="295">
        <f>GETPIVOTDATA("Somme de Spent  in XAF",$K$2,"Donor","OAK")</f>
        <v>38956819</v>
      </c>
      <c r="G59" s="297">
        <f>GETPIVOTDATA("Somme de Spent in $",$K$2,"Donor","OAK")</f>
        <v>67675.982714933547</v>
      </c>
      <c r="H59" s="295">
        <f>B59+D59-F59</f>
        <v>-8242996.1000000015</v>
      </c>
      <c r="I59" s="296">
        <f>C59+E59-G59</f>
        <v>-14673.102714933542</v>
      </c>
    </row>
    <row r="60" spans="1:10" ht="14.4" thickBot="1">
      <c r="A60" s="293" t="s">
        <v>92</v>
      </c>
      <c r="B60" s="103">
        <f>B2+B9+B29+B42+B55+B16+B56+B57+B58+B59</f>
        <v>11338912.99</v>
      </c>
      <c r="C60" s="103">
        <f t="shared" ref="C60:I60" si="4">C2+C9+C29+C42+C55+C16+C56+C57+C58+C59</f>
        <v>15953.080000000002</v>
      </c>
      <c r="D60" s="103">
        <f t="shared" si="4"/>
        <v>129944091</v>
      </c>
      <c r="E60" s="103">
        <f t="shared" si="4"/>
        <v>232000</v>
      </c>
      <c r="F60" s="103">
        <f t="shared" si="4"/>
        <v>136599550</v>
      </c>
      <c r="G60" s="103">
        <f>G2+G9+G29+G42+G55+G16+G56+G57+G58+G59</f>
        <v>233732.86823626008</v>
      </c>
      <c r="H60" s="103">
        <f>H2+H9+H29+H42+H55+H16+H56+H57+H58+H59</f>
        <v>4683453.9899999984</v>
      </c>
      <c r="I60" s="103">
        <f t="shared" si="4"/>
        <v>14220.211763739906</v>
      </c>
    </row>
    <row r="62" spans="1:10">
      <c r="A62" s="156"/>
      <c r="B62" s="156">
        <v>11338913</v>
      </c>
      <c r="C62" s="156"/>
      <c r="D62" s="156"/>
      <c r="F62" t="s">
        <v>93</v>
      </c>
      <c r="H62" s="146">
        <f>'Balance   '!I29</f>
        <v>4683454</v>
      </c>
    </row>
    <row r="63" spans="1:10">
      <c r="A63" s="156"/>
      <c r="B63" s="156">
        <f>B60-B62</f>
        <v>-9.9999997764825821E-3</v>
      </c>
      <c r="C63" s="156"/>
      <c r="D63" s="156"/>
      <c r="F63" t="s">
        <v>49</v>
      </c>
      <c r="H63" s="156">
        <f>H60-H62</f>
        <v>-1.0000001639127731E-2</v>
      </c>
    </row>
    <row r="64" spans="1:10">
      <c r="B64" s="146"/>
    </row>
    <row r="65" spans="2:2">
      <c r="B65" s="159"/>
    </row>
    <row r="66" spans="2:2">
      <c r="B66" s="159"/>
    </row>
  </sheetData>
  <pageMargins left="0.7" right="0.7" top="0.78740157499999996" bottom="0.78740157499999996" header="0.3" footer="0.3"/>
  <pageSetup paperSize="9" orientation="portrait"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Feuil13">
    <tabColor rgb="FFFFFF00"/>
  </sheetPr>
  <dimension ref="A1:H40"/>
  <sheetViews>
    <sheetView workbookViewId="0">
      <selection activeCell="B30" sqref="B30"/>
    </sheetView>
  </sheetViews>
  <sheetFormatPr baseColWidth="10" defaultColWidth="8.69921875" defaultRowHeight="13.8"/>
  <cols>
    <col min="1" max="1" width="15.69921875" customWidth="1"/>
    <col min="2" max="2" width="44.09765625" style="71" customWidth="1"/>
    <col min="3" max="4" width="15.69921875" style="71" customWidth="1"/>
    <col min="5" max="6" width="15.69921875" customWidth="1"/>
    <col min="7" max="7" width="20.3984375" bestFit="1" customWidth="1"/>
    <col min="8" max="8" width="20.3984375" style="71" bestFit="1" customWidth="1"/>
  </cols>
  <sheetData>
    <row r="1" spans="1:8">
      <c r="A1" s="76" t="s">
        <v>1518</v>
      </c>
      <c r="B1" s="95" t="s">
        <v>1514</v>
      </c>
      <c r="C1" s="95" t="s">
        <v>1515</v>
      </c>
      <c r="D1" s="95" t="s">
        <v>1517</v>
      </c>
      <c r="E1" s="76" t="s">
        <v>1516</v>
      </c>
    </row>
    <row r="2" spans="1:8">
      <c r="A2" s="220">
        <v>45964</v>
      </c>
      <c r="B2" s="95">
        <v>112500</v>
      </c>
      <c r="C2" s="95"/>
      <c r="D2" s="95">
        <f>B2-C2</f>
        <v>112500</v>
      </c>
      <c r="E2" s="76"/>
      <c r="G2" s="168" t="s">
        <v>460</v>
      </c>
      <c r="H2" t="s">
        <v>1901</v>
      </c>
    </row>
    <row r="3" spans="1:8">
      <c r="A3" s="220">
        <v>45964</v>
      </c>
      <c r="B3" s="95"/>
      <c r="C3" s="95">
        <v>12500</v>
      </c>
      <c r="D3" s="95">
        <f>D2+B3-C3</f>
        <v>100000</v>
      </c>
      <c r="E3" s="76" t="s">
        <v>438</v>
      </c>
      <c r="G3" s="145" t="s">
        <v>188</v>
      </c>
      <c r="H3" s="313">
        <v>22500</v>
      </c>
    </row>
    <row r="4" spans="1:8">
      <c r="A4" s="220">
        <v>45964</v>
      </c>
      <c r="B4" s="95"/>
      <c r="C4" s="95">
        <v>7500</v>
      </c>
      <c r="D4" s="95">
        <f t="shared" ref="D4:D40" si="0">D3+B4-C4</f>
        <v>92500</v>
      </c>
      <c r="E4" s="76" t="s">
        <v>581</v>
      </c>
      <c r="G4" s="145" t="s">
        <v>1512</v>
      </c>
      <c r="H4" s="313">
        <v>30000</v>
      </c>
    </row>
    <row r="5" spans="1:8">
      <c r="A5" s="220">
        <v>45964</v>
      </c>
      <c r="B5" s="95"/>
      <c r="C5" s="95">
        <v>10000</v>
      </c>
      <c r="D5" s="95">
        <f t="shared" si="0"/>
        <v>82500</v>
      </c>
      <c r="E5" s="76" t="s">
        <v>1512</v>
      </c>
      <c r="G5" s="145" t="s">
        <v>435</v>
      </c>
      <c r="H5" s="313">
        <v>30000</v>
      </c>
    </row>
    <row r="6" spans="1:8">
      <c r="A6" s="220">
        <v>45964</v>
      </c>
      <c r="B6" s="95"/>
      <c r="C6" s="95">
        <v>10000</v>
      </c>
      <c r="D6" s="95">
        <f t="shared" si="0"/>
        <v>72500</v>
      </c>
      <c r="E6" s="76" t="s">
        <v>435</v>
      </c>
      <c r="G6" s="145" t="s">
        <v>438</v>
      </c>
      <c r="H6" s="313">
        <v>37500</v>
      </c>
    </row>
    <row r="7" spans="1:8">
      <c r="A7" s="220">
        <v>45964</v>
      </c>
      <c r="B7" s="95"/>
      <c r="C7" s="95">
        <v>7500</v>
      </c>
      <c r="D7" s="95">
        <f t="shared" si="0"/>
        <v>65000</v>
      </c>
      <c r="E7" s="76" t="s">
        <v>191</v>
      </c>
      <c r="G7" s="145" t="s">
        <v>211</v>
      </c>
      <c r="H7" s="313">
        <v>30000</v>
      </c>
    </row>
    <row r="8" spans="1:8">
      <c r="A8" s="220">
        <v>45964</v>
      </c>
      <c r="B8" s="95"/>
      <c r="C8" s="95">
        <v>7500</v>
      </c>
      <c r="D8" s="95">
        <f t="shared" si="0"/>
        <v>57500</v>
      </c>
      <c r="E8" s="76" t="s">
        <v>188</v>
      </c>
      <c r="G8" s="145" t="s">
        <v>321</v>
      </c>
      <c r="H8" s="313">
        <v>30000</v>
      </c>
    </row>
    <row r="9" spans="1:8">
      <c r="A9" s="220">
        <v>45964</v>
      </c>
      <c r="B9" s="95"/>
      <c r="C9" s="95">
        <v>7500</v>
      </c>
      <c r="D9" s="95">
        <f t="shared" si="0"/>
        <v>50000</v>
      </c>
      <c r="E9" s="76" t="s">
        <v>185</v>
      </c>
      <c r="G9" s="145" t="s">
        <v>315</v>
      </c>
      <c r="H9" s="313">
        <v>30000</v>
      </c>
    </row>
    <row r="10" spans="1:8">
      <c r="A10" s="220">
        <v>45964</v>
      </c>
      <c r="B10" s="95"/>
      <c r="C10" s="95">
        <v>10000</v>
      </c>
      <c r="D10" s="95">
        <f t="shared" si="0"/>
        <v>40000</v>
      </c>
      <c r="E10" s="76" t="s">
        <v>211</v>
      </c>
      <c r="G10" s="145" t="s">
        <v>182</v>
      </c>
      <c r="H10" s="313">
        <v>30000</v>
      </c>
    </row>
    <row r="11" spans="1:8">
      <c r="A11" s="220">
        <v>45964</v>
      </c>
      <c r="B11" s="95"/>
      <c r="C11" s="95">
        <v>10000</v>
      </c>
      <c r="D11" s="95">
        <f t="shared" si="0"/>
        <v>30000</v>
      </c>
      <c r="E11" s="76" t="s">
        <v>173</v>
      </c>
      <c r="G11" s="145" t="s">
        <v>581</v>
      </c>
      <c r="H11" s="313">
        <v>22500</v>
      </c>
    </row>
    <row r="12" spans="1:8">
      <c r="A12" s="220">
        <v>45964</v>
      </c>
      <c r="B12" s="95"/>
      <c r="C12" s="95">
        <v>10000</v>
      </c>
      <c r="D12" s="95">
        <f t="shared" si="0"/>
        <v>20000</v>
      </c>
      <c r="E12" s="76" t="s">
        <v>321</v>
      </c>
      <c r="G12" s="145" t="s">
        <v>191</v>
      </c>
      <c r="H12" s="313">
        <v>22500</v>
      </c>
    </row>
    <row r="13" spans="1:8">
      <c r="A13" s="220">
        <v>45964</v>
      </c>
      <c r="B13" s="95"/>
      <c r="C13" s="95">
        <v>10000</v>
      </c>
      <c r="D13" s="95">
        <f t="shared" si="0"/>
        <v>10000</v>
      </c>
      <c r="E13" s="76" t="s">
        <v>182</v>
      </c>
      <c r="G13" s="145" t="s">
        <v>185</v>
      </c>
      <c r="H13" s="313">
        <v>22500</v>
      </c>
    </row>
    <row r="14" spans="1:8">
      <c r="A14" s="220">
        <v>45964</v>
      </c>
      <c r="B14" s="95"/>
      <c r="C14" s="95">
        <v>10000</v>
      </c>
      <c r="D14" s="95">
        <f t="shared" si="0"/>
        <v>0</v>
      </c>
      <c r="E14" s="76" t="s">
        <v>315</v>
      </c>
      <c r="G14" s="145" t="s">
        <v>173</v>
      </c>
      <c r="H14" s="313">
        <v>30000</v>
      </c>
    </row>
    <row r="15" spans="1:8">
      <c r="A15" s="220">
        <v>45971</v>
      </c>
      <c r="B15" s="95">
        <v>112500</v>
      </c>
      <c r="C15" s="95"/>
      <c r="D15" s="95">
        <f t="shared" si="0"/>
        <v>112500</v>
      </c>
      <c r="E15" s="76"/>
      <c r="G15" s="145" t="s">
        <v>1898</v>
      </c>
      <c r="H15" s="313"/>
    </row>
    <row r="16" spans="1:8">
      <c r="A16" s="220">
        <v>45971</v>
      </c>
      <c r="B16" s="95"/>
      <c r="C16" s="95">
        <v>12500</v>
      </c>
      <c r="D16" s="95">
        <f t="shared" si="0"/>
        <v>100000</v>
      </c>
      <c r="E16" s="76" t="s">
        <v>438</v>
      </c>
      <c r="G16" s="145" t="s">
        <v>461</v>
      </c>
      <c r="H16" s="313">
        <v>337500</v>
      </c>
    </row>
    <row r="17" spans="1:8">
      <c r="A17" s="220">
        <v>45971</v>
      </c>
      <c r="B17" s="95"/>
      <c r="C17" s="95">
        <v>7500</v>
      </c>
      <c r="D17" s="95">
        <f t="shared" si="0"/>
        <v>92500</v>
      </c>
      <c r="E17" s="76" t="s">
        <v>581</v>
      </c>
      <c r="H17"/>
    </row>
    <row r="18" spans="1:8">
      <c r="A18" s="220">
        <v>45971</v>
      </c>
      <c r="B18" s="162"/>
      <c r="C18" s="162">
        <v>10000</v>
      </c>
      <c r="D18" s="95">
        <f t="shared" si="0"/>
        <v>82500</v>
      </c>
      <c r="E18" s="76" t="s">
        <v>1512</v>
      </c>
    </row>
    <row r="19" spans="1:8">
      <c r="A19" s="220">
        <v>45971</v>
      </c>
      <c r="B19" s="76"/>
      <c r="C19" s="95">
        <v>10000</v>
      </c>
      <c r="D19" s="95">
        <f t="shared" si="0"/>
        <v>72500</v>
      </c>
      <c r="E19" s="76" t="s">
        <v>435</v>
      </c>
    </row>
    <row r="20" spans="1:8">
      <c r="A20" s="220">
        <v>45971</v>
      </c>
      <c r="B20" s="76"/>
      <c r="C20" s="95">
        <v>7500</v>
      </c>
      <c r="D20" s="95">
        <f t="shared" si="0"/>
        <v>65000</v>
      </c>
      <c r="E20" s="76" t="s">
        <v>191</v>
      </c>
    </row>
    <row r="21" spans="1:8">
      <c r="A21" s="220">
        <v>45971</v>
      </c>
      <c r="B21" s="76"/>
      <c r="C21" s="95">
        <v>7500</v>
      </c>
      <c r="D21" s="95">
        <f t="shared" si="0"/>
        <v>57500</v>
      </c>
      <c r="E21" s="76" t="s">
        <v>188</v>
      </c>
    </row>
    <row r="22" spans="1:8">
      <c r="A22" s="220">
        <v>45971</v>
      </c>
      <c r="B22" s="76"/>
      <c r="C22" s="95">
        <v>7500</v>
      </c>
      <c r="D22" s="95">
        <f t="shared" si="0"/>
        <v>50000</v>
      </c>
      <c r="E22" s="76" t="s">
        <v>185</v>
      </c>
    </row>
    <row r="23" spans="1:8">
      <c r="A23" s="220">
        <v>45971</v>
      </c>
      <c r="B23" s="76"/>
      <c r="C23" s="95">
        <v>10000</v>
      </c>
      <c r="D23" s="95">
        <f t="shared" si="0"/>
        <v>40000</v>
      </c>
      <c r="E23" s="76" t="s">
        <v>211</v>
      </c>
    </row>
    <row r="24" spans="1:8">
      <c r="A24" s="220">
        <v>45971</v>
      </c>
      <c r="B24" s="76"/>
      <c r="C24" s="95">
        <v>10000</v>
      </c>
      <c r="D24" s="95">
        <f t="shared" si="0"/>
        <v>30000</v>
      </c>
      <c r="E24" s="76" t="s">
        <v>173</v>
      </c>
    </row>
    <row r="25" spans="1:8">
      <c r="A25" s="220">
        <v>45971</v>
      </c>
      <c r="B25" s="76"/>
      <c r="C25" s="95">
        <v>10000</v>
      </c>
      <c r="D25" s="95">
        <f t="shared" si="0"/>
        <v>20000</v>
      </c>
      <c r="E25" s="76" t="s">
        <v>321</v>
      </c>
    </row>
    <row r="26" spans="1:8">
      <c r="A26" s="220">
        <v>45971</v>
      </c>
      <c r="B26" s="76"/>
      <c r="C26" s="95">
        <v>10000</v>
      </c>
      <c r="D26" s="95">
        <f t="shared" si="0"/>
        <v>10000</v>
      </c>
      <c r="E26" s="76" t="s">
        <v>182</v>
      </c>
    </row>
    <row r="27" spans="1:8">
      <c r="A27" s="220">
        <v>45971</v>
      </c>
      <c r="B27" s="76"/>
      <c r="C27" s="95">
        <v>10000</v>
      </c>
      <c r="D27" s="95">
        <f t="shared" si="0"/>
        <v>0</v>
      </c>
      <c r="E27" s="76" t="s">
        <v>315</v>
      </c>
    </row>
    <row r="28" spans="1:8">
      <c r="A28" s="469">
        <v>45978</v>
      </c>
      <c r="B28" s="125">
        <v>112500</v>
      </c>
      <c r="C28" s="125"/>
      <c r="D28" s="162">
        <f t="shared" si="0"/>
        <v>112500</v>
      </c>
      <c r="E28" s="125"/>
    </row>
    <row r="29" spans="1:8">
      <c r="A29" s="220">
        <v>45978</v>
      </c>
      <c r="B29" s="76"/>
      <c r="C29" s="76">
        <v>12500</v>
      </c>
      <c r="D29" s="95">
        <f t="shared" si="0"/>
        <v>100000</v>
      </c>
      <c r="E29" s="76" t="s">
        <v>438</v>
      </c>
    </row>
    <row r="30" spans="1:8">
      <c r="A30" s="469">
        <v>45978</v>
      </c>
      <c r="B30" s="76"/>
      <c r="C30" s="76">
        <v>7500</v>
      </c>
      <c r="D30" s="95">
        <f t="shared" si="0"/>
        <v>92500</v>
      </c>
      <c r="E30" s="76" t="s">
        <v>581</v>
      </c>
    </row>
    <row r="31" spans="1:8">
      <c r="A31" s="220">
        <v>45978</v>
      </c>
      <c r="B31" s="76"/>
      <c r="C31" s="76">
        <v>10000</v>
      </c>
      <c r="D31" s="95">
        <f t="shared" si="0"/>
        <v>82500</v>
      </c>
      <c r="E31" s="76" t="s">
        <v>1512</v>
      </c>
    </row>
    <row r="32" spans="1:8">
      <c r="A32" s="469">
        <v>45978</v>
      </c>
      <c r="B32" s="76"/>
      <c r="C32" s="76">
        <v>10000</v>
      </c>
      <c r="D32" s="95">
        <f t="shared" si="0"/>
        <v>72500</v>
      </c>
      <c r="E32" s="76" t="s">
        <v>435</v>
      </c>
    </row>
    <row r="33" spans="1:5">
      <c r="A33" s="220">
        <v>45978</v>
      </c>
      <c r="B33" s="76"/>
      <c r="C33" s="76">
        <v>7500</v>
      </c>
      <c r="D33" s="95">
        <f t="shared" si="0"/>
        <v>65000</v>
      </c>
      <c r="E33" s="76" t="s">
        <v>191</v>
      </c>
    </row>
    <row r="34" spans="1:5">
      <c r="A34" s="469">
        <v>45978</v>
      </c>
      <c r="B34" s="76"/>
      <c r="C34" s="76">
        <v>7500</v>
      </c>
      <c r="D34" s="95">
        <f t="shared" si="0"/>
        <v>57500</v>
      </c>
      <c r="E34" s="76" t="s">
        <v>188</v>
      </c>
    </row>
    <row r="35" spans="1:5">
      <c r="A35" s="220">
        <v>45978</v>
      </c>
      <c r="B35" s="76"/>
      <c r="C35" s="76">
        <v>7500</v>
      </c>
      <c r="D35" s="95">
        <f t="shared" si="0"/>
        <v>50000</v>
      </c>
      <c r="E35" s="76" t="s">
        <v>185</v>
      </c>
    </row>
    <row r="36" spans="1:5">
      <c r="A36" s="469">
        <v>45978</v>
      </c>
      <c r="B36" s="76"/>
      <c r="C36" s="76">
        <v>10000</v>
      </c>
      <c r="D36" s="95">
        <f t="shared" si="0"/>
        <v>40000</v>
      </c>
      <c r="E36" s="76" t="s">
        <v>211</v>
      </c>
    </row>
    <row r="37" spans="1:5">
      <c r="A37" s="220">
        <v>45978</v>
      </c>
      <c r="B37" s="76"/>
      <c r="C37" s="76">
        <v>10000</v>
      </c>
      <c r="D37" s="95">
        <f t="shared" si="0"/>
        <v>30000</v>
      </c>
      <c r="E37" s="76" t="s">
        <v>173</v>
      </c>
    </row>
    <row r="38" spans="1:5">
      <c r="A38" s="469">
        <v>45978</v>
      </c>
      <c r="B38" s="76"/>
      <c r="C38" s="76">
        <v>10000</v>
      </c>
      <c r="D38" s="95">
        <f t="shared" si="0"/>
        <v>20000</v>
      </c>
      <c r="E38" s="76" t="s">
        <v>321</v>
      </c>
    </row>
    <row r="39" spans="1:5">
      <c r="A39" s="220">
        <v>45978</v>
      </c>
      <c r="B39" s="76"/>
      <c r="C39" s="76">
        <v>10000</v>
      </c>
      <c r="D39" s="95">
        <f t="shared" si="0"/>
        <v>10000</v>
      </c>
      <c r="E39" s="76" t="s">
        <v>182</v>
      </c>
    </row>
    <row r="40" spans="1:5">
      <c r="A40" s="469">
        <v>45978</v>
      </c>
      <c r="B40" s="76"/>
      <c r="C40" s="76">
        <v>10000</v>
      </c>
      <c r="D40" s="95">
        <f t="shared" si="0"/>
        <v>0</v>
      </c>
      <c r="E40" s="76" t="s">
        <v>315</v>
      </c>
    </row>
  </sheetData>
  <pageMargins left="0.7" right="0.7" top="0.78740157499999996" bottom="0.78740157499999996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2"/>
  <dimension ref="A1:O2544"/>
  <sheetViews>
    <sheetView tabSelected="1" zoomScale="69" zoomScaleNormal="69" workbookViewId="0">
      <pane ySplit="1" topLeftCell="A2" activePane="bottomLeft" state="frozen"/>
      <selection pane="bottomLeft" activeCell="B762" sqref="B762"/>
    </sheetView>
  </sheetViews>
  <sheetFormatPr baseColWidth="10" defaultColWidth="8.69921875" defaultRowHeight="15.6"/>
  <cols>
    <col min="1" max="1" width="12.69921875" style="368" customWidth="1"/>
    <col min="2" max="2" width="82" customWidth="1"/>
    <col min="3" max="3" width="20.69921875" customWidth="1"/>
    <col min="4" max="4" width="12.69921875" customWidth="1"/>
    <col min="5" max="5" width="18.8984375" style="71" customWidth="1"/>
    <col min="6" max="6" width="17.69921875" style="470" customWidth="1"/>
    <col min="7" max="7" width="15.3984375" style="448" customWidth="1"/>
    <col min="8" max="8" width="17" customWidth="1"/>
    <col min="9" max="9" width="22.09765625" customWidth="1"/>
    <col min="10" max="10" width="12.69921875" customWidth="1"/>
    <col min="11" max="11" width="13.5" style="325" customWidth="1"/>
    <col min="12" max="14" width="12.69921875" customWidth="1"/>
    <col min="15" max="15" width="28.3984375" customWidth="1"/>
  </cols>
  <sheetData>
    <row r="1" spans="1:15" s="323" customFormat="1" ht="31.2">
      <c r="A1" s="364" t="s">
        <v>0</v>
      </c>
      <c r="B1" s="394" t="s">
        <v>1</v>
      </c>
      <c r="C1" s="394" t="s">
        <v>2</v>
      </c>
      <c r="D1" s="394" t="s">
        <v>3</v>
      </c>
      <c r="E1" s="397" t="s">
        <v>148</v>
      </c>
      <c r="F1" s="397" t="s">
        <v>4</v>
      </c>
      <c r="G1" s="397" t="s">
        <v>5</v>
      </c>
      <c r="H1" s="397" t="s">
        <v>10</v>
      </c>
      <c r="I1" s="397" t="s">
        <v>6</v>
      </c>
      <c r="J1" s="397" t="s">
        <v>7</v>
      </c>
      <c r="K1" s="476" t="s">
        <v>8</v>
      </c>
      <c r="L1" s="397" t="s">
        <v>9</v>
      </c>
      <c r="M1" s="398" t="s">
        <v>471</v>
      </c>
      <c r="N1" s="396" t="s">
        <v>472</v>
      </c>
      <c r="O1" s="397" t="s">
        <v>69</v>
      </c>
    </row>
    <row r="2" spans="1:15" s="323" customFormat="1" ht="15" customHeight="1">
      <c r="A2" s="531">
        <v>45962</v>
      </c>
      <c r="B2" s="514" t="s">
        <v>3825</v>
      </c>
      <c r="C2" s="514" t="s">
        <v>172</v>
      </c>
      <c r="D2" s="514" t="s">
        <v>118</v>
      </c>
      <c r="E2" s="518">
        <v>1000</v>
      </c>
      <c r="F2" s="502">
        <f t="shared" ref="F2:F36" si="0">E2/G2</f>
        <v>1.8744037053212446</v>
      </c>
      <c r="G2" s="503">
        <v>533.50300000000004</v>
      </c>
      <c r="H2" s="514" t="s">
        <v>211</v>
      </c>
      <c r="I2" s="514" t="s">
        <v>4559</v>
      </c>
      <c r="J2" s="505" t="s">
        <v>96</v>
      </c>
      <c r="K2" s="505" t="s">
        <v>2102</v>
      </c>
      <c r="L2" s="505" t="s">
        <v>153</v>
      </c>
      <c r="M2" s="351"/>
      <c r="N2" s="351"/>
      <c r="O2" s="327"/>
    </row>
    <row r="3" spans="1:15" s="323" customFormat="1" ht="15">
      <c r="A3" s="532">
        <v>45962</v>
      </c>
      <c r="B3" s="516" t="s">
        <v>3817</v>
      </c>
      <c r="C3" s="516" t="s">
        <v>172</v>
      </c>
      <c r="D3" s="516" t="s">
        <v>118</v>
      </c>
      <c r="E3" s="533">
        <v>1000</v>
      </c>
      <c r="F3" s="502">
        <f t="shared" si="0"/>
        <v>1.8744037053212446</v>
      </c>
      <c r="G3" s="503">
        <v>533.50300000000004</v>
      </c>
      <c r="H3" s="516" t="s">
        <v>211</v>
      </c>
      <c r="I3" s="516" t="s">
        <v>4559</v>
      </c>
      <c r="J3" s="505" t="s">
        <v>96</v>
      </c>
      <c r="K3" s="505" t="s">
        <v>2102</v>
      </c>
      <c r="L3" s="505" t="s">
        <v>153</v>
      </c>
      <c r="M3" s="327"/>
      <c r="N3" s="327"/>
      <c r="O3" s="327"/>
    </row>
    <row r="4" spans="1:15" s="399" customFormat="1" ht="15">
      <c r="A4" s="532">
        <v>45962</v>
      </c>
      <c r="B4" s="516" t="s">
        <v>3818</v>
      </c>
      <c r="C4" s="516" t="s">
        <v>172</v>
      </c>
      <c r="D4" s="516" t="s">
        <v>118</v>
      </c>
      <c r="E4" s="533">
        <v>1000</v>
      </c>
      <c r="F4" s="502">
        <f t="shared" si="0"/>
        <v>1.8744037053212446</v>
      </c>
      <c r="G4" s="503">
        <v>533.50300000000004</v>
      </c>
      <c r="H4" s="516" t="s">
        <v>211</v>
      </c>
      <c r="I4" s="516" t="s">
        <v>4559</v>
      </c>
      <c r="J4" s="505" t="s">
        <v>96</v>
      </c>
      <c r="K4" s="505" t="s">
        <v>2102</v>
      </c>
      <c r="L4" s="505" t="s">
        <v>153</v>
      </c>
      <c r="M4" s="327"/>
      <c r="N4" s="327"/>
      <c r="O4" s="327"/>
    </row>
    <row r="5" spans="1:15" s="323" customFormat="1" ht="15">
      <c r="A5" s="532">
        <v>45962</v>
      </c>
      <c r="B5" s="516" t="s">
        <v>3819</v>
      </c>
      <c r="C5" s="516" t="s">
        <v>172</v>
      </c>
      <c r="D5" s="516" t="s">
        <v>118</v>
      </c>
      <c r="E5" s="533">
        <v>1000</v>
      </c>
      <c r="F5" s="502">
        <f t="shared" si="0"/>
        <v>1.8744037053212446</v>
      </c>
      <c r="G5" s="503">
        <v>533.50300000000004</v>
      </c>
      <c r="H5" s="516" t="s">
        <v>211</v>
      </c>
      <c r="I5" s="516" t="s">
        <v>4559</v>
      </c>
      <c r="J5" s="505" t="s">
        <v>96</v>
      </c>
      <c r="K5" s="505" t="s">
        <v>2102</v>
      </c>
      <c r="L5" s="505" t="s">
        <v>153</v>
      </c>
      <c r="M5" s="327"/>
      <c r="N5" s="327"/>
      <c r="O5" s="327"/>
    </row>
    <row r="6" spans="1:15" s="323" customFormat="1" ht="15">
      <c r="A6" s="515">
        <v>45963</v>
      </c>
      <c r="B6" s="505" t="s">
        <v>4377</v>
      </c>
      <c r="C6" s="505" t="s">
        <v>172</v>
      </c>
      <c r="D6" s="505" t="s">
        <v>115</v>
      </c>
      <c r="E6" s="530">
        <v>500</v>
      </c>
      <c r="F6" s="502">
        <f t="shared" si="0"/>
        <v>0.93720185266062228</v>
      </c>
      <c r="G6" s="503">
        <v>533.50300000000004</v>
      </c>
      <c r="H6" s="505" t="s">
        <v>191</v>
      </c>
      <c r="I6" s="505" t="s">
        <v>4405</v>
      </c>
      <c r="J6" s="505" t="s">
        <v>96</v>
      </c>
      <c r="K6" s="505" t="s">
        <v>2102</v>
      </c>
      <c r="L6" s="505" t="s">
        <v>153</v>
      </c>
      <c r="M6" s="327"/>
      <c r="N6" s="327"/>
      <c r="O6" s="327"/>
    </row>
    <row r="7" spans="1:15" s="323" customFormat="1" ht="15">
      <c r="A7" s="515">
        <v>45963</v>
      </c>
      <c r="B7" s="519" t="s">
        <v>4378</v>
      </c>
      <c r="C7" s="505" t="s">
        <v>172</v>
      </c>
      <c r="D7" s="505" t="s">
        <v>115</v>
      </c>
      <c r="E7" s="528">
        <v>500</v>
      </c>
      <c r="F7" s="502">
        <f t="shared" si="0"/>
        <v>0.93720185266062228</v>
      </c>
      <c r="G7" s="503">
        <v>533.50300000000004</v>
      </c>
      <c r="H7" s="505" t="s">
        <v>191</v>
      </c>
      <c r="I7" s="519" t="s">
        <v>4405</v>
      </c>
      <c r="J7" s="505" t="s">
        <v>96</v>
      </c>
      <c r="K7" s="505" t="s">
        <v>2102</v>
      </c>
      <c r="L7" s="505" t="s">
        <v>153</v>
      </c>
      <c r="M7" s="327"/>
      <c r="N7" s="327"/>
      <c r="O7" s="327"/>
    </row>
    <row r="8" spans="1:15" s="323" customFormat="1" ht="15">
      <c r="A8" s="543">
        <v>45963</v>
      </c>
      <c r="B8" s="544" t="s">
        <v>4056</v>
      </c>
      <c r="C8" s="505" t="s">
        <v>121</v>
      </c>
      <c r="D8" s="505" t="s">
        <v>115</v>
      </c>
      <c r="E8" s="518">
        <v>200000</v>
      </c>
      <c r="F8" s="502">
        <f t="shared" si="0"/>
        <v>374.88074106424892</v>
      </c>
      <c r="G8" s="503">
        <v>533.50300000000004</v>
      </c>
      <c r="H8" s="125" t="s">
        <v>146</v>
      </c>
      <c r="I8" s="125" t="s">
        <v>4708</v>
      </c>
      <c r="J8" s="505" t="s">
        <v>96</v>
      </c>
      <c r="K8" s="505" t="s">
        <v>2102</v>
      </c>
      <c r="L8" s="505" t="s">
        <v>153</v>
      </c>
      <c r="M8" s="76"/>
      <c r="N8" s="76"/>
      <c r="O8" s="76"/>
    </row>
    <row r="9" spans="1:15" s="323" customFormat="1" ht="15">
      <c r="A9" s="486">
        <v>45964</v>
      </c>
      <c r="B9" s="478" t="s">
        <v>2103</v>
      </c>
      <c r="C9" s="478" t="s">
        <v>172</v>
      </c>
      <c r="D9" s="501" t="s">
        <v>117</v>
      </c>
      <c r="E9" s="481">
        <v>1000</v>
      </c>
      <c r="F9" s="502">
        <f t="shared" si="0"/>
        <v>1.8744037053212446</v>
      </c>
      <c r="G9" s="503">
        <v>533.50300000000004</v>
      </c>
      <c r="H9" s="504" t="s">
        <v>151</v>
      </c>
      <c r="I9" s="478" t="s">
        <v>4133</v>
      </c>
      <c r="J9" s="505" t="s">
        <v>96</v>
      </c>
      <c r="K9" s="505" t="s">
        <v>2102</v>
      </c>
      <c r="L9" s="505" t="s">
        <v>153</v>
      </c>
      <c r="M9" s="327"/>
      <c r="N9" s="125"/>
      <c r="O9" s="125"/>
    </row>
    <row r="10" spans="1:15" s="323" customFormat="1" ht="15">
      <c r="A10" s="486">
        <v>45964</v>
      </c>
      <c r="B10" s="478" t="s">
        <v>4119</v>
      </c>
      <c r="C10" s="478" t="s">
        <v>172</v>
      </c>
      <c r="D10" s="501" t="s">
        <v>117</v>
      </c>
      <c r="E10" s="481">
        <v>1000</v>
      </c>
      <c r="F10" s="502">
        <f t="shared" si="0"/>
        <v>1.8744037053212446</v>
      </c>
      <c r="G10" s="503">
        <v>533.50300000000004</v>
      </c>
      <c r="H10" s="504" t="s">
        <v>151</v>
      </c>
      <c r="I10" s="478" t="s">
        <v>4133</v>
      </c>
      <c r="J10" s="505" t="s">
        <v>96</v>
      </c>
      <c r="K10" s="505" t="s">
        <v>2102</v>
      </c>
      <c r="L10" s="505" t="s">
        <v>153</v>
      </c>
      <c r="M10" s="327"/>
      <c r="N10" s="125"/>
      <c r="O10" s="125"/>
    </row>
    <row r="11" spans="1:15" s="323" customFormat="1" ht="15">
      <c r="A11" s="486">
        <v>45964</v>
      </c>
      <c r="B11" s="478" t="s">
        <v>4120</v>
      </c>
      <c r="C11" s="478" t="s">
        <v>172</v>
      </c>
      <c r="D11" s="501" t="s">
        <v>117</v>
      </c>
      <c r="E11" s="481">
        <v>1000</v>
      </c>
      <c r="F11" s="502">
        <f t="shared" si="0"/>
        <v>1.8744037053212446</v>
      </c>
      <c r="G11" s="503">
        <v>533.50300000000004</v>
      </c>
      <c r="H11" s="504" t="s">
        <v>151</v>
      </c>
      <c r="I11" s="478" t="s">
        <v>4133</v>
      </c>
      <c r="J11" s="505" t="s">
        <v>96</v>
      </c>
      <c r="K11" s="505" t="s">
        <v>2102</v>
      </c>
      <c r="L11" s="505" t="s">
        <v>153</v>
      </c>
      <c r="M11" s="327"/>
      <c r="N11" s="125"/>
      <c r="O11" s="125"/>
    </row>
    <row r="12" spans="1:15" s="399" customFormat="1" ht="15">
      <c r="A12" s="629">
        <v>45964</v>
      </c>
      <c r="B12" s="298" t="s">
        <v>4121</v>
      </c>
      <c r="C12" s="506" t="s">
        <v>150</v>
      </c>
      <c r="D12" s="506" t="s">
        <v>117</v>
      </c>
      <c r="E12" s="630">
        <v>12500</v>
      </c>
      <c r="F12" s="502">
        <f t="shared" si="0"/>
        <v>23.430046316515558</v>
      </c>
      <c r="G12" s="503">
        <v>533.50300000000004</v>
      </c>
      <c r="H12" s="631" t="s">
        <v>151</v>
      </c>
      <c r="I12" s="298" t="s">
        <v>4134</v>
      </c>
      <c r="J12" s="505" t="s">
        <v>96</v>
      </c>
      <c r="K12" s="505" t="s">
        <v>2102</v>
      </c>
      <c r="L12" s="505" t="s">
        <v>153</v>
      </c>
      <c r="M12" s="327"/>
      <c r="N12" s="125"/>
      <c r="O12" s="125"/>
    </row>
    <row r="13" spans="1:15" s="399" customFormat="1" ht="15">
      <c r="A13" s="507">
        <v>45964</v>
      </c>
      <c r="B13" s="508" t="s">
        <v>4731</v>
      </c>
      <c r="C13" s="508" t="s">
        <v>2394</v>
      </c>
      <c r="D13" s="508" t="s">
        <v>115</v>
      </c>
      <c r="E13" s="509">
        <v>40000</v>
      </c>
      <c r="F13" s="502">
        <f t="shared" si="0"/>
        <v>74.976148212849779</v>
      </c>
      <c r="G13" s="503">
        <v>533.50300000000004</v>
      </c>
      <c r="H13" s="510" t="s">
        <v>198</v>
      </c>
      <c r="I13" s="508" t="s">
        <v>4152</v>
      </c>
      <c r="J13" s="505" t="s">
        <v>96</v>
      </c>
      <c r="K13" s="505" t="s">
        <v>2102</v>
      </c>
      <c r="L13" s="505" t="s">
        <v>153</v>
      </c>
      <c r="M13" s="327"/>
      <c r="N13" s="327"/>
      <c r="O13" s="327"/>
    </row>
    <row r="14" spans="1:15" s="399" customFormat="1" ht="15">
      <c r="A14" s="507">
        <v>45964</v>
      </c>
      <c r="B14" s="508" t="s">
        <v>2423</v>
      </c>
      <c r="C14" s="508" t="s">
        <v>172</v>
      </c>
      <c r="D14" s="508" t="s">
        <v>115</v>
      </c>
      <c r="E14" s="509">
        <v>500</v>
      </c>
      <c r="F14" s="502">
        <f t="shared" si="0"/>
        <v>0.93720185266062228</v>
      </c>
      <c r="G14" s="503">
        <v>533.50300000000004</v>
      </c>
      <c r="H14" s="510" t="s">
        <v>198</v>
      </c>
      <c r="I14" s="508" t="s">
        <v>4153</v>
      </c>
      <c r="J14" s="505" t="s">
        <v>96</v>
      </c>
      <c r="K14" s="505" t="s">
        <v>2102</v>
      </c>
      <c r="L14" s="505" t="s">
        <v>153</v>
      </c>
      <c r="M14" s="327"/>
      <c r="N14" s="327"/>
      <c r="O14" s="327"/>
    </row>
    <row r="15" spans="1:15" s="399" customFormat="1" ht="15">
      <c r="A15" s="507">
        <v>45964</v>
      </c>
      <c r="B15" s="514" t="s">
        <v>4143</v>
      </c>
      <c r="C15" s="514" t="s">
        <v>150</v>
      </c>
      <c r="D15" s="508" t="s">
        <v>115</v>
      </c>
      <c r="E15" s="509">
        <v>10000</v>
      </c>
      <c r="F15" s="502">
        <f t="shared" si="0"/>
        <v>18.744037053212445</v>
      </c>
      <c r="G15" s="503">
        <v>533.50300000000004</v>
      </c>
      <c r="H15" s="510" t="s">
        <v>198</v>
      </c>
      <c r="I15" s="508" t="s">
        <v>4154</v>
      </c>
      <c r="J15" s="505" t="s">
        <v>96</v>
      </c>
      <c r="K15" s="505" t="s">
        <v>2102</v>
      </c>
      <c r="L15" s="505" t="s">
        <v>153</v>
      </c>
      <c r="M15" s="327"/>
      <c r="N15" s="327"/>
      <c r="O15" s="327"/>
    </row>
    <row r="16" spans="1:15" s="399" customFormat="1" ht="15">
      <c r="A16" s="507">
        <v>45964</v>
      </c>
      <c r="B16" s="508" t="s">
        <v>2424</v>
      </c>
      <c r="C16" s="508" t="s">
        <v>172</v>
      </c>
      <c r="D16" s="508" t="s">
        <v>115</v>
      </c>
      <c r="E16" s="509">
        <v>500</v>
      </c>
      <c r="F16" s="502">
        <f t="shared" si="0"/>
        <v>0.93720185266062228</v>
      </c>
      <c r="G16" s="503">
        <v>533.50300000000004</v>
      </c>
      <c r="H16" s="510" t="s">
        <v>198</v>
      </c>
      <c r="I16" s="508" t="s">
        <v>4153</v>
      </c>
      <c r="J16" s="505" t="s">
        <v>96</v>
      </c>
      <c r="K16" s="505" t="s">
        <v>2102</v>
      </c>
      <c r="L16" s="505" t="s">
        <v>153</v>
      </c>
      <c r="M16" s="327"/>
      <c r="N16" s="327"/>
      <c r="O16" s="327"/>
    </row>
    <row r="17" spans="1:15" s="399" customFormat="1" ht="15">
      <c r="A17" s="517">
        <v>45964</v>
      </c>
      <c r="B17" s="505" t="s">
        <v>4162</v>
      </c>
      <c r="C17" s="505" t="s">
        <v>172</v>
      </c>
      <c r="D17" s="505" t="s">
        <v>116</v>
      </c>
      <c r="E17" s="518">
        <v>1000</v>
      </c>
      <c r="F17" s="502">
        <f t="shared" si="0"/>
        <v>1.8744037053212446</v>
      </c>
      <c r="G17" s="503">
        <v>533.50300000000004</v>
      </c>
      <c r="H17" s="505" t="s">
        <v>581</v>
      </c>
      <c r="I17" s="505" t="s">
        <v>4213</v>
      </c>
      <c r="J17" s="505" t="s">
        <v>96</v>
      </c>
      <c r="K17" s="505" t="s">
        <v>2102</v>
      </c>
      <c r="L17" s="505" t="s">
        <v>153</v>
      </c>
      <c r="M17" s="125"/>
      <c r="N17" s="125"/>
      <c r="O17" s="125"/>
    </row>
    <row r="18" spans="1:15" s="399" customFormat="1" ht="15">
      <c r="A18" s="517">
        <v>45964</v>
      </c>
      <c r="B18" s="505" t="s">
        <v>3405</v>
      </c>
      <c r="C18" s="505" t="s">
        <v>172</v>
      </c>
      <c r="D18" s="505" t="s">
        <v>116</v>
      </c>
      <c r="E18" s="518">
        <v>500</v>
      </c>
      <c r="F18" s="502">
        <f t="shared" si="0"/>
        <v>0.93720185266062228</v>
      </c>
      <c r="G18" s="503">
        <v>533.50300000000004</v>
      </c>
      <c r="H18" s="505" t="s">
        <v>581</v>
      </c>
      <c r="I18" s="505" t="s">
        <v>4213</v>
      </c>
      <c r="J18" s="505" t="s">
        <v>96</v>
      </c>
      <c r="K18" s="505" t="s">
        <v>2102</v>
      </c>
      <c r="L18" s="505" t="s">
        <v>153</v>
      </c>
      <c r="M18" s="327"/>
      <c r="N18" s="327"/>
      <c r="O18" s="327"/>
    </row>
    <row r="19" spans="1:15" s="399" customFormat="1" ht="15">
      <c r="A19" s="517">
        <v>45964</v>
      </c>
      <c r="B19" s="505" t="s">
        <v>4163</v>
      </c>
      <c r="C19" s="530" t="s">
        <v>150</v>
      </c>
      <c r="D19" s="505" t="s">
        <v>117</v>
      </c>
      <c r="E19" s="518">
        <v>7500</v>
      </c>
      <c r="F19" s="502">
        <f t="shared" si="0"/>
        <v>14.058027789909334</v>
      </c>
      <c r="G19" s="503">
        <v>533.50300000000004</v>
      </c>
      <c r="H19" s="505" t="s">
        <v>581</v>
      </c>
      <c r="I19" s="505" t="s">
        <v>4214</v>
      </c>
      <c r="J19" s="505" t="s">
        <v>96</v>
      </c>
      <c r="K19" s="505" t="s">
        <v>2102</v>
      </c>
      <c r="L19" s="505" t="s">
        <v>153</v>
      </c>
      <c r="M19" s="125"/>
      <c r="N19" s="125"/>
      <c r="O19" s="125"/>
    </row>
    <row r="20" spans="1:15" s="399" customFormat="1" ht="15">
      <c r="A20" s="517">
        <v>45964</v>
      </c>
      <c r="B20" s="505" t="s">
        <v>2881</v>
      </c>
      <c r="C20" s="505" t="s">
        <v>172</v>
      </c>
      <c r="D20" s="505" t="s">
        <v>116</v>
      </c>
      <c r="E20" s="518">
        <v>1000</v>
      </c>
      <c r="F20" s="502">
        <f t="shared" si="0"/>
        <v>1.8744037053212446</v>
      </c>
      <c r="G20" s="503">
        <v>533.50300000000004</v>
      </c>
      <c r="H20" s="505" t="s">
        <v>581</v>
      </c>
      <c r="I20" s="505" t="s">
        <v>4213</v>
      </c>
      <c r="J20" s="505" t="s">
        <v>96</v>
      </c>
      <c r="K20" s="505" t="s">
        <v>2102</v>
      </c>
      <c r="L20" s="505" t="s">
        <v>153</v>
      </c>
      <c r="M20" s="125"/>
      <c r="N20" s="125"/>
      <c r="O20" s="125"/>
    </row>
    <row r="21" spans="1:15" s="399" customFormat="1" ht="15">
      <c r="A21" s="523">
        <v>45964</v>
      </c>
      <c r="B21" s="510" t="s">
        <v>4231</v>
      </c>
      <c r="C21" s="510" t="s">
        <v>150</v>
      </c>
      <c r="D21" s="510" t="s">
        <v>119</v>
      </c>
      <c r="E21" s="510">
        <v>10000</v>
      </c>
      <c r="F21" s="502">
        <f t="shared" si="0"/>
        <v>18.744037053212445</v>
      </c>
      <c r="G21" s="503">
        <v>533.50300000000004</v>
      </c>
      <c r="H21" s="510" t="s">
        <v>182</v>
      </c>
      <c r="I21" s="510" t="s">
        <v>4236</v>
      </c>
      <c r="J21" s="505" t="s">
        <v>96</v>
      </c>
      <c r="K21" s="505" t="s">
        <v>2102</v>
      </c>
      <c r="L21" s="505" t="s">
        <v>153</v>
      </c>
      <c r="M21" s="327"/>
      <c r="N21" s="125"/>
      <c r="O21" s="125"/>
    </row>
    <row r="22" spans="1:15" s="399" customFormat="1" ht="15">
      <c r="A22" s="515">
        <v>45964</v>
      </c>
      <c r="B22" s="510" t="s">
        <v>4256</v>
      </c>
      <c r="C22" s="510" t="s">
        <v>150</v>
      </c>
      <c r="D22" s="510" t="s">
        <v>119</v>
      </c>
      <c r="E22" s="505">
        <v>10000</v>
      </c>
      <c r="F22" s="502">
        <f t="shared" si="0"/>
        <v>18.744037053212445</v>
      </c>
      <c r="G22" s="503">
        <v>533.50300000000004</v>
      </c>
      <c r="H22" s="505" t="s">
        <v>173</v>
      </c>
      <c r="I22" s="505" t="s">
        <v>4262</v>
      </c>
      <c r="J22" s="505" t="s">
        <v>96</v>
      </c>
      <c r="K22" s="505" t="s">
        <v>2102</v>
      </c>
      <c r="L22" s="505" t="s">
        <v>153</v>
      </c>
      <c r="M22" s="125"/>
      <c r="N22" s="125"/>
      <c r="O22" s="125"/>
    </row>
    <row r="23" spans="1:15" s="399" customFormat="1" ht="15">
      <c r="A23" s="515">
        <v>45964</v>
      </c>
      <c r="B23" s="505" t="s">
        <v>4739</v>
      </c>
      <c r="C23" s="505" t="s">
        <v>150</v>
      </c>
      <c r="D23" s="510" t="s">
        <v>119</v>
      </c>
      <c r="E23" s="505">
        <v>10000</v>
      </c>
      <c r="F23" s="502">
        <f t="shared" si="0"/>
        <v>18.744037053212445</v>
      </c>
      <c r="G23" s="503">
        <v>533.50300000000004</v>
      </c>
      <c r="H23" s="505" t="s">
        <v>315</v>
      </c>
      <c r="I23" s="505" t="s">
        <v>4287</v>
      </c>
      <c r="J23" s="505" t="s">
        <v>96</v>
      </c>
      <c r="K23" s="505" t="s">
        <v>2102</v>
      </c>
      <c r="L23" s="505" t="s">
        <v>153</v>
      </c>
      <c r="M23" s="125"/>
      <c r="N23" s="125"/>
      <c r="O23" s="125"/>
    </row>
    <row r="24" spans="1:15" s="399" customFormat="1" ht="15">
      <c r="A24" s="515">
        <v>45964</v>
      </c>
      <c r="B24" s="505" t="s">
        <v>4740</v>
      </c>
      <c r="C24" s="505" t="s">
        <v>150</v>
      </c>
      <c r="D24" s="510" t="s">
        <v>119</v>
      </c>
      <c r="E24" s="530">
        <v>10000</v>
      </c>
      <c r="F24" s="502">
        <f t="shared" si="0"/>
        <v>18.744037053212445</v>
      </c>
      <c r="G24" s="503">
        <v>533.50300000000004</v>
      </c>
      <c r="H24" s="505" t="s">
        <v>321</v>
      </c>
      <c r="I24" s="505" t="s">
        <v>4312</v>
      </c>
      <c r="J24" s="505" t="s">
        <v>96</v>
      </c>
      <c r="K24" s="505" t="s">
        <v>2102</v>
      </c>
      <c r="L24" s="505" t="s">
        <v>153</v>
      </c>
      <c r="M24" s="125"/>
      <c r="N24" s="125"/>
      <c r="O24" s="125"/>
    </row>
    <row r="25" spans="1:15" s="399" customFormat="1" ht="15">
      <c r="A25" s="515">
        <v>45964</v>
      </c>
      <c r="B25" s="505" t="s">
        <v>2998</v>
      </c>
      <c r="C25" s="505" t="s">
        <v>172</v>
      </c>
      <c r="D25" s="505" t="s">
        <v>115</v>
      </c>
      <c r="E25" s="518">
        <v>500</v>
      </c>
      <c r="F25" s="502">
        <f t="shared" si="0"/>
        <v>0.93720185266062228</v>
      </c>
      <c r="G25" s="503">
        <v>533.50300000000004</v>
      </c>
      <c r="H25" s="505" t="s">
        <v>188</v>
      </c>
      <c r="I25" s="505" t="s">
        <v>4359</v>
      </c>
      <c r="J25" s="505" t="s">
        <v>96</v>
      </c>
      <c r="K25" s="505" t="s">
        <v>2102</v>
      </c>
      <c r="L25" s="505" t="s">
        <v>153</v>
      </c>
      <c r="M25" s="327"/>
      <c r="N25" s="125"/>
      <c r="O25" s="125"/>
    </row>
    <row r="26" spans="1:15" s="399" customFormat="1" ht="15">
      <c r="A26" s="515">
        <v>45964</v>
      </c>
      <c r="B26" s="505" t="s">
        <v>3000</v>
      </c>
      <c r="C26" s="505" t="s">
        <v>172</v>
      </c>
      <c r="D26" s="505" t="s">
        <v>115</v>
      </c>
      <c r="E26" s="518">
        <v>500</v>
      </c>
      <c r="F26" s="502">
        <f t="shared" si="0"/>
        <v>0.93720185266062228</v>
      </c>
      <c r="G26" s="503">
        <v>533.50300000000004</v>
      </c>
      <c r="H26" s="505" t="s">
        <v>188</v>
      </c>
      <c r="I26" s="505" t="s">
        <v>4359</v>
      </c>
      <c r="J26" s="505" t="s">
        <v>96</v>
      </c>
      <c r="K26" s="505" t="s">
        <v>2102</v>
      </c>
      <c r="L26" s="505" t="s">
        <v>153</v>
      </c>
      <c r="M26" s="125"/>
      <c r="N26" s="125"/>
      <c r="O26" s="125"/>
    </row>
    <row r="27" spans="1:15" s="399" customFormat="1" ht="15">
      <c r="A27" s="515">
        <v>45964</v>
      </c>
      <c r="B27" s="505" t="s">
        <v>4333</v>
      </c>
      <c r="C27" s="505" t="s">
        <v>172</v>
      </c>
      <c r="D27" s="505" t="s">
        <v>115</v>
      </c>
      <c r="E27" s="518">
        <v>12000</v>
      </c>
      <c r="F27" s="502">
        <f t="shared" si="0"/>
        <v>22.492844463854933</v>
      </c>
      <c r="G27" s="503">
        <v>533.50300000000004</v>
      </c>
      <c r="H27" s="505" t="s">
        <v>188</v>
      </c>
      <c r="I27" s="505" t="s">
        <v>4360</v>
      </c>
      <c r="J27" s="505" t="s">
        <v>96</v>
      </c>
      <c r="K27" s="505" t="s">
        <v>2102</v>
      </c>
      <c r="L27" s="505" t="s">
        <v>153</v>
      </c>
      <c r="M27" s="327"/>
      <c r="N27" s="125"/>
      <c r="O27" s="125"/>
    </row>
    <row r="28" spans="1:15" s="399" customFormat="1" ht="15">
      <c r="A28" s="515">
        <v>45964</v>
      </c>
      <c r="B28" s="505" t="s">
        <v>4334</v>
      </c>
      <c r="C28" s="505" t="s">
        <v>175</v>
      </c>
      <c r="D28" s="505" t="s">
        <v>115</v>
      </c>
      <c r="E28" s="518">
        <v>100000</v>
      </c>
      <c r="F28" s="502">
        <f t="shared" si="0"/>
        <v>187.44037053212446</v>
      </c>
      <c r="G28" s="503">
        <v>533.50300000000004</v>
      </c>
      <c r="H28" s="505" t="s">
        <v>188</v>
      </c>
      <c r="I28" s="505" t="s">
        <v>4361</v>
      </c>
      <c r="J28" s="505" t="s">
        <v>96</v>
      </c>
      <c r="K28" s="505" t="s">
        <v>2102</v>
      </c>
      <c r="L28" s="505" t="s">
        <v>153</v>
      </c>
      <c r="M28" s="327"/>
      <c r="N28" s="125"/>
      <c r="O28" s="125"/>
    </row>
    <row r="29" spans="1:15" s="399" customFormat="1" ht="15">
      <c r="A29" s="515">
        <v>45964</v>
      </c>
      <c r="B29" s="505" t="s">
        <v>4335</v>
      </c>
      <c r="C29" s="505" t="s">
        <v>180</v>
      </c>
      <c r="D29" s="505" t="s">
        <v>116</v>
      </c>
      <c r="E29" s="518">
        <v>10080</v>
      </c>
      <c r="F29" s="502">
        <f t="shared" si="0"/>
        <v>18.893989349638144</v>
      </c>
      <c r="G29" s="503">
        <v>533.50300000000004</v>
      </c>
      <c r="H29" s="505" t="s">
        <v>188</v>
      </c>
      <c r="I29" s="505" t="s">
        <v>4362</v>
      </c>
      <c r="J29" s="505" t="s">
        <v>96</v>
      </c>
      <c r="K29" s="505" t="s">
        <v>2102</v>
      </c>
      <c r="L29" s="505" t="s">
        <v>153</v>
      </c>
      <c r="M29" s="327"/>
      <c r="N29" s="125"/>
      <c r="O29" s="125"/>
    </row>
    <row r="30" spans="1:15" s="399" customFormat="1" ht="15">
      <c r="A30" s="515">
        <v>45964</v>
      </c>
      <c r="B30" s="505" t="s">
        <v>4336</v>
      </c>
      <c r="C30" s="505" t="s">
        <v>150</v>
      </c>
      <c r="D30" s="505" t="s">
        <v>115</v>
      </c>
      <c r="E30" s="518">
        <v>7500</v>
      </c>
      <c r="F30" s="502">
        <f t="shared" si="0"/>
        <v>14.058027789909334</v>
      </c>
      <c r="G30" s="503">
        <v>533.50300000000004</v>
      </c>
      <c r="H30" s="505" t="s">
        <v>188</v>
      </c>
      <c r="I30" s="505" t="s">
        <v>4363</v>
      </c>
      <c r="J30" s="505" t="s">
        <v>96</v>
      </c>
      <c r="K30" s="505" t="s">
        <v>2102</v>
      </c>
      <c r="L30" s="505" t="s">
        <v>153</v>
      </c>
      <c r="M30" s="327"/>
      <c r="N30" s="327"/>
      <c r="O30" s="327"/>
    </row>
    <row r="31" spans="1:15" s="399" customFormat="1" ht="15">
      <c r="A31" s="515">
        <v>45964</v>
      </c>
      <c r="B31" s="505" t="s">
        <v>4379</v>
      </c>
      <c r="C31" s="505" t="s">
        <v>172</v>
      </c>
      <c r="D31" s="505" t="s">
        <v>115</v>
      </c>
      <c r="E31" s="530">
        <v>500</v>
      </c>
      <c r="F31" s="502">
        <f t="shared" si="0"/>
        <v>0.93720185266062228</v>
      </c>
      <c r="G31" s="503">
        <v>533.50300000000004</v>
      </c>
      <c r="H31" s="505" t="s">
        <v>191</v>
      </c>
      <c r="I31" s="505" t="s">
        <v>4405</v>
      </c>
      <c r="J31" s="505" t="s">
        <v>96</v>
      </c>
      <c r="K31" s="505" t="s">
        <v>2102</v>
      </c>
      <c r="L31" s="505" t="s">
        <v>153</v>
      </c>
      <c r="M31" s="327"/>
      <c r="N31" s="327"/>
      <c r="O31" s="327"/>
    </row>
    <row r="32" spans="1:15" s="399" customFormat="1" ht="15">
      <c r="A32" s="515">
        <v>45964</v>
      </c>
      <c r="B32" s="505" t="s">
        <v>4378</v>
      </c>
      <c r="C32" s="505" t="s">
        <v>172</v>
      </c>
      <c r="D32" s="505" t="s">
        <v>115</v>
      </c>
      <c r="E32" s="530">
        <v>500</v>
      </c>
      <c r="F32" s="502">
        <f t="shared" si="0"/>
        <v>0.93720185266062228</v>
      </c>
      <c r="G32" s="503">
        <v>533.50300000000004</v>
      </c>
      <c r="H32" s="505" t="s">
        <v>191</v>
      </c>
      <c r="I32" s="505" t="s">
        <v>4405</v>
      </c>
      <c r="J32" s="505" t="s">
        <v>96</v>
      </c>
      <c r="K32" s="505" t="s">
        <v>2102</v>
      </c>
      <c r="L32" s="505" t="s">
        <v>153</v>
      </c>
      <c r="M32" s="327"/>
      <c r="N32" s="327"/>
      <c r="O32" s="327"/>
    </row>
    <row r="33" spans="1:15" s="399" customFormat="1" ht="15">
      <c r="A33" s="515">
        <v>45964</v>
      </c>
      <c r="B33" s="505" t="s">
        <v>4380</v>
      </c>
      <c r="C33" s="505" t="s">
        <v>172</v>
      </c>
      <c r="D33" s="505" t="s">
        <v>115</v>
      </c>
      <c r="E33" s="530">
        <v>500</v>
      </c>
      <c r="F33" s="502">
        <f t="shared" si="0"/>
        <v>0.93720185266062228</v>
      </c>
      <c r="G33" s="503">
        <v>533.50300000000004</v>
      </c>
      <c r="H33" s="505" t="s">
        <v>191</v>
      </c>
      <c r="I33" s="505" t="s">
        <v>4405</v>
      </c>
      <c r="J33" s="505" t="s">
        <v>96</v>
      </c>
      <c r="K33" s="505" t="s">
        <v>2102</v>
      </c>
      <c r="L33" s="505" t="s">
        <v>153</v>
      </c>
      <c r="M33" s="327"/>
      <c r="N33" s="125"/>
      <c r="O33" s="125"/>
    </row>
    <row r="34" spans="1:15" s="399" customFormat="1" ht="15">
      <c r="A34" s="515">
        <v>45964</v>
      </c>
      <c r="B34" s="505" t="s">
        <v>4381</v>
      </c>
      <c r="C34" s="505" t="s">
        <v>172</v>
      </c>
      <c r="D34" s="505" t="s">
        <v>115</v>
      </c>
      <c r="E34" s="530">
        <v>500</v>
      </c>
      <c r="F34" s="502">
        <f t="shared" si="0"/>
        <v>0.93720185266062228</v>
      </c>
      <c r="G34" s="503">
        <v>533.50300000000004</v>
      </c>
      <c r="H34" s="505" t="s">
        <v>191</v>
      </c>
      <c r="I34" s="505" t="s">
        <v>4405</v>
      </c>
      <c r="J34" s="505" t="s">
        <v>96</v>
      </c>
      <c r="K34" s="505" t="s">
        <v>2102</v>
      </c>
      <c r="L34" s="505" t="s">
        <v>153</v>
      </c>
      <c r="M34" s="327"/>
      <c r="N34" s="125"/>
      <c r="O34" s="125"/>
    </row>
    <row r="35" spans="1:15" s="399" customFormat="1" ht="15">
      <c r="A35" s="515">
        <v>45964</v>
      </c>
      <c r="B35" s="505" t="s">
        <v>4383</v>
      </c>
      <c r="C35" s="505" t="s">
        <v>150</v>
      </c>
      <c r="D35" s="505" t="s">
        <v>115</v>
      </c>
      <c r="E35" s="530">
        <v>7500</v>
      </c>
      <c r="F35" s="502">
        <f t="shared" si="0"/>
        <v>14.058027789909334</v>
      </c>
      <c r="G35" s="503">
        <v>533.50300000000004</v>
      </c>
      <c r="H35" s="505" t="s">
        <v>191</v>
      </c>
      <c r="I35" s="505" t="s">
        <v>4406</v>
      </c>
      <c r="J35" s="505" t="s">
        <v>96</v>
      </c>
      <c r="K35" s="505" t="s">
        <v>2102</v>
      </c>
      <c r="L35" s="505" t="s">
        <v>153</v>
      </c>
      <c r="M35" s="327"/>
      <c r="N35" s="125"/>
      <c r="O35" s="125"/>
    </row>
    <row r="36" spans="1:15" s="399" customFormat="1" ht="15">
      <c r="A36" s="515">
        <v>45964</v>
      </c>
      <c r="B36" s="505" t="s">
        <v>4384</v>
      </c>
      <c r="C36" s="505" t="s">
        <v>175</v>
      </c>
      <c r="D36" s="505" t="s">
        <v>115</v>
      </c>
      <c r="E36" s="530">
        <v>40000</v>
      </c>
      <c r="F36" s="502">
        <f t="shared" si="0"/>
        <v>74.976148212849779</v>
      </c>
      <c r="G36" s="503">
        <v>533.50300000000004</v>
      </c>
      <c r="H36" s="505" t="s">
        <v>191</v>
      </c>
      <c r="I36" s="505" t="s">
        <v>4408</v>
      </c>
      <c r="J36" s="505" t="s">
        <v>96</v>
      </c>
      <c r="K36" s="505" t="s">
        <v>2102</v>
      </c>
      <c r="L36" s="505" t="s">
        <v>153</v>
      </c>
      <c r="M36" s="327"/>
      <c r="N36" s="327"/>
      <c r="O36" s="327"/>
    </row>
    <row r="37" spans="1:15" s="399" customFormat="1" ht="15">
      <c r="A37" s="529">
        <v>45964</v>
      </c>
      <c r="B37" s="505" t="s">
        <v>4416</v>
      </c>
      <c r="C37" s="298" t="s">
        <v>150</v>
      </c>
      <c r="D37" s="298" t="s">
        <v>115</v>
      </c>
      <c r="E37" s="530">
        <v>10000</v>
      </c>
      <c r="F37" s="502">
        <f t="shared" ref="F37:F100" si="1">E37/G37</f>
        <v>18.744037053212445</v>
      </c>
      <c r="G37" s="503">
        <v>533.50300000000004</v>
      </c>
      <c r="H37" s="298" t="s">
        <v>435</v>
      </c>
      <c r="I37" s="505" t="s">
        <v>4444</v>
      </c>
      <c r="J37" s="505" t="s">
        <v>96</v>
      </c>
      <c r="K37" s="505" t="s">
        <v>2102</v>
      </c>
      <c r="L37" s="505" t="s">
        <v>153</v>
      </c>
      <c r="M37" s="327"/>
      <c r="N37" s="327"/>
      <c r="O37" s="327"/>
    </row>
    <row r="38" spans="1:15" s="399" customFormat="1" ht="15">
      <c r="A38" s="531">
        <v>45964</v>
      </c>
      <c r="B38" s="514" t="s">
        <v>3825</v>
      </c>
      <c r="C38" s="514" t="s">
        <v>172</v>
      </c>
      <c r="D38" s="514" t="s">
        <v>118</v>
      </c>
      <c r="E38" s="518">
        <v>1000</v>
      </c>
      <c r="F38" s="502">
        <f t="shared" si="1"/>
        <v>1.8744037053212446</v>
      </c>
      <c r="G38" s="503">
        <v>533.50300000000004</v>
      </c>
      <c r="H38" s="514" t="s">
        <v>211</v>
      </c>
      <c r="I38" s="514" t="s">
        <v>4559</v>
      </c>
      <c r="J38" s="505" t="s">
        <v>96</v>
      </c>
      <c r="K38" s="505" t="s">
        <v>2102</v>
      </c>
      <c r="L38" s="505" t="s">
        <v>153</v>
      </c>
      <c r="M38" s="327"/>
      <c r="N38" s="327"/>
      <c r="O38" s="327"/>
    </row>
    <row r="39" spans="1:15" s="399" customFormat="1" ht="15">
      <c r="A39" s="531">
        <v>45964</v>
      </c>
      <c r="B39" s="514" t="s">
        <v>3817</v>
      </c>
      <c r="C39" s="514" t="s">
        <v>172</v>
      </c>
      <c r="D39" s="514" t="s">
        <v>118</v>
      </c>
      <c r="E39" s="518">
        <v>1000</v>
      </c>
      <c r="F39" s="502">
        <f t="shared" si="1"/>
        <v>1.8744037053212446</v>
      </c>
      <c r="G39" s="503">
        <v>533.50300000000004</v>
      </c>
      <c r="H39" s="514" t="s">
        <v>211</v>
      </c>
      <c r="I39" s="514" t="s">
        <v>4559</v>
      </c>
      <c r="J39" s="505" t="s">
        <v>96</v>
      </c>
      <c r="K39" s="505" t="s">
        <v>2102</v>
      </c>
      <c r="L39" s="505" t="s">
        <v>153</v>
      </c>
      <c r="M39" s="327"/>
      <c r="N39" s="327"/>
      <c r="O39" s="327"/>
    </row>
    <row r="40" spans="1:15" s="399" customFormat="1" ht="15">
      <c r="A40" s="531">
        <v>45964</v>
      </c>
      <c r="B40" s="514" t="s">
        <v>4460</v>
      </c>
      <c r="C40" s="514" t="s">
        <v>150</v>
      </c>
      <c r="D40" s="514" t="s">
        <v>118</v>
      </c>
      <c r="E40" s="518">
        <v>10000</v>
      </c>
      <c r="F40" s="502">
        <f t="shared" si="1"/>
        <v>18.744037053212445</v>
      </c>
      <c r="G40" s="503">
        <v>533.50300000000004</v>
      </c>
      <c r="H40" s="514" t="s">
        <v>211</v>
      </c>
      <c r="I40" s="514" t="s">
        <v>4560</v>
      </c>
      <c r="J40" s="505" t="s">
        <v>96</v>
      </c>
      <c r="K40" s="505" t="s">
        <v>2102</v>
      </c>
      <c r="L40" s="505" t="s">
        <v>153</v>
      </c>
      <c r="M40" s="327"/>
      <c r="N40" s="125"/>
      <c r="O40" s="125"/>
    </row>
    <row r="41" spans="1:15" s="399" customFormat="1" ht="15">
      <c r="A41" s="531">
        <v>45964</v>
      </c>
      <c r="B41" s="514" t="s">
        <v>3818</v>
      </c>
      <c r="C41" s="514" t="s">
        <v>172</v>
      </c>
      <c r="D41" s="514" t="s">
        <v>118</v>
      </c>
      <c r="E41" s="518">
        <v>1000</v>
      </c>
      <c r="F41" s="502">
        <f t="shared" si="1"/>
        <v>1.8744037053212446</v>
      </c>
      <c r="G41" s="503">
        <v>533.50300000000004</v>
      </c>
      <c r="H41" s="514" t="s">
        <v>211</v>
      </c>
      <c r="I41" s="514" t="s">
        <v>4559</v>
      </c>
      <c r="J41" s="505" t="s">
        <v>96</v>
      </c>
      <c r="K41" s="505" t="s">
        <v>2102</v>
      </c>
      <c r="L41" s="505" t="s">
        <v>153</v>
      </c>
      <c r="M41" s="327"/>
      <c r="N41" s="125"/>
      <c r="O41" s="125"/>
    </row>
    <row r="42" spans="1:15" s="399" customFormat="1" ht="15">
      <c r="A42" s="531">
        <v>45964</v>
      </c>
      <c r="B42" s="514" t="s">
        <v>4461</v>
      </c>
      <c r="C42" s="514" t="s">
        <v>172</v>
      </c>
      <c r="D42" s="514" t="s">
        <v>118</v>
      </c>
      <c r="E42" s="518">
        <v>1000</v>
      </c>
      <c r="F42" s="502">
        <f t="shared" si="1"/>
        <v>1.8744037053212446</v>
      </c>
      <c r="G42" s="503">
        <v>533.50300000000004</v>
      </c>
      <c r="H42" s="514" t="s">
        <v>211</v>
      </c>
      <c r="I42" s="514" t="s">
        <v>4559</v>
      </c>
      <c r="J42" s="505" t="s">
        <v>96</v>
      </c>
      <c r="K42" s="505" t="s">
        <v>2102</v>
      </c>
      <c r="L42" s="505" t="s">
        <v>153</v>
      </c>
      <c r="M42" s="327"/>
      <c r="N42" s="125"/>
      <c r="O42" s="125"/>
    </row>
    <row r="43" spans="1:15" s="399" customFormat="1" ht="15">
      <c r="A43" s="515">
        <v>45964</v>
      </c>
      <c r="B43" s="505" t="s">
        <v>4576</v>
      </c>
      <c r="C43" s="505" t="s">
        <v>175</v>
      </c>
      <c r="D43" s="505" t="s">
        <v>115</v>
      </c>
      <c r="E43" s="505">
        <v>90000</v>
      </c>
      <c r="F43" s="502">
        <f t="shared" si="1"/>
        <v>168.69633347891201</v>
      </c>
      <c r="G43" s="503">
        <v>533.50300000000004</v>
      </c>
      <c r="H43" s="505" t="s">
        <v>185</v>
      </c>
      <c r="I43" s="505" t="s">
        <v>4630</v>
      </c>
      <c r="J43" s="505" t="s">
        <v>96</v>
      </c>
      <c r="K43" s="505" t="s">
        <v>2102</v>
      </c>
      <c r="L43" s="505" t="s">
        <v>153</v>
      </c>
      <c r="M43" s="327"/>
      <c r="N43" s="327"/>
      <c r="O43" s="327"/>
    </row>
    <row r="44" spans="1:15" s="399" customFormat="1" ht="15">
      <c r="A44" s="515">
        <v>45964</v>
      </c>
      <c r="B44" s="505" t="s">
        <v>4577</v>
      </c>
      <c r="C44" s="505" t="s">
        <v>172</v>
      </c>
      <c r="D44" s="505" t="s">
        <v>115</v>
      </c>
      <c r="E44" s="505">
        <v>500</v>
      </c>
      <c r="F44" s="502">
        <f t="shared" si="1"/>
        <v>0.93720185266062228</v>
      </c>
      <c r="G44" s="503">
        <v>533.50300000000004</v>
      </c>
      <c r="H44" s="505" t="s">
        <v>185</v>
      </c>
      <c r="I44" s="505" t="s">
        <v>4631</v>
      </c>
      <c r="J44" s="505" t="s">
        <v>96</v>
      </c>
      <c r="K44" s="505" t="s">
        <v>2102</v>
      </c>
      <c r="L44" s="505" t="s">
        <v>153</v>
      </c>
      <c r="M44" s="327"/>
      <c r="N44" s="327"/>
      <c r="O44" s="327"/>
    </row>
    <row r="45" spans="1:15" s="399" customFormat="1" ht="15">
      <c r="A45" s="515">
        <v>45964</v>
      </c>
      <c r="B45" s="505" t="s">
        <v>3984</v>
      </c>
      <c r="C45" s="505" t="s">
        <v>172</v>
      </c>
      <c r="D45" s="505" t="s">
        <v>115</v>
      </c>
      <c r="E45" s="505">
        <v>500</v>
      </c>
      <c r="F45" s="502">
        <f t="shared" si="1"/>
        <v>0.93720185266062228</v>
      </c>
      <c r="G45" s="503">
        <v>533.50300000000004</v>
      </c>
      <c r="H45" s="505" t="s">
        <v>185</v>
      </c>
      <c r="I45" s="505" t="s">
        <v>4631</v>
      </c>
      <c r="J45" s="505" t="s">
        <v>96</v>
      </c>
      <c r="K45" s="505" t="s">
        <v>2102</v>
      </c>
      <c r="L45" s="505" t="s">
        <v>153</v>
      </c>
      <c r="M45" s="327"/>
      <c r="N45" s="327"/>
      <c r="O45" s="327"/>
    </row>
    <row r="46" spans="1:15" s="399" customFormat="1" ht="15">
      <c r="A46" s="515">
        <v>45964</v>
      </c>
      <c r="B46" s="505" t="s">
        <v>4578</v>
      </c>
      <c r="C46" s="505" t="s">
        <v>150</v>
      </c>
      <c r="D46" s="505" t="s">
        <v>115</v>
      </c>
      <c r="E46" s="505">
        <v>7500</v>
      </c>
      <c r="F46" s="502">
        <f t="shared" si="1"/>
        <v>14.058027789909334</v>
      </c>
      <c r="G46" s="503">
        <v>533.50300000000004</v>
      </c>
      <c r="H46" s="505" t="s">
        <v>185</v>
      </c>
      <c r="I46" s="505" t="s">
        <v>4632</v>
      </c>
      <c r="J46" s="505" t="s">
        <v>96</v>
      </c>
      <c r="K46" s="505" t="s">
        <v>2102</v>
      </c>
      <c r="L46" s="505" t="s">
        <v>153</v>
      </c>
      <c r="M46" s="327"/>
      <c r="N46" s="327"/>
      <c r="O46" s="327"/>
    </row>
    <row r="47" spans="1:15" s="399" customFormat="1" ht="15">
      <c r="A47" s="629">
        <v>45965</v>
      </c>
      <c r="B47" s="298" t="s">
        <v>2103</v>
      </c>
      <c r="C47" s="298" t="s">
        <v>172</v>
      </c>
      <c r="D47" s="506" t="s">
        <v>117</v>
      </c>
      <c r="E47" s="630">
        <v>1000</v>
      </c>
      <c r="F47" s="502">
        <f t="shared" si="1"/>
        <v>1.8744037053212446</v>
      </c>
      <c r="G47" s="503">
        <v>533.50300000000004</v>
      </c>
      <c r="H47" s="631" t="s">
        <v>151</v>
      </c>
      <c r="I47" s="298" t="s">
        <v>4133</v>
      </c>
      <c r="J47" s="505" t="s">
        <v>96</v>
      </c>
      <c r="K47" s="505" t="s">
        <v>2102</v>
      </c>
      <c r="L47" s="505" t="s">
        <v>153</v>
      </c>
      <c r="M47" s="327"/>
      <c r="N47" s="327"/>
      <c r="O47" s="327"/>
    </row>
    <row r="48" spans="1:15" s="399" customFormat="1" ht="15">
      <c r="A48" s="629">
        <v>45965</v>
      </c>
      <c r="B48" s="298" t="s">
        <v>2104</v>
      </c>
      <c r="C48" s="298" t="s">
        <v>172</v>
      </c>
      <c r="D48" s="506" t="s">
        <v>117</v>
      </c>
      <c r="E48" s="630">
        <v>1000</v>
      </c>
      <c r="F48" s="502">
        <f t="shared" si="1"/>
        <v>1.8744037053212446</v>
      </c>
      <c r="G48" s="503">
        <v>533.50300000000004</v>
      </c>
      <c r="H48" s="631" t="s">
        <v>151</v>
      </c>
      <c r="I48" s="298" t="s">
        <v>4133</v>
      </c>
      <c r="J48" s="505" t="s">
        <v>96</v>
      </c>
      <c r="K48" s="505" t="s">
        <v>2102</v>
      </c>
      <c r="L48" s="505" t="s">
        <v>153</v>
      </c>
      <c r="M48" s="327"/>
      <c r="N48" s="327"/>
      <c r="O48" s="327"/>
    </row>
    <row r="49" spans="1:15" s="399" customFormat="1" ht="15">
      <c r="A49" s="629">
        <v>45965</v>
      </c>
      <c r="B49" s="298" t="s">
        <v>2103</v>
      </c>
      <c r="C49" s="298" t="s">
        <v>172</v>
      </c>
      <c r="D49" s="506" t="s">
        <v>117</v>
      </c>
      <c r="E49" s="630">
        <v>1000</v>
      </c>
      <c r="F49" s="502">
        <f t="shared" si="1"/>
        <v>1.8744037053212446</v>
      </c>
      <c r="G49" s="503">
        <v>533.50300000000004</v>
      </c>
      <c r="H49" s="631" t="s">
        <v>151</v>
      </c>
      <c r="I49" s="298" t="s">
        <v>4133</v>
      </c>
      <c r="J49" s="505" t="s">
        <v>96</v>
      </c>
      <c r="K49" s="505" t="s">
        <v>2102</v>
      </c>
      <c r="L49" s="505" t="s">
        <v>153</v>
      </c>
      <c r="M49" s="327"/>
      <c r="N49" s="327"/>
      <c r="O49" s="327"/>
    </row>
    <row r="50" spans="1:15" s="399" customFormat="1" ht="15">
      <c r="A50" s="629">
        <v>45965</v>
      </c>
      <c r="B50" s="298" t="s">
        <v>2104</v>
      </c>
      <c r="C50" s="298" t="s">
        <v>172</v>
      </c>
      <c r="D50" s="506" t="s">
        <v>117</v>
      </c>
      <c r="E50" s="630">
        <v>1000</v>
      </c>
      <c r="F50" s="502">
        <f t="shared" si="1"/>
        <v>1.8744037053212446</v>
      </c>
      <c r="G50" s="503">
        <v>533.50300000000004</v>
      </c>
      <c r="H50" s="631" t="s">
        <v>151</v>
      </c>
      <c r="I50" s="298" t="s">
        <v>4133</v>
      </c>
      <c r="J50" s="505" t="s">
        <v>96</v>
      </c>
      <c r="K50" s="505" t="s">
        <v>2102</v>
      </c>
      <c r="L50" s="505" t="s">
        <v>153</v>
      </c>
      <c r="M50" s="327"/>
      <c r="N50" s="327"/>
      <c r="O50" s="327"/>
    </row>
    <row r="51" spans="1:15" s="399" customFormat="1" ht="15">
      <c r="A51" s="507">
        <v>45965</v>
      </c>
      <c r="B51" s="508" t="s">
        <v>2423</v>
      </c>
      <c r="C51" s="508" t="s">
        <v>172</v>
      </c>
      <c r="D51" s="508" t="s">
        <v>115</v>
      </c>
      <c r="E51" s="509">
        <v>500</v>
      </c>
      <c r="F51" s="502">
        <f t="shared" si="1"/>
        <v>0.93720185266062228</v>
      </c>
      <c r="G51" s="503">
        <v>533.50300000000004</v>
      </c>
      <c r="H51" s="510" t="s">
        <v>198</v>
      </c>
      <c r="I51" s="508" t="s">
        <v>4153</v>
      </c>
      <c r="J51" s="505" t="s">
        <v>96</v>
      </c>
      <c r="K51" s="505" t="s">
        <v>2102</v>
      </c>
      <c r="L51" s="505" t="s">
        <v>153</v>
      </c>
      <c r="M51" s="327"/>
      <c r="N51" s="327"/>
      <c r="O51" s="327"/>
    </row>
    <row r="52" spans="1:15" s="399" customFormat="1" ht="15">
      <c r="A52" s="507">
        <v>45965</v>
      </c>
      <c r="B52" s="508" t="s">
        <v>2424</v>
      </c>
      <c r="C52" s="508" t="s">
        <v>172</v>
      </c>
      <c r="D52" s="508" t="s">
        <v>115</v>
      </c>
      <c r="E52" s="509">
        <v>500</v>
      </c>
      <c r="F52" s="502">
        <f t="shared" si="1"/>
        <v>0.93720185266062228</v>
      </c>
      <c r="G52" s="503">
        <v>533.50300000000004</v>
      </c>
      <c r="H52" s="510" t="s">
        <v>198</v>
      </c>
      <c r="I52" s="508" t="s">
        <v>4153</v>
      </c>
      <c r="J52" s="505" t="s">
        <v>96</v>
      </c>
      <c r="K52" s="505" t="s">
        <v>2102</v>
      </c>
      <c r="L52" s="505" t="s">
        <v>153</v>
      </c>
      <c r="M52" s="327"/>
      <c r="N52" s="125"/>
      <c r="O52" s="125"/>
    </row>
    <row r="53" spans="1:15" s="399" customFormat="1" ht="15">
      <c r="A53" s="515">
        <v>45965</v>
      </c>
      <c r="B53" s="505" t="s">
        <v>816</v>
      </c>
      <c r="C53" s="505" t="s">
        <v>170</v>
      </c>
      <c r="D53" s="505" t="s">
        <v>116</v>
      </c>
      <c r="E53" s="518">
        <v>27000</v>
      </c>
      <c r="F53" s="502">
        <f t="shared" si="1"/>
        <v>50.6089000436736</v>
      </c>
      <c r="G53" s="503">
        <v>533.50300000000004</v>
      </c>
      <c r="H53" s="505" t="s">
        <v>581</v>
      </c>
      <c r="I53" s="505" t="s">
        <v>4215</v>
      </c>
      <c r="J53" s="505" t="s">
        <v>96</v>
      </c>
      <c r="K53" s="505" t="s">
        <v>2102</v>
      </c>
      <c r="L53" s="505" t="s">
        <v>153</v>
      </c>
      <c r="M53" s="125"/>
      <c r="N53" s="125"/>
      <c r="O53" s="125"/>
    </row>
    <row r="54" spans="1:15" s="399" customFormat="1" ht="15">
      <c r="A54" s="517">
        <v>45965</v>
      </c>
      <c r="B54" s="505" t="s">
        <v>4164</v>
      </c>
      <c r="C54" s="505" t="s">
        <v>172</v>
      </c>
      <c r="D54" s="505" t="s">
        <v>116</v>
      </c>
      <c r="E54" s="518">
        <v>1000</v>
      </c>
      <c r="F54" s="502">
        <f t="shared" si="1"/>
        <v>1.8744037053212446</v>
      </c>
      <c r="G54" s="503">
        <v>533.50300000000004</v>
      </c>
      <c r="H54" s="505" t="s">
        <v>581</v>
      </c>
      <c r="I54" s="505" t="s">
        <v>4213</v>
      </c>
      <c r="J54" s="505" t="s">
        <v>96</v>
      </c>
      <c r="K54" s="505" t="s">
        <v>2102</v>
      </c>
      <c r="L54" s="505" t="s">
        <v>153</v>
      </c>
      <c r="M54" s="125"/>
      <c r="N54" s="125"/>
      <c r="O54" s="125"/>
    </row>
    <row r="55" spans="1:15" s="399" customFormat="1" ht="15">
      <c r="A55" s="515">
        <v>45965</v>
      </c>
      <c r="B55" s="505" t="s">
        <v>4337</v>
      </c>
      <c r="C55" s="505" t="s">
        <v>172</v>
      </c>
      <c r="D55" s="505" t="s">
        <v>115</v>
      </c>
      <c r="E55" s="518">
        <v>2000</v>
      </c>
      <c r="F55" s="502">
        <f t="shared" si="1"/>
        <v>3.7488074106424891</v>
      </c>
      <c r="G55" s="503">
        <v>533.50300000000004</v>
      </c>
      <c r="H55" s="505" t="s">
        <v>188</v>
      </c>
      <c r="I55" s="505" t="s">
        <v>4359</v>
      </c>
      <c r="J55" s="505" t="s">
        <v>96</v>
      </c>
      <c r="K55" s="505" t="s">
        <v>2102</v>
      </c>
      <c r="L55" s="505" t="s">
        <v>153</v>
      </c>
      <c r="M55" s="327"/>
      <c r="N55" s="327"/>
      <c r="O55" s="327"/>
    </row>
    <row r="56" spans="1:15" s="399" customFormat="1" ht="15">
      <c r="A56" s="515">
        <v>45965</v>
      </c>
      <c r="B56" s="505" t="s">
        <v>4338</v>
      </c>
      <c r="C56" s="505" t="s">
        <v>172</v>
      </c>
      <c r="D56" s="505" t="s">
        <v>115</v>
      </c>
      <c r="E56" s="518">
        <v>2000</v>
      </c>
      <c r="F56" s="502">
        <f t="shared" si="1"/>
        <v>3.7488074106424891</v>
      </c>
      <c r="G56" s="503">
        <v>533.50300000000004</v>
      </c>
      <c r="H56" s="505" t="s">
        <v>188</v>
      </c>
      <c r="I56" s="505" t="s">
        <v>4359</v>
      </c>
      <c r="J56" s="505" t="s">
        <v>96</v>
      </c>
      <c r="K56" s="505" t="s">
        <v>2102</v>
      </c>
      <c r="L56" s="505" t="s">
        <v>153</v>
      </c>
      <c r="M56" s="327"/>
      <c r="N56" s="327"/>
      <c r="O56" s="327"/>
    </row>
    <row r="57" spans="1:15" s="399" customFormat="1" ht="15">
      <c r="A57" s="515">
        <v>45965</v>
      </c>
      <c r="B57" s="505" t="s">
        <v>3007</v>
      </c>
      <c r="C57" s="505" t="s">
        <v>170</v>
      </c>
      <c r="D57" s="505" t="s">
        <v>116</v>
      </c>
      <c r="E57" s="518">
        <v>62500</v>
      </c>
      <c r="F57" s="502">
        <f t="shared" si="1"/>
        <v>117.15023158257779</v>
      </c>
      <c r="G57" s="503">
        <v>533.50300000000004</v>
      </c>
      <c r="H57" s="505" t="s">
        <v>188</v>
      </c>
      <c r="I57" s="505" t="s">
        <v>4364</v>
      </c>
      <c r="J57" s="505" t="s">
        <v>96</v>
      </c>
      <c r="K57" s="505" t="s">
        <v>2102</v>
      </c>
      <c r="L57" s="505" t="s">
        <v>153</v>
      </c>
      <c r="M57" s="327"/>
      <c r="N57" s="327"/>
      <c r="O57" s="327"/>
    </row>
    <row r="58" spans="1:15" s="399" customFormat="1" ht="15">
      <c r="A58" s="515">
        <v>45965</v>
      </c>
      <c r="B58" s="505" t="s">
        <v>3649</v>
      </c>
      <c r="C58" s="505" t="s">
        <v>172</v>
      </c>
      <c r="D58" s="505" t="s">
        <v>115</v>
      </c>
      <c r="E58" s="530">
        <v>500</v>
      </c>
      <c r="F58" s="502">
        <f t="shared" si="1"/>
        <v>0.93720185266062228</v>
      </c>
      <c r="G58" s="503">
        <v>533.50300000000004</v>
      </c>
      <c r="H58" s="505" t="s">
        <v>191</v>
      </c>
      <c r="I58" s="505" t="s">
        <v>4405</v>
      </c>
      <c r="J58" s="505" t="s">
        <v>96</v>
      </c>
      <c r="K58" s="505" t="s">
        <v>2102</v>
      </c>
      <c r="L58" s="505" t="s">
        <v>153</v>
      </c>
      <c r="M58" s="327"/>
      <c r="N58" s="327"/>
      <c r="O58" s="327"/>
    </row>
    <row r="59" spans="1:15" s="399" customFormat="1" ht="15">
      <c r="A59" s="515">
        <v>45965</v>
      </c>
      <c r="B59" s="505" t="s">
        <v>4385</v>
      </c>
      <c r="C59" s="505" t="s">
        <v>3317</v>
      </c>
      <c r="D59" s="505" t="s">
        <v>115</v>
      </c>
      <c r="E59" s="530">
        <v>1500</v>
      </c>
      <c r="F59" s="502">
        <f t="shared" si="1"/>
        <v>2.8116055579818666</v>
      </c>
      <c r="G59" s="503">
        <v>533.50300000000004</v>
      </c>
      <c r="H59" s="505" t="s">
        <v>191</v>
      </c>
      <c r="I59" s="505" t="s">
        <v>4409</v>
      </c>
      <c r="J59" s="505" t="s">
        <v>96</v>
      </c>
      <c r="K59" s="505" t="s">
        <v>2102</v>
      </c>
      <c r="L59" s="505" t="s">
        <v>153</v>
      </c>
      <c r="M59" s="327"/>
      <c r="N59" s="327"/>
      <c r="O59" s="327"/>
    </row>
    <row r="60" spans="1:15" s="399" customFormat="1" ht="15">
      <c r="A60" s="515">
        <v>45965</v>
      </c>
      <c r="B60" s="505" t="s">
        <v>4386</v>
      </c>
      <c r="C60" s="505" t="s">
        <v>172</v>
      </c>
      <c r="D60" s="505" t="s">
        <v>115</v>
      </c>
      <c r="E60" s="530">
        <v>500</v>
      </c>
      <c r="F60" s="502">
        <f t="shared" si="1"/>
        <v>0.93720185266062228</v>
      </c>
      <c r="G60" s="503">
        <v>533.50300000000004</v>
      </c>
      <c r="H60" s="505" t="s">
        <v>191</v>
      </c>
      <c r="I60" s="505" t="s">
        <v>4405</v>
      </c>
      <c r="J60" s="505" t="s">
        <v>96</v>
      </c>
      <c r="K60" s="505" t="s">
        <v>2102</v>
      </c>
      <c r="L60" s="505" t="s">
        <v>153</v>
      </c>
      <c r="M60" s="327"/>
      <c r="N60" s="327"/>
      <c r="O60" s="327"/>
    </row>
    <row r="61" spans="1:15" s="399" customFormat="1" ht="15">
      <c r="A61" s="515">
        <v>45965</v>
      </c>
      <c r="B61" s="505" t="s">
        <v>4387</v>
      </c>
      <c r="C61" s="505" t="s">
        <v>172</v>
      </c>
      <c r="D61" s="505" t="s">
        <v>115</v>
      </c>
      <c r="E61" s="530">
        <v>500</v>
      </c>
      <c r="F61" s="502">
        <f t="shared" si="1"/>
        <v>0.93720185266062228</v>
      </c>
      <c r="G61" s="503">
        <v>533.50300000000004</v>
      </c>
      <c r="H61" s="505" t="s">
        <v>191</v>
      </c>
      <c r="I61" s="505" t="s">
        <v>4405</v>
      </c>
      <c r="J61" s="505" t="s">
        <v>96</v>
      </c>
      <c r="K61" s="505" t="s">
        <v>2102</v>
      </c>
      <c r="L61" s="505" t="s">
        <v>153</v>
      </c>
      <c r="M61" s="327"/>
      <c r="N61" s="327"/>
      <c r="O61" s="327"/>
    </row>
    <row r="62" spans="1:15" s="399" customFormat="1" ht="15">
      <c r="A62" s="515">
        <v>45965</v>
      </c>
      <c r="B62" s="505" t="s">
        <v>4388</v>
      </c>
      <c r="C62" s="505" t="s">
        <v>172</v>
      </c>
      <c r="D62" s="505" t="s">
        <v>115</v>
      </c>
      <c r="E62" s="530">
        <v>500</v>
      </c>
      <c r="F62" s="502">
        <f t="shared" si="1"/>
        <v>0.93720185266062228</v>
      </c>
      <c r="G62" s="503">
        <v>533.50300000000004</v>
      </c>
      <c r="H62" s="505" t="s">
        <v>191</v>
      </c>
      <c r="I62" s="505" t="s">
        <v>4405</v>
      </c>
      <c r="J62" s="505" t="s">
        <v>96</v>
      </c>
      <c r="K62" s="505" t="s">
        <v>2102</v>
      </c>
      <c r="L62" s="505" t="s">
        <v>153</v>
      </c>
      <c r="M62" s="327"/>
      <c r="N62" s="327"/>
      <c r="O62" s="327"/>
    </row>
    <row r="63" spans="1:15" s="399" customFormat="1" ht="15">
      <c r="A63" s="515">
        <v>45965</v>
      </c>
      <c r="B63" s="505" t="s">
        <v>3649</v>
      </c>
      <c r="C63" s="505" t="s">
        <v>172</v>
      </c>
      <c r="D63" s="505" t="s">
        <v>115</v>
      </c>
      <c r="E63" s="530">
        <v>500</v>
      </c>
      <c r="F63" s="502">
        <f t="shared" si="1"/>
        <v>0.93720185266062228</v>
      </c>
      <c r="G63" s="503">
        <v>533.50300000000004</v>
      </c>
      <c r="H63" s="505" t="s">
        <v>191</v>
      </c>
      <c r="I63" s="505" t="s">
        <v>4405</v>
      </c>
      <c r="J63" s="505" t="s">
        <v>96</v>
      </c>
      <c r="K63" s="505" t="s">
        <v>2102</v>
      </c>
      <c r="L63" s="505" t="s">
        <v>153</v>
      </c>
      <c r="M63" s="327"/>
      <c r="N63" s="327"/>
      <c r="O63" s="327"/>
    </row>
    <row r="64" spans="1:15" s="399" customFormat="1" ht="15">
      <c r="A64" s="515">
        <v>45965</v>
      </c>
      <c r="B64" s="505" t="s">
        <v>4389</v>
      </c>
      <c r="C64" s="505" t="s">
        <v>3317</v>
      </c>
      <c r="D64" s="505" t="s">
        <v>115</v>
      </c>
      <c r="E64" s="530">
        <v>1500</v>
      </c>
      <c r="F64" s="502">
        <f t="shared" si="1"/>
        <v>2.8116055579818666</v>
      </c>
      <c r="G64" s="503">
        <v>533.50300000000004</v>
      </c>
      <c r="H64" s="505" t="s">
        <v>191</v>
      </c>
      <c r="I64" s="505" t="s">
        <v>4409</v>
      </c>
      <c r="J64" s="505" t="s">
        <v>96</v>
      </c>
      <c r="K64" s="505" t="s">
        <v>2102</v>
      </c>
      <c r="L64" s="505" t="s">
        <v>153</v>
      </c>
      <c r="M64" s="327"/>
      <c r="N64" s="125"/>
      <c r="O64" s="125"/>
    </row>
    <row r="65" spans="1:15" s="399" customFormat="1" ht="15">
      <c r="A65" s="515">
        <v>45965</v>
      </c>
      <c r="B65" s="505" t="s">
        <v>4386</v>
      </c>
      <c r="C65" s="505" t="s">
        <v>172</v>
      </c>
      <c r="D65" s="505" t="s">
        <v>115</v>
      </c>
      <c r="E65" s="530">
        <v>500</v>
      </c>
      <c r="F65" s="502">
        <f t="shared" si="1"/>
        <v>0.93720185266062228</v>
      </c>
      <c r="G65" s="503">
        <v>533.50300000000004</v>
      </c>
      <c r="H65" s="505" t="s">
        <v>191</v>
      </c>
      <c r="I65" s="505" t="s">
        <v>4405</v>
      </c>
      <c r="J65" s="505" t="s">
        <v>96</v>
      </c>
      <c r="K65" s="505" t="s">
        <v>2102</v>
      </c>
      <c r="L65" s="505" t="s">
        <v>153</v>
      </c>
      <c r="M65" s="327"/>
      <c r="N65" s="327"/>
      <c r="O65" s="327"/>
    </row>
    <row r="66" spans="1:15" s="399" customFormat="1" ht="15">
      <c r="A66" s="515">
        <v>45965</v>
      </c>
      <c r="B66" s="505" t="s">
        <v>4390</v>
      </c>
      <c r="C66" s="505" t="s">
        <v>172</v>
      </c>
      <c r="D66" s="505" t="s">
        <v>115</v>
      </c>
      <c r="E66" s="530">
        <v>500</v>
      </c>
      <c r="F66" s="502">
        <f t="shared" si="1"/>
        <v>0.93720185266062228</v>
      </c>
      <c r="G66" s="503">
        <v>533.50300000000004</v>
      </c>
      <c r="H66" s="505" t="s">
        <v>191</v>
      </c>
      <c r="I66" s="505" t="s">
        <v>4405</v>
      </c>
      <c r="J66" s="505" t="s">
        <v>96</v>
      </c>
      <c r="K66" s="505" t="s">
        <v>2102</v>
      </c>
      <c r="L66" s="505" t="s">
        <v>153</v>
      </c>
      <c r="M66" s="327"/>
      <c r="N66" s="327"/>
      <c r="O66" s="327"/>
    </row>
    <row r="67" spans="1:15" s="399" customFormat="1" ht="15">
      <c r="A67" s="531">
        <v>45965</v>
      </c>
      <c r="B67" s="514" t="s">
        <v>4462</v>
      </c>
      <c r="C67" s="514" t="s">
        <v>172</v>
      </c>
      <c r="D67" s="514" t="s">
        <v>118</v>
      </c>
      <c r="E67" s="518">
        <v>1000</v>
      </c>
      <c r="F67" s="502">
        <f t="shared" si="1"/>
        <v>1.8744037053212446</v>
      </c>
      <c r="G67" s="503">
        <v>533.50300000000004</v>
      </c>
      <c r="H67" s="514" t="s">
        <v>211</v>
      </c>
      <c r="I67" s="514" t="s">
        <v>4559</v>
      </c>
      <c r="J67" s="505" t="s">
        <v>96</v>
      </c>
      <c r="K67" s="505" t="s">
        <v>2102</v>
      </c>
      <c r="L67" s="505" t="s">
        <v>153</v>
      </c>
      <c r="M67" s="327"/>
      <c r="N67" s="327"/>
      <c r="O67" s="327"/>
    </row>
    <row r="68" spans="1:15" s="399" customFormat="1" ht="15">
      <c r="A68" s="531">
        <v>45965</v>
      </c>
      <c r="B68" s="514" t="s">
        <v>4464</v>
      </c>
      <c r="C68" s="514" t="s">
        <v>172</v>
      </c>
      <c r="D68" s="514" t="s">
        <v>118</v>
      </c>
      <c r="E68" s="518">
        <v>1000</v>
      </c>
      <c r="F68" s="502">
        <f t="shared" si="1"/>
        <v>1.8744037053212446</v>
      </c>
      <c r="G68" s="503">
        <v>533.50300000000004</v>
      </c>
      <c r="H68" s="514" t="s">
        <v>211</v>
      </c>
      <c r="I68" s="514" t="s">
        <v>4559</v>
      </c>
      <c r="J68" s="505" t="s">
        <v>96</v>
      </c>
      <c r="K68" s="505" t="s">
        <v>2102</v>
      </c>
      <c r="L68" s="505" t="s">
        <v>153</v>
      </c>
      <c r="M68" s="327"/>
      <c r="N68" s="327"/>
      <c r="O68" s="327"/>
    </row>
    <row r="69" spans="1:15" s="399" customFormat="1" ht="15">
      <c r="A69" s="531">
        <v>45965</v>
      </c>
      <c r="B69" s="514" t="s">
        <v>4465</v>
      </c>
      <c r="C69" s="514" t="s">
        <v>172</v>
      </c>
      <c r="D69" s="514" t="s">
        <v>118</v>
      </c>
      <c r="E69" s="518">
        <v>1000</v>
      </c>
      <c r="F69" s="502">
        <f t="shared" si="1"/>
        <v>1.8744037053212446</v>
      </c>
      <c r="G69" s="503">
        <v>533.50300000000004</v>
      </c>
      <c r="H69" s="514" t="s">
        <v>211</v>
      </c>
      <c r="I69" s="514" t="s">
        <v>4559</v>
      </c>
      <c r="J69" s="505" t="s">
        <v>96</v>
      </c>
      <c r="K69" s="505" t="s">
        <v>2102</v>
      </c>
      <c r="L69" s="505" t="s">
        <v>153</v>
      </c>
      <c r="M69" s="327"/>
      <c r="N69" s="327"/>
      <c r="O69" s="327"/>
    </row>
    <row r="70" spans="1:15" s="399" customFormat="1" ht="15">
      <c r="A70" s="515">
        <v>45965</v>
      </c>
      <c r="B70" s="505" t="s">
        <v>4466</v>
      </c>
      <c r="C70" s="505" t="s">
        <v>2092</v>
      </c>
      <c r="D70" s="505" t="s">
        <v>118</v>
      </c>
      <c r="E70" s="518">
        <v>6000</v>
      </c>
      <c r="F70" s="502">
        <f t="shared" si="1"/>
        <v>11.246422231927466</v>
      </c>
      <c r="G70" s="503">
        <v>533.50300000000004</v>
      </c>
      <c r="H70" s="505" t="s">
        <v>211</v>
      </c>
      <c r="I70" s="505" t="s">
        <v>4562</v>
      </c>
      <c r="J70" s="505" t="s">
        <v>96</v>
      </c>
      <c r="K70" s="505" t="s">
        <v>2102</v>
      </c>
      <c r="L70" s="505" t="s">
        <v>153</v>
      </c>
      <c r="M70" s="125"/>
      <c r="N70" s="125"/>
      <c r="O70" s="125"/>
    </row>
    <row r="71" spans="1:15" s="399" customFormat="1" ht="15">
      <c r="A71" s="515">
        <v>45965</v>
      </c>
      <c r="B71" s="505" t="s">
        <v>4467</v>
      </c>
      <c r="C71" s="505" t="s">
        <v>2092</v>
      </c>
      <c r="D71" s="505" t="s">
        <v>118</v>
      </c>
      <c r="E71" s="518">
        <v>6000</v>
      </c>
      <c r="F71" s="502">
        <f t="shared" si="1"/>
        <v>11.246422231927466</v>
      </c>
      <c r="G71" s="503">
        <v>533.50300000000004</v>
      </c>
      <c r="H71" s="505" t="s">
        <v>211</v>
      </c>
      <c r="I71" s="505" t="s">
        <v>4562</v>
      </c>
      <c r="J71" s="505" t="s">
        <v>96</v>
      </c>
      <c r="K71" s="505" t="s">
        <v>2102</v>
      </c>
      <c r="L71" s="505" t="s">
        <v>153</v>
      </c>
      <c r="M71" s="125"/>
      <c r="N71" s="125"/>
      <c r="O71" s="125"/>
    </row>
    <row r="72" spans="1:15" s="399" customFormat="1" ht="15">
      <c r="A72" s="515">
        <v>45965</v>
      </c>
      <c r="B72" s="505" t="s">
        <v>4468</v>
      </c>
      <c r="C72" s="505" t="s">
        <v>2092</v>
      </c>
      <c r="D72" s="505" t="s">
        <v>118</v>
      </c>
      <c r="E72" s="518">
        <v>6000</v>
      </c>
      <c r="F72" s="502">
        <f t="shared" si="1"/>
        <v>11.246422231927466</v>
      </c>
      <c r="G72" s="503">
        <v>533.50300000000004</v>
      </c>
      <c r="H72" s="505" t="s">
        <v>211</v>
      </c>
      <c r="I72" s="505" t="s">
        <v>4562</v>
      </c>
      <c r="J72" s="505" t="s">
        <v>96</v>
      </c>
      <c r="K72" s="505" t="s">
        <v>2102</v>
      </c>
      <c r="L72" s="505" t="s">
        <v>153</v>
      </c>
      <c r="M72" s="125"/>
      <c r="N72" s="125"/>
      <c r="O72" s="125"/>
    </row>
    <row r="73" spans="1:15" s="399" customFormat="1" ht="15">
      <c r="A73" s="515">
        <v>45965</v>
      </c>
      <c r="B73" s="505" t="s">
        <v>4469</v>
      </c>
      <c r="C73" s="505" t="s">
        <v>2092</v>
      </c>
      <c r="D73" s="505" t="s">
        <v>118</v>
      </c>
      <c r="E73" s="518">
        <v>6000</v>
      </c>
      <c r="F73" s="502">
        <f t="shared" si="1"/>
        <v>11.246422231927466</v>
      </c>
      <c r="G73" s="503">
        <v>533.50300000000004</v>
      </c>
      <c r="H73" s="505" t="s">
        <v>211</v>
      </c>
      <c r="I73" s="505" t="s">
        <v>4562</v>
      </c>
      <c r="J73" s="505" t="s">
        <v>96</v>
      </c>
      <c r="K73" s="505" t="s">
        <v>2102</v>
      </c>
      <c r="L73" s="505" t="s">
        <v>153</v>
      </c>
      <c r="M73" s="125"/>
      <c r="N73" s="125"/>
      <c r="O73" s="125"/>
    </row>
    <row r="74" spans="1:15" s="399" customFormat="1" ht="15">
      <c r="A74" s="515">
        <v>45965</v>
      </c>
      <c r="B74" s="505" t="s">
        <v>4470</v>
      </c>
      <c r="C74" s="505" t="s">
        <v>2092</v>
      </c>
      <c r="D74" s="505" t="s">
        <v>118</v>
      </c>
      <c r="E74" s="518">
        <v>6000</v>
      </c>
      <c r="F74" s="502">
        <f t="shared" si="1"/>
        <v>11.246422231927466</v>
      </c>
      <c r="G74" s="503">
        <v>533.50300000000004</v>
      </c>
      <c r="H74" s="505" t="s">
        <v>211</v>
      </c>
      <c r="I74" s="505" t="s">
        <v>4562</v>
      </c>
      <c r="J74" s="505" t="s">
        <v>96</v>
      </c>
      <c r="K74" s="505" t="s">
        <v>2102</v>
      </c>
      <c r="L74" s="505" t="s">
        <v>153</v>
      </c>
      <c r="M74" s="125"/>
      <c r="N74" s="125"/>
      <c r="O74" s="125"/>
    </row>
    <row r="75" spans="1:15" s="399" customFormat="1" ht="15">
      <c r="A75" s="515">
        <v>45965</v>
      </c>
      <c r="B75" s="505" t="s">
        <v>4471</v>
      </c>
      <c r="C75" s="505" t="s">
        <v>2092</v>
      </c>
      <c r="D75" s="505" t="s">
        <v>118</v>
      </c>
      <c r="E75" s="518">
        <v>6000</v>
      </c>
      <c r="F75" s="502">
        <f t="shared" si="1"/>
        <v>11.246422231927466</v>
      </c>
      <c r="G75" s="503">
        <v>533.50300000000004</v>
      </c>
      <c r="H75" s="505" t="s">
        <v>211</v>
      </c>
      <c r="I75" s="505" t="s">
        <v>4562</v>
      </c>
      <c r="J75" s="505" t="s">
        <v>96</v>
      </c>
      <c r="K75" s="505" t="s">
        <v>2102</v>
      </c>
      <c r="L75" s="505" t="s">
        <v>153</v>
      </c>
      <c r="M75" s="125"/>
      <c r="N75" s="125"/>
      <c r="O75" s="125"/>
    </row>
    <row r="76" spans="1:15" s="399" customFormat="1" ht="15">
      <c r="A76" s="515">
        <v>45965</v>
      </c>
      <c r="B76" s="505" t="s">
        <v>4472</v>
      </c>
      <c r="C76" s="505" t="s">
        <v>2092</v>
      </c>
      <c r="D76" s="505" t="s">
        <v>118</v>
      </c>
      <c r="E76" s="518">
        <v>6000</v>
      </c>
      <c r="F76" s="502">
        <f t="shared" si="1"/>
        <v>11.246422231927466</v>
      </c>
      <c r="G76" s="503">
        <v>533.50300000000004</v>
      </c>
      <c r="H76" s="505" t="s">
        <v>211</v>
      </c>
      <c r="I76" s="505" t="s">
        <v>4562</v>
      </c>
      <c r="J76" s="505" t="s">
        <v>96</v>
      </c>
      <c r="K76" s="505" t="s">
        <v>2102</v>
      </c>
      <c r="L76" s="505" t="s">
        <v>153</v>
      </c>
      <c r="M76" s="125"/>
      <c r="N76" s="125"/>
      <c r="O76" s="125"/>
    </row>
    <row r="77" spans="1:15" s="399" customFormat="1" ht="15">
      <c r="A77" s="515">
        <v>45965</v>
      </c>
      <c r="B77" s="505" t="s">
        <v>4473</v>
      </c>
      <c r="C77" s="505" t="s">
        <v>2092</v>
      </c>
      <c r="D77" s="505" t="s">
        <v>118</v>
      </c>
      <c r="E77" s="518">
        <v>6000</v>
      </c>
      <c r="F77" s="502">
        <f t="shared" si="1"/>
        <v>11.246422231927466</v>
      </c>
      <c r="G77" s="503">
        <v>533.50300000000004</v>
      </c>
      <c r="H77" s="505" t="s">
        <v>211</v>
      </c>
      <c r="I77" s="505" t="s">
        <v>4562</v>
      </c>
      <c r="J77" s="505" t="s">
        <v>96</v>
      </c>
      <c r="K77" s="505" t="s">
        <v>2102</v>
      </c>
      <c r="L77" s="505" t="s">
        <v>153</v>
      </c>
      <c r="M77" s="125"/>
      <c r="N77" s="125"/>
      <c r="O77" s="125"/>
    </row>
    <row r="78" spans="1:15" s="399" customFormat="1" ht="15">
      <c r="A78" s="515">
        <v>45965</v>
      </c>
      <c r="B78" s="505" t="s">
        <v>4474</v>
      </c>
      <c r="C78" s="505" t="s">
        <v>2092</v>
      </c>
      <c r="D78" s="505" t="s">
        <v>118</v>
      </c>
      <c r="E78" s="518">
        <v>6000</v>
      </c>
      <c r="F78" s="502">
        <f t="shared" si="1"/>
        <v>11.246422231927466</v>
      </c>
      <c r="G78" s="503">
        <v>533.50300000000004</v>
      </c>
      <c r="H78" s="505" t="s">
        <v>211</v>
      </c>
      <c r="I78" s="505" t="s">
        <v>4562</v>
      </c>
      <c r="J78" s="505" t="s">
        <v>96</v>
      </c>
      <c r="K78" s="505" t="s">
        <v>2102</v>
      </c>
      <c r="L78" s="505" t="s">
        <v>153</v>
      </c>
      <c r="M78" s="125"/>
      <c r="N78" s="125"/>
      <c r="O78" s="125"/>
    </row>
    <row r="79" spans="1:15" s="399" customFormat="1" ht="15">
      <c r="A79" s="515">
        <v>45965</v>
      </c>
      <c r="B79" s="505" t="s">
        <v>4475</v>
      </c>
      <c r="C79" s="505" t="s">
        <v>2092</v>
      </c>
      <c r="D79" s="505" t="s">
        <v>118</v>
      </c>
      <c r="E79" s="518">
        <v>6000</v>
      </c>
      <c r="F79" s="502">
        <f t="shared" si="1"/>
        <v>11.246422231927466</v>
      </c>
      <c r="G79" s="503">
        <v>533.50300000000004</v>
      </c>
      <c r="H79" s="505" t="s">
        <v>211</v>
      </c>
      <c r="I79" s="505" t="s">
        <v>4562</v>
      </c>
      <c r="J79" s="505" t="s">
        <v>96</v>
      </c>
      <c r="K79" s="505" t="s">
        <v>2102</v>
      </c>
      <c r="L79" s="505" t="s">
        <v>153</v>
      </c>
      <c r="M79" s="125"/>
      <c r="N79" s="125"/>
      <c r="O79" s="125"/>
    </row>
    <row r="80" spans="1:15" s="399" customFormat="1" ht="15">
      <c r="A80" s="515">
        <v>45965</v>
      </c>
      <c r="B80" s="505" t="s">
        <v>4476</v>
      </c>
      <c r="C80" s="505" t="s">
        <v>2092</v>
      </c>
      <c r="D80" s="505" t="s">
        <v>118</v>
      </c>
      <c r="E80" s="518">
        <v>6000</v>
      </c>
      <c r="F80" s="502">
        <f t="shared" si="1"/>
        <v>11.246422231927466</v>
      </c>
      <c r="G80" s="503">
        <v>533.50300000000004</v>
      </c>
      <c r="H80" s="505" t="s">
        <v>211</v>
      </c>
      <c r="I80" s="505" t="s">
        <v>4562</v>
      </c>
      <c r="J80" s="505" t="s">
        <v>96</v>
      </c>
      <c r="K80" s="505" t="s">
        <v>2102</v>
      </c>
      <c r="L80" s="505" t="s">
        <v>153</v>
      </c>
      <c r="M80" s="125"/>
      <c r="N80" s="125"/>
      <c r="O80" s="125"/>
    </row>
    <row r="81" spans="1:15" s="399" customFormat="1" ht="15">
      <c r="A81" s="515">
        <v>45965</v>
      </c>
      <c r="B81" s="505" t="s">
        <v>4477</v>
      </c>
      <c r="C81" s="505" t="s">
        <v>2092</v>
      </c>
      <c r="D81" s="505" t="s">
        <v>118</v>
      </c>
      <c r="E81" s="518">
        <v>6000</v>
      </c>
      <c r="F81" s="502">
        <f t="shared" si="1"/>
        <v>11.246422231927466</v>
      </c>
      <c r="G81" s="503">
        <v>533.50300000000004</v>
      </c>
      <c r="H81" s="505" t="s">
        <v>211</v>
      </c>
      <c r="I81" s="505" t="s">
        <v>4562</v>
      </c>
      <c r="J81" s="505" t="s">
        <v>96</v>
      </c>
      <c r="K81" s="505" t="s">
        <v>2102</v>
      </c>
      <c r="L81" s="505" t="s">
        <v>153</v>
      </c>
      <c r="M81" s="125"/>
      <c r="N81" s="125"/>
      <c r="O81" s="125"/>
    </row>
    <row r="82" spans="1:15" s="399" customFormat="1" ht="15">
      <c r="A82" s="515">
        <v>45965</v>
      </c>
      <c r="B82" s="505" t="s">
        <v>4478</v>
      </c>
      <c r="C82" s="505" t="s">
        <v>2092</v>
      </c>
      <c r="D82" s="505" t="s">
        <v>118</v>
      </c>
      <c r="E82" s="518">
        <v>6000</v>
      </c>
      <c r="F82" s="502">
        <f t="shared" si="1"/>
        <v>11.246422231927466</v>
      </c>
      <c r="G82" s="503">
        <v>533.50300000000004</v>
      </c>
      <c r="H82" s="505" t="s">
        <v>211</v>
      </c>
      <c r="I82" s="505" t="s">
        <v>4562</v>
      </c>
      <c r="J82" s="505" t="s">
        <v>96</v>
      </c>
      <c r="K82" s="505" t="s">
        <v>2102</v>
      </c>
      <c r="L82" s="505" t="s">
        <v>153</v>
      </c>
      <c r="M82" s="125"/>
      <c r="N82" s="125"/>
      <c r="O82" s="125"/>
    </row>
    <row r="83" spans="1:15" s="399" customFormat="1" ht="15">
      <c r="A83" s="515">
        <v>45965</v>
      </c>
      <c r="B83" s="505" t="s">
        <v>4479</v>
      </c>
      <c r="C83" s="505" t="s">
        <v>2092</v>
      </c>
      <c r="D83" s="505" t="s">
        <v>118</v>
      </c>
      <c r="E83" s="518">
        <v>6000</v>
      </c>
      <c r="F83" s="502">
        <f t="shared" si="1"/>
        <v>11.246422231927466</v>
      </c>
      <c r="G83" s="503">
        <v>533.50300000000004</v>
      </c>
      <c r="H83" s="505" t="s">
        <v>211</v>
      </c>
      <c r="I83" s="505" t="s">
        <v>4562</v>
      </c>
      <c r="J83" s="505" t="s">
        <v>96</v>
      </c>
      <c r="K83" s="505" t="s">
        <v>2102</v>
      </c>
      <c r="L83" s="505" t="s">
        <v>153</v>
      </c>
      <c r="M83" s="125"/>
      <c r="N83" s="125"/>
      <c r="O83" s="125"/>
    </row>
    <row r="84" spans="1:15" s="399" customFormat="1" ht="15">
      <c r="A84" s="515">
        <v>45965</v>
      </c>
      <c r="B84" s="505" t="s">
        <v>4480</v>
      </c>
      <c r="C84" s="505" t="s">
        <v>2092</v>
      </c>
      <c r="D84" s="505" t="s">
        <v>118</v>
      </c>
      <c r="E84" s="518">
        <v>10000</v>
      </c>
      <c r="F84" s="502">
        <f t="shared" si="1"/>
        <v>18.744037053212445</v>
      </c>
      <c r="G84" s="503">
        <v>533.50300000000004</v>
      </c>
      <c r="H84" s="505" t="s">
        <v>211</v>
      </c>
      <c r="I84" s="505" t="s">
        <v>4563</v>
      </c>
      <c r="J84" s="505" t="s">
        <v>96</v>
      </c>
      <c r="K84" s="505" t="s">
        <v>2102</v>
      </c>
      <c r="L84" s="505" t="s">
        <v>153</v>
      </c>
      <c r="M84" s="327"/>
      <c r="N84" s="327"/>
      <c r="O84" s="327"/>
    </row>
    <row r="85" spans="1:15" s="399" customFormat="1" ht="15">
      <c r="A85" s="515">
        <v>45965</v>
      </c>
      <c r="B85" s="505" t="s">
        <v>4481</v>
      </c>
      <c r="C85" s="505" t="s">
        <v>2092</v>
      </c>
      <c r="D85" s="505" t="s">
        <v>118</v>
      </c>
      <c r="E85" s="518">
        <v>10000</v>
      </c>
      <c r="F85" s="502">
        <f t="shared" si="1"/>
        <v>18.744037053212445</v>
      </c>
      <c r="G85" s="503">
        <v>533.50300000000004</v>
      </c>
      <c r="H85" s="505" t="s">
        <v>211</v>
      </c>
      <c r="I85" s="505" t="s">
        <v>4563</v>
      </c>
      <c r="J85" s="505" t="s">
        <v>96</v>
      </c>
      <c r="K85" s="505" t="s">
        <v>2102</v>
      </c>
      <c r="L85" s="505" t="s">
        <v>153</v>
      </c>
      <c r="M85" s="327"/>
      <c r="N85" s="327"/>
      <c r="O85" s="327"/>
    </row>
    <row r="86" spans="1:15" s="399" customFormat="1" ht="15">
      <c r="A86" s="515">
        <v>45965</v>
      </c>
      <c r="B86" s="505" t="s">
        <v>4482</v>
      </c>
      <c r="C86" s="505" t="s">
        <v>2092</v>
      </c>
      <c r="D86" s="505" t="s">
        <v>118</v>
      </c>
      <c r="E86" s="518">
        <v>10000</v>
      </c>
      <c r="F86" s="502">
        <f t="shared" si="1"/>
        <v>18.744037053212445</v>
      </c>
      <c r="G86" s="503">
        <v>533.50300000000004</v>
      </c>
      <c r="H86" s="505" t="s">
        <v>211</v>
      </c>
      <c r="I86" s="505" t="s">
        <v>4563</v>
      </c>
      <c r="J86" s="505" t="s">
        <v>96</v>
      </c>
      <c r="K86" s="505" t="s">
        <v>2102</v>
      </c>
      <c r="L86" s="505" t="s">
        <v>153</v>
      </c>
      <c r="M86" s="327"/>
      <c r="N86" s="327"/>
      <c r="O86" s="327"/>
    </row>
    <row r="87" spans="1:15" s="399" customFormat="1" ht="15">
      <c r="A87" s="515">
        <v>45965</v>
      </c>
      <c r="B87" s="505" t="s">
        <v>4483</v>
      </c>
      <c r="C87" s="505" t="s">
        <v>2092</v>
      </c>
      <c r="D87" s="505" t="s">
        <v>118</v>
      </c>
      <c r="E87" s="518">
        <v>6000</v>
      </c>
      <c r="F87" s="502">
        <f t="shared" si="1"/>
        <v>11.246422231927466</v>
      </c>
      <c r="G87" s="503">
        <v>533.50300000000004</v>
      </c>
      <c r="H87" s="505" t="s">
        <v>211</v>
      </c>
      <c r="I87" s="505" t="s">
        <v>4564</v>
      </c>
      <c r="J87" s="505" t="s">
        <v>96</v>
      </c>
      <c r="K87" s="505" t="s">
        <v>2102</v>
      </c>
      <c r="L87" s="505" t="s">
        <v>153</v>
      </c>
      <c r="M87" s="327"/>
      <c r="N87" s="327"/>
      <c r="O87" s="327"/>
    </row>
    <row r="88" spans="1:15" s="399" customFormat="1" ht="15">
      <c r="A88" s="515">
        <v>45965</v>
      </c>
      <c r="B88" s="505" t="s">
        <v>4484</v>
      </c>
      <c r="C88" s="505" t="s">
        <v>2092</v>
      </c>
      <c r="D88" s="505" t="s">
        <v>118</v>
      </c>
      <c r="E88" s="518">
        <v>6000</v>
      </c>
      <c r="F88" s="502">
        <f t="shared" si="1"/>
        <v>11.246422231927466</v>
      </c>
      <c r="G88" s="503">
        <v>533.50300000000004</v>
      </c>
      <c r="H88" s="505" t="s">
        <v>211</v>
      </c>
      <c r="I88" s="505" t="s">
        <v>4564</v>
      </c>
      <c r="J88" s="505" t="s">
        <v>96</v>
      </c>
      <c r="K88" s="505" t="s">
        <v>2102</v>
      </c>
      <c r="L88" s="505" t="s">
        <v>153</v>
      </c>
      <c r="M88" s="327"/>
      <c r="N88" s="327"/>
      <c r="O88" s="327"/>
    </row>
    <row r="89" spans="1:15" s="399" customFormat="1" ht="15">
      <c r="A89" s="515">
        <v>45965</v>
      </c>
      <c r="B89" s="505" t="s">
        <v>4485</v>
      </c>
      <c r="C89" s="505" t="s">
        <v>2092</v>
      </c>
      <c r="D89" s="505" t="s">
        <v>118</v>
      </c>
      <c r="E89" s="518">
        <v>6000</v>
      </c>
      <c r="F89" s="502">
        <f t="shared" si="1"/>
        <v>11.246422231927466</v>
      </c>
      <c r="G89" s="503">
        <v>533.50300000000004</v>
      </c>
      <c r="H89" s="505" t="s">
        <v>211</v>
      </c>
      <c r="I89" s="505" t="s">
        <v>4564</v>
      </c>
      <c r="J89" s="505" t="s">
        <v>96</v>
      </c>
      <c r="K89" s="505" t="s">
        <v>2102</v>
      </c>
      <c r="L89" s="505" t="s">
        <v>153</v>
      </c>
      <c r="M89" s="327"/>
      <c r="N89" s="327"/>
      <c r="O89" s="327"/>
    </row>
    <row r="90" spans="1:15" s="399" customFormat="1" ht="15">
      <c r="A90" s="515">
        <v>45965</v>
      </c>
      <c r="B90" s="505" t="s">
        <v>4486</v>
      </c>
      <c r="C90" s="505" t="s">
        <v>2092</v>
      </c>
      <c r="D90" s="505" t="s">
        <v>118</v>
      </c>
      <c r="E90" s="518">
        <v>6000</v>
      </c>
      <c r="F90" s="502">
        <f t="shared" si="1"/>
        <v>11.246422231927466</v>
      </c>
      <c r="G90" s="503">
        <v>533.50300000000004</v>
      </c>
      <c r="H90" s="505" t="s">
        <v>211</v>
      </c>
      <c r="I90" s="505" t="s">
        <v>4564</v>
      </c>
      <c r="J90" s="505" t="s">
        <v>96</v>
      </c>
      <c r="K90" s="505" t="s">
        <v>2102</v>
      </c>
      <c r="L90" s="505" t="s">
        <v>153</v>
      </c>
      <c r="M90" s="327"/>
      <c r="N90" s="327"/>
      <c r="O90" s="327"/>
    </row>
    <row r="91" spans="1:15" s="399" customFormat="1" ht="15">
      <c r="A91" s="515">
        <v>45965</v>
      </c>
      <c r="B91" s="505" t="s">
        <v>4579</v>
      </c>
      <c r="C91" s="505" t="s">
        <v>175</v>
      </c>
      <c r="D91" s="505" t="s">
        <v>115</v>
      </c>
      <c r="E91" s="505">
        <v>15000</v>
      </c>
      <c r="F91" s="502">
        <f t="shared" si="1"/>
        <v>28.116055579818667</v>
      </c>
      <c r="G91" s="503">
        <v>533.50300000000004</v>
      </c>
      <c r="H91" s="505" t="s">
        <v>185</v>
      </c>
      <c r="I91" s="505" t="s">
        <v>4633</v>
      </c>
      <c r="J91" s="505" t="s">
        <v>96</v>
      </c>
      <c r="K91" s="505" t="s">
        <v>2102</v>
      </c>
      <c r="L91" s="505" t="s">
        <v>153</v>
      </c>
      <c r="M91" s="327"/>
      <c r="N91" s="327"/>
      <c r="O91" s="327"/>
    </row>
    <row r="92" spans="1:15" s="399" customFormat="1" ht="15">
      <c r="A92" s="515">
        <v>45965</v>
      </c>
      <c r="B92" s="505" t="s">
        <v>4580</v>
      </c>
      <c r="C92" s="505" t="s">
        <v>172</v>
      </c>
      <c r="D92" s="505" t="s">
        <v>115</v>
      </c>
      <c r="E92" s="505">
        <v>500</v>
      </c>
      <c r="F92" s="502">
        <f t="shared" si="1"/>
        <v>0.93720185266062228</v>
      </c>
      <c r="G92" s="503">
        <v>533.50300000000004</v>
      </c>
      <c r="H92" s="505" t="s">
        <v>185</v>
      </c>
      <c r="I92" s="505" t="s">
        <v>4631</v>
      </c>
      <c r="J92" s="505" t="s">
        <v>96</v>
      </c>
      <c r="K92" s="505" t="s">
        <v>2102</v>
      </c>
      <c r="L92" s="505" t="s">
        <v>153</v>
      </c>
      <c r="M92" s="327"/>
      <c r="N92" s="327"/>
      <c r="O92" s="327"/>
    </row>
    <row r="93" spans="1:15" s="399" customFormat="1" ht="15">
      <c r="A93" s="515">
        <v>45965</v>
      </c>
      <c r="B93" s="505" t="s">
        <v>4581</v>
      </c>
      <c r="C93" s="505" t="s">
        <v>172</v>
      </c>
      <c r="D93" s="505" t="s">
        <v>115</v>
      </c>
      <c r="E93" s="505">
        <v>500</v>
      </c>
      <c r="F93" s="502">
        <f t="shared" si="1"/>
        <v>0.93720185266062228</v>
      </c>
      <c r="G93" s="503">
        <v>533.50300000000004</v>
      </c>
      <c r="H93" s="505" t="s">
        <v>185</v>
      </c>
      <c r="I93" s="505" t="s">
        <v>4631</v>
      </c>
      <c r="J93" s="505" t="s">
        <v>96</v>
      </c>
      <c r="K93" s="505" t="s">
        <v>2102</v>
      </c>
      <c r="L93" s="505" t="s">
        <v>153</v>
      </c>
      <c r="M93" s="125"/>
      <c r="N93" s="125"/>
      <c r="O93" s="125"/>
    </row>
    <row r="94" spans="1:15" s="399" customFormat="1" ht="15">
      <c r="A94" s="543">
        <v>45965</v>
      </c>
      <c r="B94" s="544" t="s">
        <v>4057</v>
      </c>
      <c r="C94" s="505" t="s">
        <v>124</v>
      </c>
      <c r="D94" s="546" t="s">
        <v>116</v>
      </c>
      <c r="E94" s="518">
        <v>500000</v>
      </c>
      <c r="F94" s="502">
        <f t="shared" si="1"/>
        <v>937.20185266062231</v>
      </c>
      <c r="G94" s="503">
        <v>533.50300000000004</v>
      </c>
      <c r="H94" s="125" t="s">
        <v>146</v>
      </c>
      <c r="I94" s="125" t="s">
        <v>4709</v>
      </c>
      <c r="J94" s="505" t="s">
        <v>96</v>
      </c>
      <c r="K94" s="505" t="s">
        <v>2102</v>
      </c>
      <c r="L94" s="505" t="s">
        <v>153</v>
      </c>
      <c r="M94" s="125"/>
      <c r="N94" s="125"/>
      <c r="O94" s="125"/>
    </row>
    <row r="95" spans="1:15" s="399" customFormat="1" ht="15">
      <c r="A95" s="629">
        <v>45966</v>
      </c>
      <c r="B95" s="298" t="s">
        <v>2103</v>
      </c>
      <c r="C95" s="298" t="s">
        <v>172</v>
      </c>
      <c r="D95" s="506" t="s">
        <v>117</v>
      </c>
      <c r="E95" s="630">
        <v>1000</v>
      </c>
      <c r="F95" s="502">
        <f t="shared" si="1"/>
        <v>1.8744037053212446</v>
      </c>
      <c r="G95" s="503">
        <v>533.50300000000004</v>
      </c>
      <c r="H95" s="631" t="s">
        <v>151</v>
      </c>
      <c r="I95" s="298" t="s">
        <v>4133</v>
      </c>
      <c r="J95" s="505" t="s">
        <v>96</v>
      </c>
      <c r="K95" s="505" t="s">
        <v>2102</v>
      </c>
      <c r="L95" s="505" t="s">
        <v>153</v>
      </c>
      <c r="M95" s="327"/>
      <c r="N95" s="327"/>
      <c r="O95" s="327"/>
    </row>
    <row r="96" spans="1:15" s="399" customFormat="1" ht="15">
      <c r="A96" s="629">
        <v>45966</v>
      </c>
      <c r="B96" s="298" t="s">
        <v>2104</v>
      </c>
      <c r="C96" s="298" t="s">
        <v>172</v>
      </c>
      <c r="D96" s="506" t="s">
        <v>117</v>
      </c>
      <c r="E96" s="630">
        <v>1000</v>
      </c>
      <c r="F96" s="502">
        <f t="shared" si="1"/>
        <v>1.8744037053212446</v>
      </c>
      <c r="G96" s="503">
        <v>533.50300000000004</v>
      </c>
      <c r="H96" s="631" t="s">
        <v>151</v>
      </c>
      <c r="I96" s="298" t="s">
        <v>4133</v>
      </c>
      <c r="J96" s="505" t="s">
        <v>96</v>
      </c>
      <c r="K96" s="505" t="s">
        <v>2102</v>
      </c>
      <c r="L96" s="505" t="s">
        <v>153</v>
      </c>
      <c r="M96" s="327"/>
      <c r="N96" s="327"/>
      <c r="O96" s="327"/>
    </row>
    <row r="97" spans="1:15" s="399" customFormat="1" ht="15">
      <c r="A97" s="515">
        <v>45966</v>
      </c>
      <c r="B97" s="505" t="s">
        <v>4165</v>
      </c>
      <c r="C97" s="505" t="s">
        <v>170</v>
      </c>
      <c r="D97" s="505" t="s">
        <v>116</v>
      </c>
      <c r="E97" s="518">
        <v>25000</v>
      </c>
      <c r="F97" s="502">
        <f t="shared" si="1"/>
        <v>46.860092633031115</v>
      </c>
      <c r="G97" s="503">
        <v>533.50300000000004</v>
      </c>
      <c r="H97" s="505" t="s">
        <v>581</v>
      </c>
      <c r="I97" s="505" t="s">
        <v>4216</v>
      </c>
      <c r="J97" s="505" t="s">
        <v>96</v>
      </c>
      <c r="K97" s="505" t="s">
        <v>2102</v>
      </c>
      <c r="L97" s="505" t="s">
        <v>153</v>
      </c>
      <c r="M97" s="472"/>
      <c r="N97" s="327"/>
      <c r="O97" s="327"/>
    </row>
    <row r="98" spans="1:15" s="399" customFormat="1" ht="15">
      <c r="A98" s="515">
        <v>45966</v>
      </c>
      <c r="B98" s="505" t="s">
        <v>4166</v>
      </c>
      <c r="C98" s="505" t="s">
        <v>170</v>
      </c>
      <c r="D98" s="505" t="s">
        <v>116</v>
      </c>
      <c r="E98" s="518">
        <v>3500</v>
      </c>
      <c r="F98" s="502">
        <f t="shared" si="1"/>
        <v>6.5604129686243562</v>
      </c>
      <c r="G98" s="503">
        <v>533.50300000000004</v>
      </c>
      <c r="H98" s="505" t="s">
        <v>581</v>
      </c>
      <c r="I98" s="505" t="s">
        <v>4216</v>
      </c>
      <c r="J98" s="505" t="s">
        <v>96</v>
      </c>
      <c r="K98" s="505" t="s">
        <v>2102</v>
      </c>
      <c r="L98" s="505" t="s">
        <v>153</v>
      </c>
      <c r="M98" s="327"/>
      <c r="N98" s="327"/>
      <c r="O98" s="327"/>
    </row>
    <row r="99" spans="1:15" s="399" customFormat="1" ht="15">
      <c r="A99" s="515">
        <v>45966</v>
      </c>
      <c r="B99" s="505" t="s">
        <v>4167</v>
      </c>
      <c r="C99" s="505" t="s">
        <v>170</v>
      </c>
      <c r="D99" s="505" t="s">
        <v>116</v>
      </c>
      <c r="E99" s="518">
        <v>34000</v>
      </c>
      <c r="F99" s="502">
        <f t="shared" si="1"/>
        <v>63.729725980922311</v>
      </c>
      <c r="G99" s="503">
        <v>533.50300000000004</v>
      </c>
      <c r="H99" s="505" t="s">
        <v>581</v>
      </c>
      <c r="I99" s="505" t="s">
        <v>4216</v>
      </c>
      <c r="J99" s="505" t="s">
        <v>96</v>
      </c>
      <c r="K99" s="505" t="s">
        <v>2102</v>
      </c>
      <c r="L99" s="505" t="s">
        <v>153</v>
      </c>
      <c r="M99" s="327"/>
      <c r="N99" s="327"/>
      <c r="O99" s="327"/>
    </row>
    <row r="100" spans="1:15" s="399" customFormat="1" ht="15">
      <c r="A100" s="515">
        <v>45966</v>
      </c>
      <c r="B100" s="505" t="s">
        <v>4168</v>
      </c>
      <c r="C100" s="505" t="s">
        <v>170</v>
      </c>
      <c r="D100" s="505" t="s">
        <v>116</v>
      </c>
      <c r="E100" s="518">
        <v>7500</v>
      </c>
      <c r="F100" s="502">
        <f t="shared" si="1"/>
        <v>14.058027789909334</v>
      </c>
      <c r="G100" s="503">
        <v>533.50300000000004</v>
      </c>
      <c r="H100" s="505" t="s">
        <v>581</v>
      </c>
      <c r="I100" s="505" t="s">
        <v>4216</v>
      </c>
      <c r="J100" s="505" t="s">
        <v>96</v>
      </c>
      <c r="K100" s="505" t="s">
        <v>2102</v>
      </c>
      <c r="L100" s="505" t="s">
        <v>153</v>
      </c>
      <c r="M100" s="327"/>
      <c r="N100" s="125"/>
      <c r="O100" s="125"/>
    </row>
    <row r="101" spans="1:15" s="399" customFormat="1" ht="15">
      <c r="A101" s="515">
        <v>45966</v>
      </c>
      <c r="B101" s="505" t="s">
        <v>4169</v>
      </c>
      <c r="C101" s="505" t="s">
        <v>170</v>
      </c>
      <c r="D101" s="505" t="s">
        <v>116</v>
      </c>
      <c r="E101" s="518">
        <v>1000</v>
      </c>
      <c r="F101" s="502">
        <f t="shared" ref="F101:F164" si="2">E101/G101</f>
        <v>1.8744037053212446</v>
      </c>
      <c r="G101" s="503">
        <v>533.50300000000004</v>
      </c>
      <c r="H101" s="505" t="s">
        <v>581</v>
      </c>
      <c r="I101" s="505" t="s">
        <v>4216</v>
      </c>
      <c r="J101" s="505" t="s">
        <v>96</v>
      </c>
      <c r="K101" s="505" t="s">
        <v>2102</v>
      </c>
      <c r="L101" s="505" t="s">
        <v>153</v>
      </c>
      <c r="M101" s="327"/>
      <c r="N101" s="125"/>
      <c r="O101" s="125"/>
    </row>
    <row r="102" spans="1:15" s="399" customFormat="1" ht="15">
      <c r="A102" s="515">
        <v>45966</v>
      </c>
      <c r="B102" s="505" t="s">
        <v>4170</v>
      </c>
      <c r="C102" s="505" t="s">
        <v>170</v>
      </c>
      <c r="D102" s="505" t="s">
        <v>116</v>
      </c>
      <c r="E102" s="518">
        <v>5000</v>
      </c>
      <c r="F102" s="502">
        <f t="shared" si="2"/>
        <v>9.3720185266062224</v>
      </c>
      <c r="G102" s="503">
        <v>533.50300000000004</v>
      </c>
      <c r="H102" s="505" t="s">
        <v>581</v>
      </c>
      <c r="I102" s="505" t="s">
        <v>4216</v>
      </c>
      <c r="J102" s="505" t="s">
        <v>96</v>
      </c>
      <c r="K102" s="505" t="s">
        <v>2102</v>
      </c>
      <c r="L102" s="505" t="s">
        <v>153</v>
      </c>
      <c r="M102" s="327"/>
      <c r="N102" s="125"/>
      <c r="O102" s="125"/>
    </row>
    <row r="103" spans="1:15" s="399" customFormat="1" ht="15">
      <c r="A103" s="515">
        <v>45966</v>
      </c>
      <c r="B103" s="505" t="s">
        <v>4171</v>
      </c>
      <c r="C103" s="505" t="s">
        <v>170</v>
      </c>
      <c r="D103" s="505" t="s">
        <v>116</v>
      </c>
      <c r="E103" s="518">
        <v>5000</v>
      </c>
      <c r="F103" s="502">
        <f t="shared" si="2"/>
        <v>9.3720185266062224</v>
      </c>
      <c r="G103" s="503">
        <v>533.50300000000004</v>
      </c>
      <c r="H103" s="505" t="s">
        <v>581</v>
      </c>
      <c r="I103" s="505" t="s">
        <v>4216</v>
      </c>
      <c r="J103" s="505" t="s">
        <v>96</v>
      </c>
      <c r="K103" s="505" t="s">
        <v>2102</v>
      </c>
      <c r="L103" s="505" t="s">
        <v>153</v>
      </c>
      <c r="M103" s="327"/>
      <c r="N103" s="327"/>
      <c r="O103" s="327"/>
    </row>
    <row r="104" spans="1:15" s="399" customFormat="1" ht="15">
      <c r="A104" s="515">
        <v>45966</v>
      </c>
      <c r="B104" s="505" t="s">
        <v>4172</v>
      </c>
      <c r="C104" s="505" t="s">
        <v>170</v>
      </c>
      <c r="D104" s="505" t="s">
        <v>116</v>
      </c>
      <c r="E104" s="518">
        <v>1000</v>
      </c>
      <c r="F104" s="502">
        <f t="shared" si="2"/>
        <v>1.8744037053212446</v>
      </c>
      <c r="G104" s="503">
        <v>533.50300000000004</v>
      </c>
      <c r="H104" s="505" t="s">
        <v>581</v>
      </c>
      <c r="I104" s="505" t="s">
        <v>4216</v>
      </c>
      <c r="J104" s="505" t="s">
        <v>96</v>
      </c>
      <c r="K104" s="505" t="s">
        <v>2102</v>
      </c>
      <c r="L104" s="505" t="s">
        <v>153</v>
      </c>
      <c r="M104" s="327"/>
      <c r="N104" s="327"/>
      <c r="O104" s="327"/>
    </row>
    <row r="105" spans="1:15" s="399" customFormat="1" ht="15">
      <c r="A105" s="515">
        <v>45966</v>
      </c>
      <c r="B105" s="505" t="s">
        <v>4173</v>
      </c>
      <c r="C105" s="505" t="s">
        <v>170</v>
      </c>
      <c r="D105" s="505" t="s">
        <v>116</v>
      </c>
      <c r="E105" s="518">
        <v>3500</v>
      </c>
      <c r="F105" s="502">
        <f t="shared" si="2"/>
        <v>6.5604129686243562</v>
      </c>
      <c r="G105" s="503">
        <v>533.50300000000004</v>
      </c>
      <c r="H105" s="505" t="s">
        <v>581</v>
      </c>
      <c r="I105" s="505" t="s">
        <v>4216</v>
      </c>
      <c r="J105" s="505" t="s">
        <v>96</v>
      </c>
      <c r="K105" s="505" t="s">
        <v>2102</v>
      </c>
      <c r="L105" s="505" t="s">
        <v>153</v>
      </c>
      <c r="M105" s="327"/>
      <c r="N105" s="327"/>
      <c r="O105" s="327"/>
    </row>
    <row r="106" spans="1:15" s="399" customFormat="1" ht="15">
      <c r="A106" s="517">
        <v>45966</v>
      </c>
      <c r="B106" s="505" t="s">
        <v>4174</v>
      </c>
      <c r="C106" s="505" t="s">
        <v>172</v>
      </c>
      <c r="D106" s="505" t="s">
        <v>116</v>
      </c>
      <c r="E106" s="518">
        <v>1000</v>
      </c>
      <c r="F106" s="502">
        <f t="shared" si="2"/>
        <v>1.8744037053212446</v>
      </c>
      <c r="G106" s="503">
        <v>533.50300000000004</v>
      </c>
      <c r="H106" s="505" t="s">
        <v>581</v>
      </c>
      <c r="I106" s="505" t="s">
        <v>4213</v>
      </c>
      <c r="J106" s="505" t="s">
        <v>96</v>
      </c>
      <c r="K106" s="505" t="s">
        <v>2102</v>
      </c>
      <c r="L106" s="505" t="s">
        <v>153</v>
      </c>
      <c r="M106" s="125"/>
      <c r="N106" s="125"/>
      <c r="O106" s="125"/>
    </row>
    <row r="107" spans="1:15" s="399" customFormat="1" ht="15">
      <c r="A107" s="517">
        <v>45966</v>
      </c>
      <c r="B107" s="505" t="s">
        <v>3382</v>
      </c>
      <c r="C107" s="505" t="s">
        <v>172</v>
      </c>
      <c r="D107" s="505" t="s">
        <v>116</v>
      </c>
      <c r="E107" s="518">
        <v>1000</v>
      </c>
      <c r="F107" s="502">
        <f t="shared" si="2"/>
        <v>1.8744037053212446</v>
      </c>
      <c r="G107" s="503">
        <v>533.50300000000004</v>
      </c>
      <c r="H107" s="505" t="s">
        <v>581</v>
      </c>
      <c r="I107" s="505" t="s">
        <v>4213</v>
      </c>
      <c r="J107" s="505" t="s">
        <v>96</v>
      </c>
      <c r="K107" s="505" t="s">
        <v>2102</v>
      </c>
      <c r="L107" s="505" t="s">
        <v>153</v>
      </c>
      <c r="M107" s="125"/>
      <c r="N107" s="125"/>
      <c r="O107" s="125"/>
    </row>
    <row r="108" spans="1:15" s="399" customFormat="1" ht="15">
      <c r="A108" s="517">
        <v>45966</v>
      </c>
      <c r="B108" s="505" t="s">
        <v>4175</v>
      </c>
      <c r="C108" s="505" t="s">
        <v>172</v>
      </c>
      <c r="D108" s="505" t="s">
        <v>116</v>
      </c>
      <c r="E108" s="518">
        <v>1000</v>
      </c>
      <c r="F108" s="502">
        <f t="shared" si="2"/>
        <v>1.8744037053212446</v>
      </c>
      <c r="G108" s="503">
        <v>533.50300000000004</v>
      </c>
      <c r="H108" s="505" t="s">
        <v>581</v>
      </c>
      <c r="I108" s="505" t="s">
        <v>4213</v>
      </c>
      <c r="J108" s="505" t="s">
        <v>96</v>
      </c>
      <c r="K108" s="505" t="s">
        <v>2102</v>
      </c>
      <c r="L108" s="505" t="s">
        <v>153</v>
      </c>
      <c r="M108" s="125"/>
      <c r="N108" s="125"/>
      <c r="O108" s="125"/>
    </row>
    <row r="109" spans="1:15" s="399" customFormat="1" ht="15">
      <c r="A109" s="517">
        <v>45966</v>
      </c>
      <c r="B109" s="505" t="s">
        <v>4176</v>
      </c>
      <c r="C109" s="505" t="s">
        <v>172</v>
      </c>
      <c r="D109" s="505" t="s">
        <v>116</v>
      </c>
      <c r="E109" s="518">
        <v>1000</v>
      </c>
      <c r="F109" s="502">
        <f t="shared" si="2"/>
        <v>1.8744037053212446</v>
      </c>
      <c r="G109" s="503">
        <v>533.50300000000004</v>
      </c>
      <c r="H109" s="505" t="s">
        <v>581</v>
      </c>
      <c r="I109" s="505" t="s">
        <v>4213</v>
      </c>
      <c r="J109" s="505" t="s">
        <v>96</v>
      </c>
      <c r="K109" s="505" t="s">
        <v>2102</v>
      </c>
      <c r="L109" s="505" t="s">
        <v>153</v>
      </c>
      <c r="M109" s="125"/>
      <c r="N109" s="125"/>
      <c r="O109" s="125"/>
    </row>
    <row r="110" spans="1:15" s="399" customFormat="1" ht="15">
      <c r="A110" s="515">
        <v>45966</v>
      </c>
      <c r="B110" s="505" t="s">
        <v>4339</v>
      </c>
      <c r="C110" s="505" t="s">
        <v>263</v>
      </c>
      <c r="D110" s="505" t="s">
        <v>2417</v>
      </c>
      <c r="E110" s="518">
        <v>25000</v>
      </c>
      <c r="F110" s="502">
        <f t="shared" si="2"/>
        <v>46.860092633031115</v>
      </c>
      <c r="G110" s="503">
        <v>533.50300000000004</v>
      </c>
      <c r="H110" s="505" t="s">
        <v>188</v>
      </c>
      <c r="I110" s="505" t="s">
        <v>4365</v>
      </c>
      <c r="J110" s="505" t="s">
        <v>96</v>
      </c>
      <c r="K110" s="505" t="s">
        <v>2102</v>
      </c>
      <c r="L110" s="505" t="s">
        <v>153</v>
      </c>
      <c r="M110" s="327"/>
      <c r="N110" s="327"/>
      <c r="O110" s="327"/>
    </row>
    <row r="111" spans="1:15" s="399" customFormat="1" ht="15">
      <c r="A111" s="515">
        <v>45966</v>
      </c>
      <c r="B111" s="505" t="s">
        <v>3649</v>
      </c>
      <c r="C111" s="505" t="s">
        <v>172</v>
      </c>
      <c r="D111" s="505" t="s">
        <v>115</v>
      </c>
      <c r="E111" s="530">
        <v>500</v>
      </c>
      <c r="F111" s="502">
        <f t="shared" si="2"/>
        <v>0.93720185266062228</v>
      </c>
      <c r="G111" s="503">
        <v>533.50300000000004</v>
      </c>
      <c r="H111" s="505" t="s">
        <v>191</v>
      </c>
      <c r="I111" s="505" t="s">
        <v>4405</v>
      </c>
      <c r="J111" s="505" t="s">
        <v>96</v>
      </c>
      <c r="K111" s="505" t="s">
        <v>2102</v>
      </c>
      <c r="L111" s="505" t="s">
        <v>153</v>
      </c>
      <c r="M111" s="327"/>
      <c r="N111" s="327"/>
      <c r="O111" s="327"/>
    </row>
    <row r="112" spans="1:15" s="399" customFormat="1" ht="15">
      <c r="A112" s="515">
        <v>45966</v>
      </c>
      <c r="B112" s="505" t="s">
        <v>4391</v>
      </c>
      <c r="C112" s="505" t="s">
        <v>3317</v>
      </c>
      <c r="D112" s="505" t="s">
        <v>115</v>
      </c>
      <c r="E112" s="530">
        <v>1500</v>
      </c>
      <c r="F112" s="502">
        <f t="shared" si="2"/>
        <v>2.8116055579818666</v>
      </c>
      <c r="G112" s="503">
        <v>533.50300000000004</v>
      </c>
      <c r="H112" s="505" t="s">
        <v>191</v>
      </c>
      <c r="I112" s="505" t="s">
        <v>4409</v>
      </c>
      <c r="J112" s="505" t="s">
        <v>96</v>
      </c>
      <c r="K112" s="505" t="s">
        <v>2102</v>
      </c>
      <c r="L112" s="505" t="s">
        <v>153</v>
      </c>
      <c r="M112" s="327"/>
      <c r="N112" s="327"/>
      <c r="O112" s="327"/>
    </row>
    <row r="113" spans="1:15" s="399" customFormat="1" ht="15">
      <c r="A113" s="515">
        <v>45966</v>
      </c>
      <c r="B113" s="505" t="s">
        <v>4386</v>
      </c>
      <c r="C113" s="505" t="s">
        <v>172</v>
      </c>
      <c r="D113" s="505" t="s">
        <v>115</v>
      </c>
      <c r="E113" s="530">
        <v>500</v>
      </c>
      <c r="F113" s="502">
        <f t="shared" si="2"/>
        <v>0.93720185266062228</v>
      </c>
      <c r="G113" s="503">
        <v>533.50300000000004</v>
      </c>
      <c r="H113" s="505" t="s">
        <v>191</v>
      </c>
      <c r="I113" s="505" t="s">
        <v>4405</v>
      </c>
      <c r="J113" s="505" t="s">
        <v>96</v>
      </c>
      <c r="K113" s="505" t="s">
        <v>2102</v>
      </c>
      <c r="L113" s="505" t="s">
        <v>153</v>
      </c>
      <c r="M113" s="327"/>
      <c r="N113" s="327"/>
      <c r="O113" s="327"/>
    </row>
    <row r="114" spans="1:15" s="399" customFormat="1" ht="15">
      <c r="A114" s="515">
        <v>45966</v>
      </c>
      <c r="B114" s="505" t="s">
        <v>4390</v>
      </c>
      <c r="C114" s="505" t="s">
        <v>172</v>
      </c>
      <c r="D114" s="505" t="s">
        <v>115</v>
      </c>
      <c r="E114" s="530">
        <v>500</v>
      </c>
      <c r="F114" s="502">
        <f t="shared" si="2"/>
        <v>0.93720185266062228</v>
      </c>
      <c r="G114" s="503">
        <v>533.50300000000004</v>
      </c>
      <c r="H114" s="505" t="s">
        <v>191</v>
      </c>
      <c r="I114" s="505" t="s">
        <v>4405</v>
      </c>
      <c r="J114" s="505" t="s">
        <v>96</v>
      </c>
      <c r="K114" s="505" t="s">
        <v>2102</v>
      </c>
      <c r="L114" s="505" t="s">
        <v>153</v>
      </c>
      <c r="M114" s="327"/>
      <c r="N114" s="327"/>
      <c r="O114" s="327"/>
    </row>
    <row r="115" spans="1:15" s="399" customFormat="1" ht="15">
      <c r="A115" s="515">
        <v>45966</v>
      </c>
      <c r="B115" s="505" t="s">
        <v>3649</v>
      </c>
      <c r="C115" s="505" t="s">
        <v>172</v>
      </c>
      <c r="D115" s="505" t="s">
        <v>115</v>
      </c>
      <c r="E115" s="530">
        <v>500</v>
      </c>
      <c r="F115" s="502">
        <f t="shared" si="2"/>
        <v>0.93720185266062228</v>
      </c>
      <c r="G115" s="503">
        <v>533.50300000000004</v>
      </c>
      <c r="H115" s="505" t="s">
        <v>191</v>
      </c>
      <c r="I115" s="505" t="s">
        <v>4405</v>
      </c>
      <c r="J115" s="505" t="s">
        <v>96</v>
      </c>
      <c r="K115" s="505" t="s">
        <v>2102</v>
      </c>
      <c r="L115" s="505" t="s">
        <v>153</v>
      </c>
      <c r="M115" s="327"/>
      <c r="N115" s="125"/>
      <c r="O115" s="125"/>
    </row>
    <row r="116" spans="1:15" s="399" customFormat="1" ht="15">
      <c r="A116" s="515">
        <v>45966</v>
      </c>
      <c r="B116" s="505" t="s">
        <v>4392</v>
      </c>
      <c r="C116" s="505" t="s">
        <v>3317</v>
      </c>
      <c r="D116" s="505" t="s">
        <v>115</v>
      </c>
      <c r="E116" s="530">
        <v>1500</v>
      </c>
      <c r="F116" s="502">
        <f t="shared" si="2"/>
        <v>2.8116055579818666</v>
      </c>
      <c r="G116" s="503">
        <v>533.50300000000004</v>
      </c>
      <c r="H116" s="505" t="s">
        <v>191</v>
      </c>
      <c r="I116" s="505" t="s">
        <v>4409</v>
      </c>
      <c r="J116" s="505" t="s">
        <v>96</v>
      </c>
      <c r="K116" s="505" t="s">
        <v>2102</v>
      </c>
      <c r="L116" s="505" t="s">
        <v>153</v>
      </c>
      <c r="M116" s="327"/>
      <c r="N116" s="327"/>
      <c r="O116" s="327"/>
    </row>
    <row r="117" spans="1:15" s="399" customFormat="1" ht="15">
      <c r="A117" s="515">
        <v>45966</v>
      </c>
      <c r="B117" s="505" t="s">
        <v>4386</v>
      </c>
      <c r="C117" s="505" t="s">
        <v>172</v>
      </c>
      <c r="D117" s="505" t="s">
        <v>115</v>
      </c>
      <c r="E117" s="530">
        <v>500</v>
      </c>
      <c r="F117" s="502">
        <f t="shared" si="2"/>
        <v>0.93720185266062228</v>
      </c>
      <c r="G117" s="503">
        <v>533.50300000000004</v>
      </c>
      <c r="H117" s="505" t="s">
        <v>191</v>
      </c>
      <c r="I117" s="505" t="s">
        <v>4405</v>
      </c>
      <c r="J117" s="505" t="s">
        <v>96</v>
      </c>
      <c r="K117" s="505" t="s">
        <v>2102</v>
      </c>
      <c r="L117" s="505" t="s">
        <v>153</v>
      </c>
      <c r="M117" s="327"/>
      <c r="N117" s="327"/>
      <c r="O117" s="327"/>
    </row>
    <row r="118" spans="1:15" s="399" customFormat="1" ht="15">
      <c r="A118" s="515">
        <v>45966</v>
      </c>
      <c r="B118" s="505" t="s">
        <v>4390</v>
      </c>
      <c r="C118" s="505" t="s">
        <v>172</v>
      </c>
      <c r="D118" s="505" t="s">
        <v>115</v>
      </c>
      <c r="E118" s="530">
        <v>500</v>
      </c>
      <c r="F118" s="502">
        <f t="shared" si="2"/>
        <v>0.93720185266062228</v>
      </c>
      <c r="G118" s="503">
        <v>533.50300000000004</v>
      </c>
      <c r="H118" s="505" t="s">
        <v>191</v>
      </c>
      <c r="I118" s="505" t="s">
        <v>4405</v>
      </c>
      <c r="J118" s="505" t="s">
        <v>96</v>
      </c>
      <c r="K118" s="505" t="s">
        <v>2102</v>
      </c>
      <c r="L118" s="505" t="s">
        <v>153</v>
      </c>
      <c r="M118" s="327"/>
      <c r="N118" s="327"/>
      <c r="O118" s="327"/>
    </row>
    <row r="119" spans="1:15" s="399" customFormat="1" ht="15">
      <c r="A119" s="515">
        <v>45966</v>
      </c>
      <c r="B119" s="505" t="s">
        <v>4339</v>
      </c>
      <c r="C119" s="505" t="s">
        <v>263</v>
      </c>
      <c r="D119" s="505" t="s">
        <v>2417</v>
      </c>
      <c r="E119" s="518">
        <v>25000</v>
      </c>
      <c r="F119" s="502">
        <f t="shared" si="2"/>
        <v>46.860092633031115</v>
      </c>
      <c r="G119" s="503">
        <v>533.50300000000004</v>
      </c>
      <c r="H119" s="505" t="s">
        <v>211</v>
      </c>
      <c r="I119" s="505" t="s">
        <v>4565</v>
      </c>
      <c r="J119" s="505" t="s">
        <v>96</v>
      </c>
      <c r="K119" s="505" t="s">
        <v>2102</v>
      </c>
      <c r="L119" s="505" t="s">
        <v>153</v>
      </c>
      <c r="M119" s="327"/>
      <c r="N119" s="327"/>
      <c r="O119" s="327"/>
    </row>
    <row r="120" spans="1:15" s="399" customFormat="1" ht="15">
      <c r="A120" s="531">
        <v>45966</v>
      </c>
      <c r="B120" s="514" t="s">
        <v>4487</v>
      </c>
      <c r="C120" s="514" t="s">
        <v>172</v>
      </c>
      <c r="D120" s="514" t="s">
        <v>118</v>
      </c>
      <c r="E120" s="518">
        <v>1000</v>
      </c>
      <c r="F120" s="502">
        <f t="shared" si="2"/>
        <v>1.8744037053212446</v>
      </c>
      <c r="G120" s="503">
        <v>533.50300000000004</v>
      </c>
      <c r="H120" s="514" t="s">
        <v>211</v>
      </c>
      <c r="I120" s="514" t="s">
        <v>4559</v>
      </c>
      <c r="J120" s="505" t="s">
        <v>96</v>
      </c>
      <c r="K120" s="505" t="s">
        <v>2102</v>
      </c>
      <c r="L120" s="505" t="s">
        <v>153</v>
      </c>
      <c r="M120" s="327"/>
      <c r="N120" s="327"/>
      <c r="O120" s="327"/>
    </row>
    <row r="121" spans="1:15" s="399" customFormat="1" ht="15">
      <c r="A121" s="531">
        <v>45966</v>
      </c>
      <c r="B121" s="514" t="s">
        <v>4488</v>
      </c>
      <c r="C121" s="514" t="s">
        <v>172</v>
      </c>
      <c r="D121" s="514" t="s">
        <v>118</v>
      </c>
      <c r="E121" s="518">
        <v>1000</v>
      </c>
      <c r="F121" s="502">
        <f t="shared" si="2"/>
        <v>1.8744037053212446</v>
      </c>
      <c r="G121" s="503">
        <v>533.50300000000004</v>
      </c>
      <c r="H121" s="514" t="s">
        <v>211</v>
      </c>
      <c r="I121" s="514" t="s">
        <v>4559</v>
      </c>
      <c r="J121" s="505" t="s">
        <v>96</v>
      </c>
      <c r="K121" s="505" t="s">
        <v>2102</v>
      </c>
      <c r="L121" s="505" t="s">
        <v>153</v>
      </c>
      <c r="M121" s="327"/>
      <c r="N121" s="327"/>
      <c r="O121" s="327"/>
    </row>
    <row r="122" spans="1:15" s="399" customFormat="1" ht="15">
      <c r="A122" s="531">
        <v>45966</v>
      </c>
      <c r="B122" s="514" t="s">
        <v>4489</v>
      </c>
      <c r="C122" s="514" t="s">
        <v>172</v>
      </c>
      <c r="D122" s="514" t="s">
        <v>118</v>
      </c>
      <c r="E122" s="518">
        <v>1000</v>
      </c>
      <c r="F122" s="502">
        <f t="shared" si="2"/>
        <v>1.8744037053212446</v>
      </c>
      <c r="G122" s="503">
        <v>533.50300000000004</v>
      </c>
      <c r="H122" s="514" t="s">
        <v>211</v>
      </c>
      <c r="I122" s="514" t="s">
        <v>4559</v>
      </c>
      <c r="J122" s="505" t="s">
        <v>96</v>
      </c>
      <c r="K122" s="505" t="s">
        <v>2102</v>
      </c>
      <c r="L122" s="505" t="s">
        <v>153</v>
      </c>
      <c r="M122" s="327"/>
      <c r="N122" s="327"/>
      <c r="O122" s="327"/>
    </row>
    <row r="123" spans="1:15" s="399" customFormat="1" ht="15">
      <c r="A123" s="531">
        <v>45966</v>
      </c>
      <c r="B123" s="514" t="s">
        <v>4490</v>
      </c>
      <c r="C123" s="514" t="s">
        <v>172</v>
      </c>
      <c r="D123" s="514" t="s">
        <v>118</v>
      </c>
      <c r="E123" s="518">
        <v>1000</v>
      </c>
      <c r="F123" s="502">
        <f t="shared" si="2"/>
        <v>1.8744037053212446</v>
      </c>
      <c r="G123" s="503">
        <v>533.50300000000004</v>
      </c>
      <c r="H123" s="514" t="s">
        <v>211</v>
      </c>
      <c r="I123" s="514" t="s">
        <v>4559</v>
      </c>
      <c r="J123" s="505" t="s">
        <v>96</v>
      </c>
      <c r="K123" s="505" t="s">
        <v>2102</v>
      </c>
      <c r="L123" s="505" t="s">
        <v>153</v>
      </c>
      <c r="M123" s="327"/>
      <c r="N123" s="327"/>
      <c r="O123" s="327"/>
    </row>
    <row r="124" spans="1:15" s="399" customFormat="1" ht="15">
      <c r="A124" s="531">
        <v>45966</v>
      </c>
      <c r="B124" s="514" t="s">
        <v>4491</v>
      </c>
      <c r="C124" s="514" t="s">
        <v>172</v>
      </c>
      <c r="D124" s="514" t="s">
        <v>118</v>
      </c>
      <c r="E124" s="518">
        <v>1000</v>
      </c>
      <c r="F124" s="502">
        <f t="shared" si="2"/>
        <v>1.8744037053212446</v>
      </c>
      <c r="G124" s="503">
        <v>533.50300000000004</v>
      </c>
      <c r="H124" s="514" t="s">
        <v>211</v>
      </c>
      <c r="I124" s="514" t="s">
        <v>4559</v>
      </c>
      <c r="J124" s="505" t="s">
        <v>96</v>
      </c>
      <c r="K124" s="505" t="s">
        <v>2102</v>
      </c>
      <c r="L124" s="505" t="s">
        <v>153</v>
      </c>
      <c r="M124" s="327"/>
      <c r="N124" s="327"/>
      <c r="O124" s="327"/>
    </row>
    <row r="125" spans="1:15" s="399" customFormat="1" ht="15">
      <c r="A125" s="531">
        <v>45966</v>
      </c>
      <c r="B125" s="514" t="s">
        <v>4492</v>
      </c>
      <c r="C125" s="514" t="s">
        <v>172</v>
      </c>
      <c r="D125" s="514" t="s">
        <v>118</v>
      </c>
      <c r="E125" s="518">
        <v>1000</v>
      </c>
      <c r="F125" s="502">
        <f t="shared" si="2"/>
        <v>1.8744037053212446</v>
      </c>
      <c r="G125" s="503">
        <v>533.50300000000004</v>
      </c>
      <c r="H125" s="514" t="s">
        <v>211</v>
      </c>
      <c r="I125" s="514" t="s">
        <v>4559</v>
      </c>
      <c r="J125" s="505" t="s">
        <v>96</v>
      </c>
      <c r="K125" s="505" t="s">
        <v>2102</v>
      </c>
      <c r="L125" s="505" t="s">
        <v>153</v>
      </c>
      <c r="M125" s="327"/>
      <c r="N125" s="327"/>
      <c r="O125" s="327"/>
    </row>
    <row r="126" spans="1:15" s="399" customFormat="1" ht="15">
      <c r="A126" s="531">
        <v>45966</v>
      </c>
      <c r="B126" s="514" t="s">
        <v>4493</v>
      </c>
      <c r="C126" s="514" t="s">
        <v>172</v>
      </c>
      <c r="D126" s="514" t="s">
        <v>118</v>
      </c>
      <c r="E126" s="518">
        <v>1000</v>
      </c>
      <c r="F126" s="502">
        <f t="shared" si="2"/>
        <v>1.8744037053212446</v>
      </c>
      <c r="G126" s="503">
        <v>533.50300000000004</v>
      </c>
      <c r="H126" s="514" t="s">
        <v>211</v>
      </c>
      <c r="I126" s="514" t="s">
        <v>4559</v>
      </c>
      <c r="J126" s="505" t="s">
        <v>96</v>
      </c>
      <c r="K126" s="505" t="s">
        <v>2102</v>
      </c>
      <c r="L126" s="505" t="s">
        <v>153</v>
      </c>
      <c r="M126" s="327"/>
      <c r="N126" s="327"/>
      <c r="O126" s="327"/>
    </row>
    <row r="127" spans="1:15" s="399" customFormat="1" ht="15">
      <c r="A127" s="531">
        <v>45966</v>
      </c>
      <c r="B127" s="514" t="s">
        <v>3118</v>
      </c>
      <c r="C127" s="514" t="s">
        <v>172</v>
      </c>
      <c r="D127" s="514" t="s">
        <v>118</v>
      </c>
      <c r="E127" s="518">
        <v>1000</v>
      </c>
      <c r="F127" s="502">
        <f t="shared" si="2"/>
        <v>1.8744037053212446</v>
      </c>
      <c r="G127" s="503">
        <v>533.50300000000004</v>
      </c>
      <c r="H127" s="514" t="s">
        <v>211</v>
      </c>
      <c r="I127" s="514" t="s">
        <v>4559</v>
      </c>
      <c r="J127" s="505" t="s">
        <v>96</v>
      </c>
      <c r="K127" s="505" t="s">
        <v>2102</v>
      </c>
      <c r="L127" s="505" t="s">
        <v>153</v>
      </c>
      <c r="M127" s="327"/>
      <c r="N127" s="327"/>
      <c r="O127" s="327"/>
    </row>
    <row r="128" spans="1:15" s="399" customFormat="1" ht="15">
      <c r="A128" s="531">
        <v>45966</v>
      </c>
      <c r="B128" s="514" t="s">
        <v>4494</v>
      </c>
      <c r="C128" s="514" t="s">
        <v>172</v>
      </c>
      <c r="D128" s="514" t="s">
        <v>118</v>
      </c>
      <c r="E128" s="518">
        <v>1000</v>
      </c>
      <c r="F128" s="502">
        <f t="shared" si="2"/>
        <v>1.8744037053212446</v>
      </c>
      <c r="G128" s="503">
        <v>533.50300000000004</v>
      </c>
      <c r="H128" s="514" t="s">
        <v>211</v>
      </c>
      <c r="I128" s="514" t="s">
        <v>4559</v>
      </c>
      <c r="J128" s="505" t="s">
        <v>96</v>
      </c>
      <c r="K128" s="505" t="s">
        <v>2102</v>
      </c>
      <c r="L128" s="505" t="s">
        <v>153</v>
      </c>
      <c r="M128" s="327"/>
      <c r="N128" s="327"/>
      <c r="O128" s="327"/>
    </row>
    <row r="129" spans="1:15" s="399" customFormat="1" ht="15">
      <c r="A129" s="531">
        <v>45966</v>
      </c>
      <c r="B129" s="514" t="s">
        <v>3859</v>
      </c>
      <c r="C129" s="514" t="s">
        <v>172</v>
      </c>
      <c r="D129" s="514" t="s">
        <v>118</v>
      </c>
      <c r="E129" s="518">
        <v>1000</v>
      </c>
      <c r="F129" s="502">
        <f t="shared" si="2"/>
        <v>1.8744037053212446</v>
      </c>
      <c r="G129" s="503">
        <v>533.50300000000004</v>
      </c>
      <c r="H129" s="514" t="s">
        <v>211</v>
      </c>
      <c r="I129" s="514" t="s">
        <v>4559</v>
      </c>
      <c r="J129" s="505" t="s">
        <v>96</v>
      </c>
      <c r="K129" s="505" t="s">
        <v>2102</v>
      </c>
      <c r="L129" s="505" t="s">
        <v>153</v>
      </c>
      <c r="M129" s="327"/>
      <c r="N129" s="125"/>
      <c r="O129" s="125"/>
    </row>
    <row r="130" spans="1:15" s="399" customFormat="1" ht="15">
      <c r="A130" s="531">
        <v>45966</v>
      </c>
      <c r="B130" s="514" t="s">
        <v>3145</v>
      </c>
      <c r="C130" s="514" t="s">
        <v>172</v>
      </c>
      <c r="D130" s="514" t="s">
        <v>118</v>
      </c>
      <c r="E130" s="518">
        <v>1000</v>
      </c>
      <c r="F130" s="502">
        <f t="shared" si="2"/>
        <v>1.8744037053212446</v>
      </c>
      <c r="G130" s="503">
        <v>533.50300000000004</v>
      </c>
      <c r="H130" s="514" t="s">
        <v>211</v>
      </c>
      <c r="I130" s="514" t="s">
        <v>4559</v>
      </c>
      <c r="J130" s="505" t="s">
        <v>96</v>
      </c>
      <c r="K130" s="505" t="s">
        <v>2102</v>
      </c>
      <c r="L130" s="505" t="s">
        <v>153</v>
      </c>
      <c r="M130" s="327"/>
      <c r="N130" s="125"/>
      <c r="O130" s="125"/>
    </row>
    <row r="131" spans="1:15" s="399" customFormat="1" ht="15">
      <c r="A131" s="515">
        <v>45966</v>
      </c>
      <c r="B131" s="505" t="s">
        <v>4582</v>
      </c>
      <c r="C131" s="505" t="s">
        <v>175</v>
      </c>
      <c r="D131" s="505" t="s">
        <v>115</v>
      </c>
      <c r="E131" s="505">
        <v>15000</v>
      </c>
      <c r="F131" s="502">
        <f t="shared" si="2"/>
        <v>28.116055579818667</v>
      </c>
      <c r="G131" s="503">
        <v>533.50300000000004</v>
      </c>
      <c r="H131" s="505" t="s">
        <v>185</v>
      </c>
      <c r="I131" s="505" t="s">
        <v>4634</v>
      </c>
      <c r="J131" s="505" t="s">
        <v>96</v>
      </c>
      <c r="K131" s="505" t="s">
        <v>2102</v>
      </c>
      <c r="L131" s="505" t="s">
        <v>153</v>
      </c>
      <c r="M131" s="125"/>
      <c r="N131" s="125"/>
      <c r="O131" s="125"/>
    </row>
    <row r="132" spans="1:15" s="399" customFormat="1" ht="15">
      <c r="A132" s="515">
        <v>45966</v>
      </c>
      <c r="B132" s="505" t="s">
        <v>4583</v>
      </c>
      <c r="C132" s="505" t="s">
        <v>172</v>
      </c>
      <c r="D132" s="505" t="s">
        <v>115</v>
      </c>
      <c r="E132" s="505">
        <v>500</v>
      </c>
      <c r="F132" s="502">
        <f t="shared" si="2"/>
        <v>0.93720185266062228</v>
      </c>
      <c r="G132" s="503">
        <v>533.50300000000004</v>
      </c>
      <c r="H132" s="505" t="s">
        <v>185</v>
      </c>
      <c r="I132" s="505" t="s">
        <v>4631</v>
      </c>
      <c r="J132" s="505" t="s">
        <v>96</v>
      </c>
      <c r="K132" s="505" t="s">
        <v>2102</v>
      </c>
      <c r="L132" s="505" t="s">
        <v>153</v>
      </c>
      <c r="M132" s="125"/>
      <c r="N132" s="125"/>
      <c r="O132" s="125"/>
    </row>
    <row r="133" spans="1:15" s="399" customFormat="1" ht="15">
      <c r="A133" s="515">
        <v>45966</v>
      </c>
      <c r="B133" s="505" t="s">
        <v>4584</v>
      </c>
      <c r="C133" s="505" t="s">
        <v>172</v>
      </c>
      <c r="D133" s="505" t="s">
        <v>115</v>
      </c>
      <c r="E133" s="505">
        <v>3000</v>
      </c>
      <c r="F133" s="502">
        <f t="shared" si="2"/>
        <v>5.6232111159637332</v>
      </c>
      <c r="G133" s="503">
        <v>533.50300000000004</v>
      </c>
      <c r="H133" s="505" t="s">
        <v>185</v>
      </c>
      <c r="I133" s="505" t="s">
        <v>4631</v>
      </c>
      <c r="J133" s="505" t="s">
        <v>96</v>
      </c>
      <c r="K133" s="505" t="s">
        <v>2102</v>
      </c>
      <c r="L133" s="505" t="s">
        <v>153</v>
      </c>
      <c r="M133" s="327"/>
      <c r="N133" s="327"/>
      <c r="O133" s="327"/>
    </row>
    <row r="134" spans="1:15" s="399" customFormat="1" ht="15">
      <c r="A134" s="543">
        <v>45966</v>
      </c>
      <c r="B134" s="505" t="s">
        <v>4702</v>
      </c>
      <c r="C134" s="505" t="s">
        <v>302</v>
      </c>
      <c r="D134" s="546" t="s">
        <v>116</v>
      </c>
      <c r="E134" s="518">
        <v>260000</v>
      </c>
      <c r="F134" s="502">
        <f t="shared" si="2"/>
        <v>487.34496338352358</v>
      </c>
      <c r="G134" s="503">
        <v>533.50300000000004</v>
      </c>
      <c r="H134" s="125" t="s">
        <v>146</v>
      </c>
      <c r="I134" s="125" t="s">
        <v>4710</v>
      </c>
      <c r="J134" s="505" t="s">
        <v>96</v>
      </c>
      <c r="K134" s="505" t="s">
        <v>2102</v>
      </c>
      <c r="L134" s="505" t="s">
        <v>153</v>
      </c>
      <c r="M134" s="125"/>
      <c r="N134" s="125"/>
      <c r="O134" s="125"/>
    </row>
    <row r="135" spans="1:15" s="399" customFormat="1" ht="15">
      <c r="A135" s="629">
        <v>45967</v>
      </c>
      <c r="B135" s="298" t="s">
        <v>2103</v>
      </c>
      <c r="C135" s="298" t="s">
        <v>172</v>
      </c>
      <c r="D135" s="506" t="s">
        <v>117</v>
      </c>
      <c r="E135" s="630">
        <v>1000</v>
      </c>
      <c r="F135" s="502">
        <f t="shared" si="2"/>
        <v>1.8744037053212446</v>
      </c>
      <c r="G135" s="503">
        <v>533.50300000000004</v>
      </c>
      <c r="H135" s="631" t="s">
        <v>151</v>
      </c>
      <c r="I135" s="298" t="s">
        <v>4133</v>
      </c>
      <c r="J135" s="505" t="s">
        <v>96</v>
      </c>
      <c r="K135" s="505" t="s">
        <v>2102</v>
      </c>
      <c r="L135" s="505" t="s">
        <v>153</v>
      </c>
      <c r="M135" s="327"/>
      <c r="N135" s="327"/>
      <c r="O135" s="327"/>
    </row>
    <row r="136" spans="1:15" s="399" customFormat="1" ht="15">
      <c r="A136" s="629">
        <v>45967</v>
      </c>
      <c r="B136" s="298" t="s">
        <v>2387</v>
      </c>
      <c r="C136" s="298" t="s">
        <v>172</v>
      </c>
      <c r="D136" s="506" t="s">
        <v>117</v>
      </c>
      <c r="E136" s="630">
        <v>1000</v>
      </c>
      <c r="F136" s="502">
        <f t="shared" si="2"/>
        <v>1.8744037053212446</v>
      </c>
      <c r="G136" s="503">
        <v>533.50300000000004</v>
      </c>
      <c r="H136" s="631" t="s">
        <v>151</v>
      </c>
      <c r="I136" s="298" t="s">
        <v>4133</v>
      </c>
      <c r="J136" s="505" t="s">
        <v>96</v>
      </c>
      <c r="K136" s="505" t="s">
        <v>2102</v>
      </c>
      <c r="L136" s="505" t="s">
        <v>153</v>
      </c>
      <c r="M136" s="327"/>
      <c r="N136" s="327"/>
      <c r="O136" s="327"/>
    </row>
    <row r="137" spans="1:15" s="399" customFormat="1" ht="15">
      <c r="A137" s="515">
        <v>45967</v>
      </c>
      <c r="B137" s="505" t="s">
        <v>4177</v>
      </c>
      <c r="C137" s="505" t="s">
        <v>170</v>
      </c>
      <c r="D137" s="505" t="s">
        <v>116</v>
      </c>
      <c r="E137" s="518">
        <v>11000</v>
      </c>
      <c r="F137" s="502">
        <f t="shared" si="2"/>
        <v>20.618440758533691</v>
      </c>
      <c r="G137" s="503">
        <v>533.50300000000004</v>
      </c>
      <c r="H137" s="505" t="s">
        <v>581</v>
      </c>
      <c r="I137" s="505" t="s">
        <v>4217</v>
      </c>
      <c r="J137" s="505" t="s">
        <v>96</v>
      </c>
      <c r="K137" s="505" t="s">
        <v>2102</v>
      </c>
      <c r="L137" s="505" t="s">
        <v>153</v>
      </c>
      <c r="M137" s="327"/>
      <c r="N137" s="327"/>
      <c r="O137" s="327"/>
    </row>
    <row r="138" spans="1:15" s="399" customFormat="1" ht="15">
      <c r="A138" s="515">
        <v>45967</v>
      </c>
      <c r="B138" s="505" t="s">
        <v>4178</v>
      </c>
      <c r="C138" s="505" t="s">
        <v>170</v>
      </c>
      <c r="D138" s="505" t="s">
        <v>116</v>
      </c>
      <c r="E138" s="518">
        <v>5000</v>
      </c>
      <c r="F138" s="502">
        <f t="shared" si="2"/>
        <v>9.3720185266062224</v>
      </c>
      <c r="G138" s="503">
        <v>533.50300000000004</v>
      </c>
      <c r="H138" s="505" t="s">
        <v>581</v>
      </c>
      <c r="I138" s="505" t="s">
        <v>4217</v>
      </c>
      <c r="J138" s="505" t="s">
        <v>96</v>
      </c>
      <c r="K138" s="505" t="s">
        <v>2102</v>
      </c>
      <c r="L138" s="505" t="s">
        <v>153</v>
      </c>
      <c r="M138" s="327"/>
      <c r="N138" s="327"/>
      <c r="O138" s="327"/>
    </row>
    <row r="139" spans="1:15" s="399" customFormat="1" ht="15">
      <c r="A139" s="515">
        <v>45967</v>
      </c>
      <c r="B139" s="505" t="s">
        <v>4179</v>
      </c>
      <c r="C139" s="505" t="s">
        <v>170</v>
      </c>
      <c r="D139" s="505" t="s">
        <v>116</v>
      </c>
      <c r="E139" s="518">
        <v>2750</v>
      </c>
      <c r="F139" s="502">
        <f t="shared" si="2"/>
        <v>5.1546101896334227</v>
      </c>
      <c r="G139" s="503">
        <v>533.50300000000004</v>
      </c>
      <c r="H139" s="505" t="s">
        <v>581</v>
      </c>
      <c r="I139" s="505" t="s">
        <v>4217</v>
      </c>
      <c r="J139" s="505" t="s">
        <v>96</v>
      </c>
      <c r="K139" s="505" t="s">
        <v>2102</v>
      </c>
      <c r="L139" s="505" t="s">
        <v>153</v>
      </c>
      <c r="M139" s="327"/>
      <c r="N139" s="327"/>
      <c r="O139" s="327"/>
    </row>
    <row r="140" spans="1:15" s="399" customFormat="1" ht="15">
      <c r="A140" s="515">
        <v>45967</v>
      </c>
      <c r="B140" s="505" t="s">
        <v>4180</v>
      </c>
      <c r="C140" s="505" t="s">
        <v>170</v>
      </c>
      <c r="D140" s="505" t="s">
        <v>116</v>
      </c>
      <c r="E140" s="518">
        <v>11700</v>
      </c>
      <c r="F140" s="502">
        <f t="shared" si="2"/>
        <v>21.930523352258561</v>
      </c>
      <c r="G140" s="503">
        <v>533.50300000000004</v>
      </c>
      <c r="H140" s="505" t="s">
        <v>581</v>
      </c>
      <c r="I140" s="505" t="s">
        <v>4217</v>
      </c>
      <c r="J140" s="505" t="s">
        <v>96</v>
      </c>
      <c r="K140" s="505" t="s">
        <v>2102</v>
      </c>
      <c r="L140" s="505" t="s">
        <v>153</v>
      </c>
      <c r="M140" s="327"/>
      <c r="N140" s="327"/>
      <c r="O140" s="327"/>
    </row>
    <row r="141" spans="1:15" s="399" customFormat="1" ht="15">
      <c r="A141" s="515">
        <v>45967</v>
      </c>
      <c r="B141" s="550" t="s">
        <v>4181</v>
      </c>
      <c r="C141" s="505" t="s">
        <v>170</v>
      </c>
      <c r="D141" s="505" t="s">
        <v>116</v>
      </c>
      <c r="E141" s="518">
        <v>4000</v>
      </c>
      <c r="F141" s="502">
        <f t="shared" si="2"/>
        <v>7.4976148212849782</v>
      </c>
      <c r="G141" s="503">
        <v>533.50300000000004</v>
      </c>
      <c r="H141" s="505" t="s">
        <v>581</v>
      </c>
      <c r="I141" s="505" t="s">
        <v>4217</v>
      </c>
      <c r="J141" s="505" t="s">
        <v>96</v>
      </c>
      <c r="K141" s="505" t="s">
        <v>2102</v>
      </c>
      <c r="L141" s="505" t="s">
        <v>153</v>
      </c>
      <c r="M141" s="327"/>
      <c r="N141" s="327"/>
      <c r="O141" s="327"/>
    </row>
    <row r="142" spans="1:15" s="399" customFormat="1" ht="15">
      <c r="A142" s="515">
        <v>45967</v>
      </c>
      <c r="B142" s="505" t="s">
        <v>4182</v>
      </c>
      <c r="C142" s="505" t="s">
        <v>170</v>
      </c>
      <c r="D142" s="505" t="s">
        <v>116</v>
      </c>
      <c r="E142" s="518">
        <v>3000</v>
      </c>
      <c r="F142" s="502">
        <f t="shared" si="2"/>
        <v>5.6232111159637332</v>
      </c>
      <c r="G142" s="503">
        <v>533.50300000000004</v>
      </c>
      <c r="H142" s="505" t="s">
        <v>581</v>
      </c>
      <c r="I142" s="505" t="s">
        <v>4217</v>
      </c>
      <c r="J142" s="505" t="s">
        <v>96</v>
      </c>
      <c r="K142" s="505" t="s">
        <v>2102</v>
      </c>
      <c r="L142" s="505" t="s">
        <v>153</v>
      </c>
      <c r="M142" s="327"/>
      <c r="N142" s="327"/>
      <c r="O142" s="327"/>
    </row>
    <row r="143" spans="1:15" s="399" customFormat="1" ht="15">
      <c r="A143" s="515">
        <v>45967</v>
      </c>
      <c r="B143" s="505" t="s">
        <v>4183</v>
      </c>
      <c r="C143" s="505" t="s">
        <v>170</v>
      </c>
      <c r="D143" s="505" t="s">
        <v>116</v>
      </c>
      <c r="E143" s="518">
        <v>2750</v>
      </c>
      <c r="F143" s="502">
        <f t="shared" si="2"/>
        <v>5.1546101896334227</v>
      </c>
      <c r="G143" s="503">
        <v>533.50300000000004</v>
      </c>
      <c r="H143" s="505" t="s">
        <v>581</v>
      </c>
      <c r="I143" s="505" t="s">
        <v>4217</v>
      </c>
      <c r="J143" s="505" t="s">
        <v>96</v>
      </c>
      <c r="K143" s="505" t="s">
        <v>2102</v>
      </c>
      <c r="L143" s="505" t="s">
        <v>153</v>
      </c>
      <c r="M143" s="327"/>
      <c r="N143" s="327"/>
      <c r="O143" s="327"/>
    </row>
    <row r="144" spans="1:15" s="399" customFormat="1" ht="15">
      <c r="A144" s="515">
        <v>45967</v>
      </c>
      <c r="B144" s="505" t="s">
        <v>4184</v>
      </c>
      <c r="C144" s="505" t="s">
        <v>170</v>
      </c>
      <c r="D144" s="505" t="s">
        <v>116</v>
      </c>
      <c r="E144" s="518">
        <v>1500</v>
      </c>
      <c r="F144" s="502">
        <f t="shared" si="2"/>
        <v>2.8116055579818666</v>
      </c>
      <c r="G144" s="503">
        <v>533.50300000000004</v>
      </c>
      <c r="H144" s="505" t="s">
        <v>581</v>
      </c>
      <c r="I144" s="505" t="s">
        <v>4217</v>
      </c>
      <c r="J144" s="505" t="s">
        <v>96</v>
      </c>
      <c r="K144" s="505" t="s">
        <v>2102</v>
      </c>
      <c r="L144" s="505" t="s">
        <v>153</v>
      </c>
      <c r="M144" s="327"/>
      <c r="N144" s="327"/>
      <c r="O144" s="327"/>
    </row>
    <row r="145" spans="1:15" s="399" customFormat="1" ht="15">
      <c r="A145" s="515">
        <v>45967</v>
      </c>
      <c r="B145" s="505" t="s">
        <v>4185</v>
      </c>
      <c r="C145" s="505" t="s">
        <v>170</v>
      </c>
      <c r="D145" s="505" t="s">
        <v>116</v>
      </c>
      <c r="E145" s="518">
        <v>2000</v>
      </c>
      <c r="F145" s="502">
        <f t="shared" si="2"/>
        <v>3.7488074106424891</v>
      </c>
      <c r="G145" s="503">
        <v>533.50300000000004</v>
      </c>
      <c r="H145" s="505" t="s">
        <v>581</v>
      </c>
      <c r="I145" s="505" t="s">
        <v>4217</v>
      </c>
      <c r="J145" s="505" t="s">
        <v>96</v>
      </c>
      <c r="K145" s="505" t="s">
        <v>2102</v>
      </c>
      <c r="L145" s="505" t="s">
        <v>153</v>
      </c>
      <c r="M145" s="327"/>
      <c r="N145" s="327"/>
      <c r="O145" s="327"/>
    </row>
    <row r="146" spans="1:15" s="399" customFormat="1" ht="15">
      <c r="A146" s="515">
        <v>45967</v>
      </c>
      <c r="B146" s="505" t="s">
        <v>4186</v>
      </c>
      <c r="C146" s="505" t="s">
        <v>170</v>
      </c>
      <c r="D146" s="505" t="s">
        <v>116</v>
      </c>
      <c r="E146" s="518">
        <v>3700</v>
      </c>
      <c r="F146" s="502">
        <f t="shared" si="2"/>
        <v>6.9352937096886045</v>
      </c>
      <c r="G146" s="503">
        <v>533.50300000000004</v>
      </c>
      <c r="H146" s="505" t="s">
        <v>581</v>
      </c>
      <c r="I146" s="505" t="s">
        <v>4217</v>
      </c>
      <c r="J146" s="505" t="s">
        <v>96</v>
      </c>
      <c r="K146" s="505" t="s">
        <v>2102</v>
      </c>
      <c r="L146" s="505" t="s">
        <v>153</v>
      </c>
      <c r="M146" s="327"/>
      <c r="N146" s="327"/>
      <c r="O146" s="327"/>
    </row>
    <row r="147" spans="1:15" s="399" customFormat="1" ht="15">
      <c r="A147" s="515">
        <v>45967</v>
      </c>
      <c r="B147" s="505" t="s">
        <v>4187</v>
      </c>
      <c r="C147" s="505" t="s">
        <v>170</v>
      </c>
      <c r="D147" s="505" t="s">
        <v>116</v>
      </c>
      <c r="E147" s="518">
        <v>3750</v>
      </c>
      <c r="F147" s="502">
        <f t="shared" si="2"/>
        <v>7.0290138949546668</v>
      </c>
      <c r="G147" s="503">
        <v>533.50300000000004</v>
      </c>
      <c r="H147" s="505" t="s">
        <v>581</v>
      </c>
      <c r="I147" s="505" t="s">
        <v>4217</v>
      </c>
      <c r="J147" s="505" t="s">
        <v>96</v>
      </c>
      <c r="K147" s="505" t="s">
        <v>2102</v>
      </c>
      <c r="L147" s="505" t="s">
        <v>153</v>
      </c>
      <c r="M147" s="327"/>
      <c r="N147" s="327"/>
      <c r="O147" s="327"/>
    </row>
    <row r="148" spans="1:15" s="399" customFormat="1" ht="15">
      <c r="A148" s="515">
        <v>45967</v>
      </c>
      <c r="B148" s="505" t="s">
        <v>4188</v>
      </c>
      <c r="C148" s="505" t="s">
        <v>170</v>
      </c>
      <c r="D148" s="505" t="s">
        <v>116</v>
      </c>
      <c r="E148" s="518">
        <v>8750</v>
      </c>
      <c r="F148" s="502">
        <f t="shared" si="2"/>
        <v>16.401032421560888</v>
      </c>
      <c r="G148" s="503">
        <v>533.50300000000004</v>
      </c>
      <c r="H148" s="505" t="s">
        <v>581</v>
      </c>
      <c r="I148" s="505" t="s">
        <v>4217</v>
      </c>
      <c r="J148" s="505" t="s">
        <v>96</v>
      </c>
      <c r="K148" s="505" t="s">
        <v>2102</v>
      </c>
      <c r="L148" s="505" t="s">
        <v>153</v>
      </c>
      <c r="M148" s="327"/>
      <c r="N148" s="327"/>
      <c r="O148" s="327"/>
    </row>
    <row r="149" spans="1:15" s="399" customFormat="1" ht="15">
      <c r="A149" s="515">
        <v>45967</v>
      </c>
      <c r="B149" s="505" t="s">
        <v>4189</v>
      </c>
      <c r="C149" s="505" t="s">
        <v>170</v>
      </c>
      <c r="D149" s="505" t="s">
        <v>116</v>
      </c>
      <c r="E149" s="518">
        <v>1750</v>
      </c>
      <c r="F149" s="502">
        <f t="shared" si="2"/>
        <v>3.2802064843121781</v>
      </c>
      <c r="G149" s="503">
        <v>533.50300000000004</v>
      </c>
      <c r="H149" s="505" t="s">
        <v>581</v>
      </c>
      <c r="I149" s="505" t="s">
        <v>4217</v>
      </c>
      <c r="J149" s="505" t="s">
        <v>96</v>
      </c>
      <c r="K149" s="505" t="s">
        <v>2102</v>
      </c>
      <c r="L149" s="505" t="s">
        <v>153</v>
      </c>
      <c r="M149" s="327"/>
      <c r="N149" s="125"/>
      <c r="O149" s="125"/>
    </row>
    <row r="150" spans="1:15" s="399" customFormat="1" ht="15">
      <c r="A150" s="517">
        <v>45967</v>
      </c>
      <c r="B150" s="505" t="s">
        <v>4190</v>
      </c>
      <c r="C150" s="505" t="s">
        <v>172</v>
      </c>
      <c r="D150" s="505" t="s">
        <v>116</v>
      </c>
      <c r="E150" s="518">
        <v>1000</v>
      </c>
      <c r="F150" s="502">
        <f t="shared" si="2"/>
        <v>1.8744037053212446</v>
      </c>
      <c r="G150" s="503">
        <v>533.50300000000004</v>
      </c>
      <c r="H150" s="505" t="s">
        <v>581</v>
      </c>
      <c r="I150" s="505" t="s">
        <v>4213</v>
      </c>
      <c r="J150" s="505" t="s">
        <v>96</v>
      </c>
      <c r="K150" s="505" t="s">
        <v>2102</v>
      </c>
      <c r="L150" s="505" t="s">
        <v>153</v>
      </c>
      <c r="M150" s="327"/>
      <c r="N150" s="125"/>
      <c r="O150" s="125"/>
    </row>
    <row r="151" spans="1:15" s="399" customFormat="1" ht="15">
      <c r="A151" s="517">
        <v>45967</v>
      </c>
      <c r="B151" s="505" t="s">
        <v>4191</v>
      </c>
      <c r="C151" s="505" t="s">
        <v>172</v>
      </c>
      <c r="D151" s="505" t="s">
        <v>116</v>
      </c>
      <c r="E151" s="518">
        <v>1000</v>
      </c>
      <c r="F151" s="502">
        <f t="shared" si="2"/>
        <v>1.8744037053212446</v>
      </c>
      <c r="G151" s="503">
        <v>533.50300000000004</v>
      </c>
      <c r="H151" s="505" t="s">
        <v>581</v>
      </c>
      <c r="I151" s="505" t="s">
        <v>4213</v>
      </c>
      <c r="J151" s="505" t="s">
        <v>96</v>
      </c>
      <c r="K151" s="505" t="s">
        <v>2102</v>
      </c>
      <c r="L151" s="505" t="s">
        <v>153</v>
      </c>
      <c r="M151" s="327"/>
      <c r="N151" s="125"/>
      <c r="O151" s="125"/>
    </row>
    <row r="152" spans="1:15" s="399" customFormat="1" ht="15">
      <c r="A152" s="523">
        <v>45967</v>
      </c>
      <c r="B152" s="510" t="s">
        <v>4917</v>
      </c>
      <c r="C152" s="510" t="s">
        <v>172</v>
      </c>
      <c r="D152" s="510" t="s">
        <v>119</v>
      </c>
      <c r="E152" s="510">
        <v>1500</v>
      </c>
      <c r="F152" s="502">
        <f t="shared" si="2"/>
        <v>2.8116055579818666</v>
      </c>
      <c r="G152" s="503">
        <v>533.50300000000004</v>
      </c>
      <c r="H152" s="510" t="s">
        <v>182</v>
      </c>
      <c r="I152" s="510" t="s">
        <v>4237</v>
      </c>
      <c r="J152" s="505" t="s">
        <v>96</v>
      </c>
      <c r="K152" s="505" t="s">
        <v>2102</v>
      </c>
      <c r="L152" s="505" t="s">
        <v>153</v>
      </c>
      <c r="M152" s="327"/>
      <c r="N152" s="125"/>
      <c r="O152" s="125"/>
    </row>
    <row r="153" spans="1:15" s="399" customFormat="1" ht="15">
      <c r="A153" s="523">
        <v>45967</v>
      </c>
      <c r="B153" s="510" t="s">
        <v>4917</v>
      </c>
      <c r="C153" s="510" t="s">
        <v>172</v>
      </c>
      <c r="D153" s="510" t="s">
        <v>119</v>
      </c>
      <c r="E153" s="510">
        <v>1500</v>
      </c>
      <c r="F153" s="502">
        <f t="shared" si="2"/>
        <v>2.8116055579818666</v>
      </c>
      <c r="G153" s="503">
        <v>533.50300000000004</v>
      </c>
      <c r="H153" s="510" t="s">
        <v>182</v>
      </c>
      <c r="I153" s="510" t="s">
        <v>4237</v>
      </c>
      <c r="J153" s="505" t="s">
        <v>96</v>
      </c>
      <c r="K153" s="505" t="s">
        <v>2102</v>
      </c>
      <c r="L153" s="505" t="s">
        <v>153</v>
      </c>
      <c r="M153" s="327"/>
      <c r="N153" s="125"/>
      <c r="O153" s="125"/>
    </row>
    <row r="154" spans="1:15" s="399" customFormat="1" ht="15">
      <c r="A154" s="523">
        <v>45967</v>
      </c>
      <c r="B154" s="510" t="s">
        <v>4917</v>
      </c>
      <c r="C154" s="510" t="s">
        <v>172</v>
      </c>
      <c r="D154" s="510" t="s">
        <v>119</v>
      </c>
      <c r="E154" s="510">
        <v>1000</v>
      </c>
      <c r="F154" s="502">
        <f t="shared" si="2"/>
        <v>1.8744037053212446</v>
      </c>
      <c r="G154" s="503">
        <v>533.50300000000004</v>
      </c>
      <c r="H154" s="510" t="s">
        <v>182</v>
      </c>
      <c r="I154" s="510" t="s">
        <v>4237</v>
      </c>
      <c r="J154" s="505" t="s">
        <v>96</v>
      </c>
      <c r="K154" s="505" t="s">
        <v>2102</v>
      </c>
      <c r="L154" s="505" t="s">
        <v>153</v>
      </c>
      <c r="M154" s="327"/>
      <c r="N154" s="125"/>
      <c r="O154" s="125"/>
    </row>
    <row r="155" spans="1:15" s="399" customFormat="1" ht="15">
      <c r="A155" s="523">
        <v>45967</v>
      </c>
      <c r="B155" s="510" t="s">
        <v>4912</v>
      </c>
      <c r="C155" s="510" t="s">
        <v>172</v>
      </c>
      <c r="D155" s="510" t="s">
        <v>119</v>
      </c>
      <c r="E155" s="510">
        <v>1500</v>
      </c>
      <c r="F155" s="502">
        <f t="shared" si="2"/>
        <v>2.8116055579818666</v>
      </c>
      <c r="G155" s="503">
        <v>533.50300000000004</v>
      </c>
      <c r="H155" s="510" t="s">
        <v>182</v>
      </c>
      <c r="I155" s="510" t="s">
        <v>4237</v>
      </c>
      <c r="J155" s="505" t="s">
        <v>96</v>
      </c>
      <c r="K155" s="505" t="s">
        <v>2102</v>
      </c>
      <c r="L155" s="505" t="s">
        <v>153</v>
      </c>
      <c r="M155" s="327"/>
      <c r="N155" s="327"/>
      <c r="O155" s="327"/>
    </row>
    <row r="156" spans="1:15" s="399" customFormat="1" ht="15">
      <c r="A156" s="523">
        <v>45967</v>
      </c>
      <c r="B156" s="510" t="s">
        <v>4912</v>
      </c>
      <c r="C156" s="510" t="s">
        <v>172</v>
      </c>
      <c r="D156" s="510" t="s">
        <v>119</v>
      </c>
      <c r="E156" s="510">
        <v>1000</v>
      </c>
      <c r="F156" s="502">
        <f t="shared" si="2"/>
        <v>1.8744037053212446</v>
      </c>
      <c r="G156" s="503">
        <v>533.50300000000004</v>
      </c>
      <c r="H156" s="510" t="s">
        <v>182</v>
      </c>
      <c r="I156" s="510" t="s">
        <v>4237</v>
      </c>
      <c r="J156" s="505" t="s">
        <v>96</v>
      </c>
      <c r="K156" s="505" t="s">
        <v>2102</v>
      </c>
      <c r="L156" s="505" t="s">
        <v>153</v>
      </c>
      <c r="M156" s="327"/>
      <c r="N156" s="327"/>
      <c r="O156" s="327"/>
    </row>
    <row r="157" spans="1:15" s="399" customFormat="1" ht="15">
      <c r="A157" s="523">
        <v>45967</v>
      </c>
      <c r="B157" s="510" t="s">
        <v>4917</v>
      </c>
      <c r="C157" s="510" t="s">
        <v>172</v>
      </c>
      <c r="D157" s="510" t="s">
        <v>119</v>
      </c>
      <c r="E157" s="510">
        <v>1500</v>
      </c>
      <c r="F157" s="502">
        <f t="shared" si="2"/>
        <v>2.8116055579818666</v>
      </c>
      <c r="G157" s="503">
        <v>533.50300000000004</v>
      </c>
      <c r="H157" s="510" t="s">
        <v>182</v>
      </c>
      <c r="I157" s="510" t="s">
        <v>4237</v>
      </c>
      <c r="J157" s="505" t="s">
        <v>96</v>
      </c>
      <c r="K157" s="505" t="s">
        <v>2102</v>
      </c>
      <c r="L157" s="505" t="s">
        <v>153</v>
      </c>
      <c r="M157" s="327"/>
      <c r="N157" s="327"/>
      <c r="O157" s="327"/>
    </row>
    <row r="158" spans="1:15" s="399" customFormat="1" ht="15">
      <c r="A158" s="523">
        <v>45967</v>
      </c>
      <c r="B158" s="510" t="s">
        <v>4232</v>
      </c>
      <c r="C158" s="510" t="s">
        <v>366</v>
      </c>
      <c r="D158" s="510" t="s">
        <v>119</v>
      </c>
      <c r="E158" s="510">
        <v>1000</v>
      </c>
      <c r="F158" s="502">
        <f t="shared" si="2"/>
        <v>1.8401363172983856</v>
      </c>
      <c r="G158" s="503">
        <v>543.43799999999999</v>
      </c>
      <c r="H158" s="510" t="s">
        <v>182</v>
      </c>
      <c r="I158" s="510" t="s">
        <v>4238</v>
      </c>
      <c r="J158" s="505" t="s">
        <v>96</v>
      </c>
      <c r="K158" s="505" t="s">
        <v>4104</v>
      </c>
      <c r="L158" s="505" t="s">
        <v>153</v>
      </c>
      <c r="M158" s="327"/>
      <c r="N158" s="327"/>
      <c r="O158" s="327"/>
    </row>
    <row r="159" spans="1:15" s="399" customFormat="1" ht="15">
      <c r="A159" s="515">
        <v>45967</v>
      </c>
      <c r="B159" s="505" t="s">
        <v>4876</v>
      </c>
      <c r="C159" s="505" t="s">
        <v>1011</v>
      </c>
      <c r="D159" s="510" t="s">
        <v>119</v>
      </c>
      <c r="E159" s="505">
        <v>1000</v>
      </c>
      <c r="F159" s="502">
        <f t="shared" si="2"/>
        <v>1.8744037053212446</v>
      </c>
      <c r="G159" s="503">
        <v>533.50300000000004</v>
      </c>
      <c r="H159" s="505" t="s">
        <v>173</v>
      </c>
      <c r="I159" s="505" t="s">
        <v>4263</v>
      </c>
      <c r="J159" s="505" t="s">
        <v>96</v>
      </c>
      <c r="K159" s="505" t="s">
        <v>2102</v>
      </c>
      <c r="L159" s="505" t="s">
        <v>153</v>
      </c>
      <c r="M159" s="125"/>
      <c r="N159" s="125"/>
      <c r="O159" s="125"/>
    </row>
    <row r="160" spans="1:15" s="399" customFormat="1" ht="15">
      <c r="A160" s="515">
        <v>45967</v>
      </c>
      <c r="B160" s="505" t="s">
        <v>4976</v>
      </c>
      <c r="C160" s="505" t="s">
        <v>1011</v>
      </c>
      <c r="D160" s="510" t="s">
        <v>119</v>
      </c>
      <c r="E160" s="505">
        <v>1000</v>
      </c>
      <c r="F160" s="502">
        <f t="shared" si="2"/>
        <v>1.8744037053212446</v>
      </c>
      <c r="G160" s="503">
        <v>533.50300000000004</v>
      </c>
      <c r="H160" s="505" t="s">
        <v>173</v>
      </c>
      <c r="I160" s="505" t="s">
        <v>4263</v>
      </c>
      <c r="J160" s="505" t="s">
        <v>96</v>
      </c>
      <c r="K160" s="505" t="s">
        <v>2102</v>
      </c>
      <c r="L160" s="505" t="s">
        <v>153</v>
      </c>
      <c r="M160" s="125"/>
      <c r="N160" s="125"/>
      <c r="O160" s="125"/>
    </row>
    <row r="161" spans="1:15" s="399" customFormat="1" ht="15">
      <c r="A161" s="515">
        <v>45967</v>
      </c>
      <c r="B161" s="505" t="s">
        <v>4876</v>
      </c>
      <c r="C161" s="505" t="s">
        <v>1011</v>
      </c>
      <c r="D161" s="510" t="s">
        <v>119</v>
      </c>
      <c r="E161" s="505">
        <v>1000</v>
      </c>
      <c r="F161" s="502">
        <f t="shared" si="2"/>
        <v>1.8744037053212446</v>
      </c>
      <c r="G161" s="503">
        <v>533.50300000000004</v>
      </c>
      <c r="H161" s="505" t="s">
        <v>173</v>
      </c>
      <c r="I161" s="505" t="s">
        <v>4263</v>
      </c>
      <c r="J161" s="505" t="s">
        <v>96</v>
      </c>
      <c r="K161" s="505" t="s">
        <v>2102</v>
      </c>
      <c r="L161" s="505" t="s">
        <v>153</v>
      </c>
      <c r="M161" s="125"/>
      <c r="N161" s="125"/>
      <c r="O161" s="125"/>
    </row>
    <row r="162" spans="1:15" s="399" customFormat="1" ht="15">
      <c r="A162" s="515">
        <v>45967</v>
      </c>
      <c r="B162" s="505" t="s">
        <v>4876</v>
      </c>
      <c r="C162" s="505" t="s">
        <v>1011</v>
      </c>
      <c r="D162" s="510" t="s">
        <v>119</v>
      </c>
      <c r="E162" s="505">
        <v>1000</v>
      </c>
      <c r="F162" s="502">
        <f t="shared" si="2"/>
        <v>1.8744037053212446</v>
      </c>
      <c r="G162" s="503">
        <v>533.50300000000004</v>
      </c>
      <c r="H162" s="505" t="s">
        <v>173</v>
      </c>
      <c r="I162" s="505" t="s">
        <v>4263</v>
      </c>
      <c r="J162" s="505" t="s">
        <v>96</v>
      </c>
      <c r="K162" s="505" t="s">
        <v>2102</v>
      </c>
      <c r="L162" s="505" t="s">
        <v>153</v>
      </c>
      <c r="M162" s="125"/>
      <c r="N162" s="125"/>
      <c r="O162" s="125"/>
    </row>
    <row r="163" spans="1:15" s="399" customFormat="1" ht="15">
      <c r="A163" s="515">
        <v>45967</v>
      </c>
      <c r="B163" s="505" t="s">
        <v>4876</v>
      </c>
      <c r="C163" s="505" t="s">
        <v>1011</v>
      </c>
      <c r="D163" s="510" t="s">
        <v>119</v>
      </c>
      <c r="E163" s="505">
        <v>1000</v>
      </c>
      <c r="F163" s="502">
        <f t="shared" si="2"/>
        <v>1.8744037053212446</v>
      </c>
      <c r="G163" s="503">
        <v>533.50300000000004</v>
      </c>
      <c r="H163" s="505" t="s">
        <v>173</v>
      </c>
      <c r="I163" s="505" t="s">
        <v>4263</v>
      </c>
      <c r="J163" s="505" t="s">
        <v>96</v>
      </c>
      <c r="K163" s="505" t="s">
        <v>2102</v>
      </c>
      <c r="L163" s="505" t="s">
        <v>153</v>
      </c>
      <c r="M163" s="125"/>
      <c r="N163" s="125"/>
      <c r="O163" s="125"/>
    </row>
    <row r="164" spans="1:15" s="399" customFormat="1" ht="15">
      <c r="A164" s="515">
        <v>45967</v>
      </c>
      <c r="B164" s="505" t="s">
        <v>2493</v>
      </c>
      <c r="C164" s="505" t="s">
        <v>366</v>
      </c>
      <c r="D164" s="510" t="s">
        <v>119</v>
      </c>
      <c r="E164" s="505">
        <v>2000</v>
      </c>
      <c r="F164" s="502">
        <f t="shared" si="2"/>
        <v>3.6802726345967711</v>
      </c>
      <c r="G164" s="503">
        <v>543.43799999999999</v>
      </c>
      <c r="H164" s="505" t="s">
        <v>173</v>
      </c>
      <c r="I164" s="505" t="s">
        <v>4264</v>
      </c>
      <c r="J164" s="505" t="s">
        <v>96</v>
      </c>
      <c r="K164" s="505" t="s">
        <v>4104</v>
      </c>
      <c r="L164" s="505" t="s">
        <v>153</v>
      </c>
      <c r="M164" s="327"/>
      <c r="N164" s="327"/>
      <c r="O164" s="327"/>
    </row>
    <row r="165" spans="1:15" s="399" customFormat="1" ht="15">
      <c r="A165" s="515">
        <v>45967</v>
      </c>
      <c r="B165" s="505" t="s">
        <v>4876</v>
      </c>
      <c r="C165" s="505" t="s">
        <v>172</v>
      </c>
      <c r="D165" s="510" t="s">
        <v>119</v>
      </c>
      <c r="E165" s="514">
        <v>2500</v>
      </c>
      <c r="F165" s="502">
        <f t="shared" ref="F165:F228" si="3">E165/G165</f>
        <v>4.6860092633031112</v>
      </c>
      <c r="G165" s="503">
        <v>533.50300000000004</v>
      </c>
      <c r="H165" s="505" t="s">
        <v>315</v>
      </c>
      <c r="I165" s="505" t="s">
        <v>4288</v>
      </c>
      <c r="J165" s="505" t="s">
        <v>96</v>
      </c>
      <c r="K165" s="505" t="s">
        <v>2102</v>
      </c>
      <c r="L165" s="505" t="s">
        <v>153</v>
      </c>
      <c r="M165" s="125"/>
      <c r="N165" s="125"/>
      <c r="O165" s="125"/>
    </row>
    <row r="166" spans="1:15" s="399" customFormat="1" ht="15">
      <c r="A166" s="515">
        <v>45967</v>
      </c>
      <c r="B166" s="505" t="s">
        <v>4876</v>
      </c>
      <c r="C166" s="505" t="s">
        <v>172</v>
      </c>
      <c r="D166" s="510" t="s">
        <v>119</v>
      </c>
      <c r="E166" s="505">
        <v>1000</v>
      </c>
      <c r="F166" s="502">
        <f t="shared" si="3"/>
        <v>1.8744037053212446</v>
      </c>
      <c r="G166" s="503">
        <v>533.50300000000004</v>
      </c>
      <c r="H166" s="505" t="s">
        <v>315</v>
      </c>
      <c r="I166" s="505" t="s">
        <v>4288</v>
      </c>
      <c r="J166" s="505" t="s">
        <v>96</v>
      </c>
      <c r="K166" s="505" t="s">
        <v>2102</v>
      </c>
      <c r="L166" s="505" t="s">
        <v>153</v>
      </c>
      <c r="M166" s="125"/>
      <c r="N166" s="125"/>
      <c r="O166" s="125"/>
    </row>
    <row r="167" spans="1:15" s="399" customFormat="1" ht="15">
      <c r="A167" s="515">
        <v>45967</v>
      </c>
      <c r="B167" s="505" t="s">
        <v>4876</v>
      </c>
      <c r="C167" s="505" t="s">
        <v>172</v>
      </c>
      <c r="D167" s="510" t="s">
        <v>119</v>
      </c>
      <c r="E167" s="514">
        <v>1000</v>
      </c>
      <c r="F167" s="502">
        <f t="shared" si="3"/>
        <v>1.8744037053212446</v>
      </c>
      <c r="G167" s="503">
        <v>533.50300000000004</v>
      </c>
      <c r="H167" s="505" t="s">
        <v>315</v>
      </c>
      <c r="I167" s="505" t="s">
        <v>4288</v>
      </c>
      <c r="J167" s="505" t="s">
        <v>96</v>
      </c>
      <c r="K167" s="505" t="s">
        <v>2102</v>
      </c>
      <c r="L167" s="505" t="s">
        <v>153</v>
      </c>
      <c r="M167" s="125"/>
      <c r="N167" s="125"/>
      <c r="O167" s="125"/>
    </row>
    <row r="168" spans="1:15" s="399" customFormat="1" ht="15">
      <c r="A168" s="515">
        <v>45967</v>
      </c>
      <c r="B168" s="505" t="s">
        <v>4876</v>
      </c>
      <c r="C168" s="505" t="s">
        <v>172</v>
      </c>
      <c r="D168" s="510" t="s">
        <v>119</v>
      </c>
      <c r="E168" s="505">
        <v>2000</v>
      </c>
      <c r="F168" s="502">
        <f t="shared" si="3"/>
        <v>3.7488074106424891</v>
      </c>
      <c r="G168" s="503">
        <v>533.50300000000004</v>
      </c>
      <c r="H168" s="505" t="s">
        <v>315</v>
      </c>
      <c r="I168" s="505" t="s">
        <v>4288</v>
      </c>
      <c r="J168" s="505" t="s">
        <v>96</v>
      </c>
      <c r="K168" s="505" t="s">
        <v>2102</v>
      </c>
      <c r="L168" s="505" t="s">
        <v>153</v>
      </c>
      <c r="M168" s="125"/>
      <c r="N168" s="125"/>
      <c r="O168" s="125"/>
    </row>
    <row r="169" spans="1:15" s="399" customFormat="1" ht="15">
      <c r="A169" s="515">
        <v>45967</v>
      </c>
      <c r="B169" s="505" t="s">
        <v>4907</v>
      </c>
      <c r="C169" s="505" t="s">
        <v>172</v>
      </c>
      <c r="D169" s="510" t="s">
        <v>119</v>
      </c>
      <c r="E169" s="530">
        <v>1000</v>
      </c>
      <c r="F169" s="502">
        <f t="shared" si="3"/>
        <v>1.8744037053212446</v>
      </c>
      <c r="G169" s="503">
        <v>533.50300000000004</v>
      </c>
      <c r="H169" s="505" t="s">
        <v>321</v>
      </c>
      <c r="I169" s="505" t="s">
        <v>4314</v>
      </c>
      <c r="J169" s="505" t="s">
        <v>96</v>
      </c>
      <c r="K169" s="505" t="s">
        <v>2102</v>
      </c>
      <c r="L169" s="505" t="s">
        <v>153</v>
      </c>
      <c r="M169" s="125"/>
      <c r="N169" s="125"/>
      <c r="O169" s="125"/>
    </row>
    <row r="170" spans="1:15" s="399" customFormat="1" ht="15">
      <c r="A170" s="515">
        <v>45967</v>
      </c>
      <c r="B170" s="505" t="s">
        <v>4907</v>
      </c>
      <c r="C170" s="505" t="s">
        <v>172</v>
      </c>
      <c r="D170" s="510" t="s">
        <v>119</v>
      </c>
      <c r="E170" s="530">
        <v>1000</v>
      </c>
      <c r="F170" s="502">
        <f t="shared" si="3"/>
        <v>1.8744037053212446</v>
      </c>
      <c r="G170" s="503">
        <v>533.50300000000004</v>
      </c>
      <c r="H170" s="505" t="s">
        <v>321</v>
      </c>
      <c r="I170" s="505" t="s">
        <v>4314</v>
      </c>
      <c r="J170" s="505" t="s">
        <v>96</v>
      </c>
      <c r="K170" s="505" t="s">
        <v>2102</v>
      </c>
      <c r="L170" s="505" t="s">
        <v>153</v>
      </c>
      <c r="M170" s="125"/>
      <c r="N170" s="125"/>
      <c r="O170" s="125"/>
    </row>
    <row r="171" spans="1:15" s="399" customFormat="1" ht="15">
      <c r="A171" s="515">
        <v>45967</v>
      </c>
      <c r="B171" s="505" t="s">
        <v>4907</v>
      </c>
      <c r="C171" s="505" t="s">
        <v>172</v>
      </c>
      <c r="D171" s="510" t="s">
        <v>119</v>
      </c>
      <c r="E171" s="530">
        <v>1000</v>
      </c>
      <c r="F171" s="502">
        <f t="shared" si="3"/>
        <v>1.8744037053212446</v>
      </c>
      <c r="G171" s="503">
        <v>533.50300000000004</v>
      </c>
      <c r="H171" s="505" t="s">
        <v>321</v>
      </c>
      <c r="I171" s="505" t="s">
        <v>4314</v>
      </c>
      <c r="J171" s="505" t="s">
        <v>96</v>
      </c>
      <c r="K171" s="505" t="s">
        <v>2102</v>
      </c>
      <c r="L171" s="505" t="s">
        <v>153</v>
      </c>
      <c r="M171" s="125"/>
      <c r="N171" s="125"/>
      <c r="O171" s="125"/>
    </row>
    <row r="172" spans="1:15" s="399" customFormat="1" ht="15">
      <c r="A172" s="515">
        <v>45967</v>
      </c>
      <c r="B172" s="505" t="s">
        <v>4907</v>
      </c>
      <c r="C172" s="505" t="s">
        <v>172</v>
      </c>
      <c r="D172" s="510" t="s">
        <v>119</v>
      </c>
      <c r="E172" s="530">
        <v>1000</v>
      </c>
      <c r="F172" s="502">
        <f t="shared" si="3"/>
        <v>1.8744037053212446</v>
      </c>
      <c r="G172" s="503">
        <v>533.50300000000004</v>
      </c>
      <c r="H172" s="505" t="s">
        <v>321</v>
      </c>
      <c r="I172" s="505" t="s">
        <v>4314</v>
      </c>
      <c r="J172" s="505" t="s">
        <v>96</v>
      </c>
      <c r="K172" s="505" t="s">
        <v>2102</v>
      </c>
      <c r="L172" s="505" t="s">
        <v>153</v>
      </c>
      <c r="M172" s="125"/>
      <c r="N172" s="125"/>
      <c r="O172" s="125"/>
    </row>
    <row r="173" spans="1:15" s="399" customFormat="1" ht="15">
      <c r="A173" s="515">
        <v>45967</v>
      </c>
      <c r="B173" s="505" t="s">
        <v>4907</v>
      </c>
      <c r="C173" s="505" t="s">
        <v>172</v>
      </c>
      <c r="D173" s="510" t="s">
        <v>119</v>
      </c>
      <c r="E173" s="530">
        <v>1000</v>
      </c>
      <c r="F173" s="502">
        <f t="shared" si="3"/>
        <v>1.8744037053212446</v>
      </c>
      <c r="G173" s="503">
        <v>533.50300000000004</v>
      </c>
      <c r="H173" s="505" t="s">
        <v>321</v>
      </c>
      <c r="I173" s="505" t="s">
        <v>4314</v>
      </c>
      <c r="J173" s="505" t="s">
        <v>96</v>
      </c>
      <c r="K173" s="505" t="s">
        <v>2102</v>
      </c>
      <c r="L173" s="505" t="s">
        <v>153</v>
      </c>
      <c r="M173" s="125"/>
      <c r="N173" s="125"/>
      <c r="O173" s="125"/>
    </row>
    <row r="174" spans="1:15" s="399" customFormat="1" ht="15">
      <c r="A174" s="515">
        <v>45967</v>
      </c>
      <c r="B174" s="505" t="s">
        <v>3649</v>
      </c>
      <c r="C174" s="505" t="s">
        <v>172</v>
      </c>
      <c r="D174" s="505" t="s">
        <v>115</v>
      </c>
      <c r="E174" s="530">
        <v>500</v>
      </c>
      <c r="F174" s="502">
        <f t="shared" si="3"/>
        <v>0.93720185266062228</v>
      </c>
      <c r="G174" s="503">
        <v>533.50300000000004</v>
      </c>
      <c r="H174" s="505" t="s">
        <v>191</v>
      </c>
      <c r="I174" s="505" t="s">
        <v>4405</v>
      </c>
      <c r="J174" s="505" t="s">
        <v>96</v>
      </c>
      <c r="K174" s="505" t="s">
        <v>2102</v>
      </c>
      <c r="L174" s="505" t="s">
        <v>153</v>
      </c>
      <c r="M174" s="327"/>
      <c r="N174" s="327"/>
      <c r="O174" s="327"/>
    </row>
    <row r="175" spans="1:15" s="399" customFormat="1" ht="15">
      <c r="A175" s="515">
        <v>45967</v>
      </c>
      <c r="B175" s="505" t="s">
        <v>4393</v>
      </c>
      <c r="C175" s="505" t="s">
        <v>3317</v>
      </c>
      <c r="D175" s="505" t="s">
        <v>115</v>
      </c>
      <c r="E175" s="530">
        <v>1500</v>
      </c>
      <c r="F175" s="502">
        <f t="shared" si="3"/>
        <v>2.8116055579818666</v>
      </c>
      <c r="G175" s="503">
        <v>533.50300000000004</v>
      </c>
      <c r="H175" s="505" t="s">
        <v>191</v>
      </c>
      <c r="I175" s="505" t="s">
        <v>4409</v>
      </c>
      <c r="J175" s="505" t="s">
        <v>96</v>
      </c>
      <c r="K175" s="505" t="s">
        <v>2102</v>
      </c>
      <c r="L175" s="505" t="s">
        <v>153</v>
      </c>
      <c r="M175" s="125"/>
      <c r="N175" s="125"/>
      <c r="O175" s="125"/>
    </row>
    <row r="176" spans="1:15" s="399" customFormat="1" ht="15">
      <c r="A176" s="515">
        <v>45967</v>
      </c>
      <c r="B176" s="505" t="s">
        <v>4386</v>
      </c>
      <c r="C176" s="505" t="s">
        <v>172</v>
      </c>
      <c r="D176" s="505" t="s">
        <v>115</v>
      </c>
      <c r="E176" s="530">
        <v>500</v>
      </c>
      <c r="F176" s="502">
        <f t="shared" si="3"/>
        <v>0.93720185266062228</v>
      </c>
      <c r="G176" s="503">
        <v>533.50300000000004</v>
      </c>
      <c r="H176" s="505" t="s">
        <v>191</v>
      </c>
      <c r="I176" s="505" t="s">
        <v>4405</v>
      </c>
      <c r="J176" s="505" t="s">
        <v>96</v>
      </c>
      <c r="K176" s="505" t="s">
        <v>2102</v>
      </c>
      <c r="L176" s="505" t="s">
        <v>153</v>
      </c>
      <c r="M176" s="125"/>
      <c r="N176" s="125"/>
      <c r="O176" s="125"/>
    </row>
    <row r="177" spans="1:15" s="399" customFormat="1" ht="15">
      <c r="A177" s="515">
        <v>45967</v>
      </c>
      <c r="B177" s="505" t="s">
        <v>4390</v>
      </c>
      <c r="C177" s="505" t="s">
        <v>172</v>
      </c>
      <c r="D177" s="505" t="s">
        <v>115</v>
      </c>
      <c r="E177" s="530">
        <v>500</v>
      </c>
      <c r="F177" s="502">
        <f t="shared" si="3"/>
        <v>0.93720185266062228</v>
      </c>
      <c r="G177" s="503">
        <v>533.50300000000004</v>
      </c>
      <c r="H177" s="505" t="s">
        <v>191</v>
      </c>
      <c r="I177" s="505" t="s">
        <v>4405</v>
      </c>
      <c r="J177" s="505" t="s">
        <v>96</v>
      </c>
      <c r="K177" s="505" t="s">
        <v>2102</v>
      </c>
      <c r="L177" s="505" t="s">
        <v>153</v>
      </c>
      <c r="M177" s="125"/>
      <c r="N177" s="125"/>
      <c r="O177" s="125"/>
    </row>
    <row r="178" spans="1:15" s="399" customFormat="1" ht="15">
      <c r="A178" s="515">
        <v>45967</v>
      </c>
      <c r="B178" s="505" t="s">
        <v>4394</v>
      </c>
      <c r="C178" s="505" t="s">
        <v>172</v>
      </c>
      <c r="D178" s="505" t="s">
        <v>115</v>
      </c>
      <c r="E178" s="530">
        <v>500</v>
      </c>
      <c r="F178" s="502">
        <f t="shared" si="3"/>
        <v>0.93720185266062228</v>
      </c>
      <c r="G178" s="503">
        <v>533.50300000000004</v>
      </c>
      <c r="H178" s="505" t="s">
        <v>191</v>
      </c>
      <c r="I178" s="505" t="s">
        <v>4405</v>
      </c>
      <c r="J178" s="505" t="s">
        <v>96</v>
      </c>
      <c r="K178" s="505" t="s">
        <v>2102</v>
      </c>
      <c r="L178" s="505" t="s">
        <v>153</v>
      </c>
      <c r="M178" s="125"/>
      <c r="N178" s="125"/>
      <c r="O178" s="125"/>
    </row>
    <row r="179" spans="1:15" s="399" customFormat="1" ht="15">
      <c r="A179" s="515">
        <v>45967</v>
      </c>
      <c r="B179" s="505" t="s">
        <v>4395</v>
      </c>
      <c r="C179" s="505" t="s">
        <v>172</v>
      </c>
      <c r="D179" s="505" t="s">
        <v>115</v>
      </c>
      <c r="E179" s="530">
        <v>500</v>
      </c>
      <c r="F179" s="502">
        <f t="shared" si="3"/>
        <v>0.93720185266062228</v>
      </c>
      <c r="G179" s="503">
        <v>533.50300000000004</v>
      </c>
      <c r="H179" s="505" t="s">
        <v>191</v>
      </c>
      <c r="I179" s="505" t="s">
        <v>4405</v>
      </c>
      <c r="J179" s="505" t="s">
        <v>96</v>
      </c>
      <c r="K179" s="505" t="s">
        <v>2102</v>
      </c>
      <c r="L179" s="505" t="s">
        <v>153</v>
      </c>
      <c r="M179" s="125"/>
      <c r="N179" s="125"/>
      <c r="O179" s="125"/>
    </row>
    <row r="180" spans="1:15" s="399" customFormat="1" ht="15">
      <c r="A180" s="515">
        <v>45968</v>
      </c>
      <c r="B180" s="505" t="s">
        <v>4734</v>
      </c>
      <c r="C180" s="505" t="s">
        <v>172</v>
      </c>
      <c r="D180" s="505" t="s">
        <v>115</v>
      </c>
      <c r="E180" s="530">
        <v>7000</v>
      </c>
      <c r="F180" s="502">
        <f t="shared" si="3"/>
        <v>13.120825937248712</v>
      </c>
      <c r="G180" s="503">
        <v>533.50300000000004</v>
      </c>
      <c r="H180" s="505" t="s">
        <v>191</v>
      </c>
      <c r="I180" s="505" t="s">
        <v>4410</v>
      </c>
      <c r="J180" s="505" t="s">
        <v>96</v>
      </c>
      <c r="K180" s="505" t="s">
        <v>2102</v>
      </c>
      <c r="L180" s="505" t="s">
        <v>153</v>
      </c>
      <c r="M180" s="125"/>
      <c r="N180" s="125"/>
      <c r="O180" s="125"/>
    </row>
    <row r="181" spans="1:15" s="399" customFormat="1" ht="15">
      <c r="A181" s="515">
        <v>45967</v>
      </c>
      <c r="B181" s="505" t="s">
        <v>4396</v>
      </c>
      <c r="C181" s="505" t="s">
        <v>172</v>
      </c>
      <c r="D181" s="505" t="s">
        <v>115</v>
      </c>
      <c r="E181" s="530">
        <v>500</v>
      </c>
      <c r="F181" s="502">
        <f t="shared" si="3"/>
        <v>0.93720185266062228</v>
      </c>
      <c r="G181" s="503">
        <v>533.50300000000004</v>
      </c>
      <c r="H181" s="505" t="s">
        <v>191</v>
      </c>
      <c r="I181" s="505" t="s">
        <v>4405</v>
      </c>
      <c r="J181" s="505" t="s">
        <v>96</v>
      </c>
      <c r="K181" s="505" t="s">
        <v>2102</v>
      </c>
      <c r="L181" s="505" t="s">
        <v>153</v>
      </c>
      <c r="M181" s="125"/>
      <c r="N181" s="125"/>
      <c r="O181" s="125"/>
    </row>
    <row r="182" spans="1:15" s="399" customFormat="1" ht="15">
      <c r="A182" s="515">
        <v>45967</v>
      </c>
      <c r="B182" s="505" t="s">
        <v>3649</v>
      </c>
      <c r="C182" s="505" t="s">
        <v>172</v>
      </c>
      <c r="D182" s="505" t="s">
        <v>115</v>
      </c>
      <c r="E182" s="530">
        <v>500</v>
      </c>
      <c r="F182" s="502">
        <f t="shared" si="3"/>
        <v>0.93720185266062228</v>
      </c>
      <c r="G182" s="503">
        <v>533.50300000000004</v>
      </c>
      <c r="H182" s="505" t="s">
        <v>191</v>
      </c>
      <c r="I182" s="505" t="s">
        <v>4405</v>
      </c>
      <c r="J182" s="505" t="s">
        <v>96</v>
      </c>
      <c r="K182" s="505" t="s">
        <v>2102</v>
      </c>
      <c r="L182" s="505" t="s">
        <v>153</v>
      </c>
      <c r="M182" s="125"/>
      <c r="N182" s="125"/>
      <c r="O182" s="125"/>
    </row>
    <row r="183" spans="1:15" s="399" customFormat="1" ht="15">
      <c r="A183" s="515">
        <v>45967</v>
      </c>
      <c r="B183" s="505" t="s">
        <v>4397</v>
      </c>
      <c r="C183" s="505" t="s">
        <v>3317</v>
      </c>
      <c r="D183" s="505" t="s">
        <v>115</v>
      </c>
      <c r="E183" s="530">
        <v>1500</v>
      </c>
      <c r="F183" s="502">
        <f t="shared" si="3"/>
        <v>2.8116055579818666</v>
      </c>
      <c r="G183" s="503">
        <v>533.50300000000004</v>
      </c>
      <c r="H183" s="505" t="s">
        <v>191</v>
      </c>
      <c r="I183" s="505" t="s">
        <v>4409</v>
      </c>
      <c r="J183" s="505" t="s">
        <v>96</v>
      </c>
      <c r="K183" s="505" t="s">
        <v>2102</v>
      </c>
      <c r="L183" s="505" t="s">
        <v>153</v>
      </c>
      <c r="M183" s="125"/>
      <c r="N183" s="125"/>
      <c r="O183" s="125"/>
    </row>
    <row r="184" spans="1:15" s="399" customFormat="1" ht="15">
      <c r="A184" s="515">
        <v>45967</v>
      </c>
      <c r="B184" s="505" t="s">
        <v>4386</v>
      </c>
      <c r="C184" s="505" t="s">
        <v>172</v>
      </c>
      <c r="D184" s="505" t="s">
        <v>115</v>
      </c>
      <c r="E184" s="530">
        <v>500</v>
      </c>
      <c r="F184" s="502">
        <f t="shared" si="3"/>
        <v>0.93720185266062228</v>
      </c>
      <c r="G184" s="503">
        <v>533.50300000000004</v>
      </c>
      <c r="H184" s="505" t="s">
        <v>191</v>
      </c>
      <c r="I184" s="505" t="s">
        <v>4405</v>
      </c>
      <c r="J184" s="505" t="s">
        <v>96</v>
      </c>
      <c r="K184" s="505" t="s">
        <v>2102</v>
      </c>
      <c r="L184" s="505" t="s">
        <v>153</v>
      </c>
      <c r="M184" s="125"/>
      <c r="N184" s="125"/>
      <c r="O184" s="125"/>
    </row>
    <row r="185" spans="1:15" s="399" customFormat="1" ht="15">
      <c r="A185" s="515">
        <v>45967</v>
      </c>
      <c r="B185" s="505" t="s">
        <v>4390</v>
      </c>
      <c r="C185" s="505" t="s">
        <v>172</v>
      </c>
      <c r="D185" s="505" t="s">
        <v>115</v>
      </c>
      <c r="E185" s="530">
        <v>500</v>
      </c>
      <c r="F185" s="502">
        <f t="shared" si="3"/>
        <v>0.93720185266062228</v>
      </c>
      <c r="G185" s="503">
        <v>533.50300000000004</v>
      </c>
      <c r="H185" s="505" t="s">
        <v>191</v>
      </c>
      <c r="I185" s="505" t="s">
        <v>4405</v>
      </c>
      <c r="J185" s="505" t="s">
        <v>96</v>
      </c>
      <c r="K185" s="505" t="s">
        <v>2102</v>
      </c>
      <c r="L185" s="505" t="s">
        <v>153</v>
      </c>
      <c r="M185" s="125"/>
      <c r="N185" s="125"/>
      <c r="O185" s="125"/>
    </row>
    <row r="186" spans="1:15" s="399" customFormat="1" ht="15">
      <c r="A186" s="515">
        <v>45967</v>
      </c>
      <c r="B186" s="505" t="s">
        <v>4585</v>
      </c>
      <c r="C186" s="505" t="s">
        <v>172</v>
      </c>
      <c r="D186" s="505" t="s">
        <v>115</v>
      </c>
      <c r="E186" s="505">
        <v>1000</v>
      </c>
      <c r="F186" s="502">
        <f t="shared" si="3"/>
        <v>1.8744037053212446</v>
      </c>
      <c r="G186" s="503">
        <v>533.50300000000004</v>
      </c>
      <c r="H186" s="505" t="s">
        <v>185</v>
      </c>
      <c r="I186" s="505" t="s">
        <v>4631</v>
      </c>
      <c r="J186" s="505" t="s">
        <v>96</v>
      </c>
      <c r="K186" s="505" t="s">
        <v>2102</v>
      </c>
      <c r="L186" s="505" t="s">
        <v>153</v>
      </c>
      <c r="M186" s="327"/>
      <c r="N186" s="327"/>
      <c r="O186" s="327"/>
    </row>
    <row r="187" spans="1:15" s="399" customFormat="1" ht="15">
      <c r="A187" s="515">
        <v>45967</v>
      </c>
      <c r="B187" s="505" t="s">
        <v>4586</v>
      </c>
      <c r="C187" s="505" t="s">
        <v>172</v>
      </c>
      <c r="D187" s="505" t="s">
        <v>115</v>
      </c>
      <c r="E187" s="505">
        <v>2500</v>
      </c>
      <c r="F187" s="502">
        <f t="shared" si="3"/>
        <v>4.6860092633031112</v>
      </c>
      <c r="G187" s="503">
        <v>533.50300000000004</v>
      </c>
      <c r="H187" s="505" t="s">
        <v>185</v>
      </c>
      <c r="I187" s="505" t="s">
        <v>4631</v>
      </c>
      <c r="J187" s="505" t="s">
        <v>96</v>
      </c>
      <c r="K187" s="505" t="s">
        <v>2102</v>
      </c>
      <c r="L187" s="505" t="s">
        <v>153</v>
      </c>
      <c r="M187" s="327"/>
      <c r="N187" s="327"/>
      <c r="O187" s="327"/>
    </row>
    <row r="188" spans="1:15" s="399" customFormat="1" ht="15">
      <c r="A188" s="507">
        <v>45967</v>
      </c>
      <c r="B188" s="508" t="s">
        <v>1183</v>
      </c>
      <c r="C188" s="508" t="s">
        <v>172</v>
      </c>
      <c r="D188" s="508" t="s">
        <v>115</v>
      </c>
      <c r="E188" s="509">
        <v>7000</v>
      </c>
      <c r="F188" s="502">
        <f t="shared" si="3"/>
        <v>13.120825937248712</v>
      </c>
      <c r="G188" s="503">
        <v>533.50300000000004</v>
      </c>
      <c r="H188" s="510" t="s">
        <v>198</v>
      </c>
      <c r="I188" s="508" t="s">
        <v>4157</v>
      </c>
      <c r="J188" s="505" t="s">
        <v>96</v>
      </c>
      <c r="K188" s="505" t="s">
        <v>2102</v>
      </c>
      <c r="L188" s="505" t="s">
        <v>153</v>
      </c>
      <c r="M188" s="327"/>
      <c r="N188" s="125"/>
      <c r="O188" s="125"/>
    </row>
    <row r="189" spans="1:15" s="399" customFormat="1" ht="15">
      <c r="A189" s="629">
        <v>45968</v>
      </c>
      <c r="B189" s="298" t="s">
        <v>4123</v>
      </c>
      <c r="C189" s="298" t="s">
        <v>125</v>
      </c>
      <c r="D189" s="506" t="s">
        <v>117</v>
      </c>
      <c r="E189" s="630">
        <v>174625</v>
      </c>
      <c r="F189" s="502">
        <f t="shared" si="3"/>
        <v>327.31774704172233</v>
      </c>
      <c r="G189" s="503">
        <v>533.50300000000004</v>
      </c>
      <c r="H189" s="631" t="s">
        <v>151</v>
      </c>
      <c r="I189" s="298" t="s">
        <v>4136</v>
      </c>
      <c r="J189" s="505" t="s">
        <v>96</v>
      </c>
      <c r="K189" s="505" t="s">
        <v>2102</v>
      </c>
      <c r="L189" s="505" t="s">
        <v>153</v>
      </c>
      <c r="M189" s="125"/>
      <c r="N189" s="125"/>
      <c r="O189" s="125"/>
    </row>
    <row r="190" spans="1:15" s="399" customFormat="1" ht="15">
      <c r="A190" s="507">
        <v>45968</v>
      </c>
      <c r="B190" s="508" t="s">
        <v>4732</v>
      </c>
      <c r="C190" s="508" t="s">
        <v>2394</v>
      </c>
      <c r="D190" s="508" t="s">
        <v>115</v>
      </c>
      <c r="E190" s="509">
        <v>150000</v>
      </c>
      <c r="F190" s="502">
        <f t="shared" si="3"/>
        <v>281.16055579818669</v>
      </c>
      <c r="G190" s="503">
        <v>533.50300000000004</v>
      </c>
      <c r="H190" s="510" t="s">
        <v>198</v>
      </c>
      <c r="I190" s="508" t="s">
        <v>4156</v>
      </c>
      <c r="J190" s="505" t="s">
        <v>96</v>
      </c>
      <c r="K190" s="505" t="s">
        <v>2102</v>
      </c>
      <c r="L190" s="505" t="s">
        <v>153</v>
      </c>
      <c r="M190" s="327"/>
      <c r="N190" s="125"/>
      <c r="O190" s="125"/>
    </row>
    <row r="191" spans="1:15" s="399" customFormat="1" ht="15">
      <c r="A191" s="629">
        <v>45968</v>
      </c>
      <c r="B191" s="298" t="s">
        <v>2103</v>
      </c>
      <c r="C191" s="298" t="s">
        <v>172</v>
      </c>
      <c r="D191" s="506" t="s">
        <v>117</v>
      </c>
      <c r="E191" s="630">
        <v>1000</v>
      </c>
      <c r="F191" s="502">
        <f t="shared" si="3"/>
        <v>1.8744037053212446</v>
      </c>
      <c r="G191" s="503">
        <v>533.50300000000004</v>
      </c>
      <c r="H191" s="631" t="s">
        <v>151</v>
      </c>
      <c r="I191" s="298" t="s">
        <v>4133</v>
      </c>
      <c r="J191" s="505" t="s">
        <v>96</v>
      </c>
      <c r="K191" s="505" t="s">
        <v>2102</v>
      </c>
      <c r="L191" s="505" t="s">
        <v>153</v>
      </c>
      <c r="M191" s="125"/>
      <c r="N191" s="125"/>
      <c r="O191" s="125"/>
    </row>
    <row r="192" spans="1:15" s="399" customFormat="1" ht="15">
      <c r="A192" s="507">
        <v>45968</v>
      </c>
      <c r="B192" s="508" t="s">
        <v>4145</v>
      </c>
      <c r="C192" s="508" t="s">
        <v>172</v>
      </c>
      <c r="D192" s="508" t="s">
        <v>115</v>
      </c>
      <c r="E192" s="509">
        <v>500</v>
      </c>
      <c r="F192" s="502">
        <f t="shared" si="3"/>
        <v>0.93720185266062228</v>
      </c>
      <c r="G192" s="503">
        <v>533.50300000000004</v>
      </c>
      <c r="H192" s="510" t="s">
        <v>198</v>
      </c>
      <c r="I192" s="508" t="s">
        <v>4153</v>
      </c>
      <c r="J192" s="505" t="s">
        <v>96</v>
      </c>
      <c r="K192" s="505" t="s">
        <v>2102</v>
      </c>
      <c r="L192" s="505" t="s">
        <v>153</v>
      </c>
      <c r="M192" s="327"/>
      <c r="N192" s="327"/>
      <c r="O192" s="327"/>
    </row>
    <row r="193" spans="1:15" s="399" customFormat="1" ht="15">
      <c r="A193" s="507">
        <v>45968</v>
      </c>
      <c r="B193" s="508" t="s">
        <v>4146</v>
      </c>
      <c r="C193" s="508" t="s">
        <v>172</v>
      </c>
      <c r="D193" s="508" t="s">
        <v>115</v>
      </c>
      <c r="E193" s="509">
        <v>2000</v>
      </c>
      <c r="F193" s="502">
        <f t="shared" si="3"/>
        <v>3.7488074106424891</v>
      </c>
      <c r="G193" s="503">
        <v>533.50300000000004</v>
      </c>
      <c r="H193" s="510" t="s">
        <v>198</v>
      </c>
      <c r="I193" s="508" t="s">
        <v>4153</v>
      </c>
      <c r="J193" s="505" t="s">
        <v>96</v>
      </c>
      <c r="K193" s="505" t="s">
        <v>2102</v>
      </c>
      <c r="L193" s="505" t="s">
        <v>153</v>
      </c>
      <c r="M193" s="327"/>
      <c r="N193" s="125"/>
      <c r="O193" s="125"/>
    </row>
    <row r="194" spans="1:15" s="399" customFormat="1" ht="15">
      <c r="A194" s="517">
        <v>45968</v>
      </c>
      <c r="B194" s="505" t="s">
        <v>4192</v>
      </c>
      <c r="C194" s="505" t="s">
        <v>172</v>
      </c>
      <c r="D194" s="505" t="s">
        <v>116</v>
      </c>
      <c r="E194" s="518">
        <v>1000</v>
      </c>
      <c r="F194" s="502">
        <f t="shared" si="3"/>
        <v>1.8744037053212446</v>
      </c>
      <c r="G194" s="503">
        <v>533.50300000000004</v>
      </c>
      <c r="H194" s="505" t="s">
        <v>581</v>
      </c>
      <c r="I194" s="505" t="s">
        <v>4213</v>
      </c>
      <c r="J194" s="505" t="s">
        <v>96</v>
      </c>
      <c r="K194" s="505" t="s">
        <v>2102</v>
      </c>
      <c r="L194" s="505" t="s">
        <v>153</v>
      </c>
      <c r="M194" s="327"/>
      <c r="N194" s="125"/>
      <c r="O194" s="125"/>
    </row>
    <row r="195" spans="1:15" s="399" customFormat="1" ht="15">
      <c r="A195" s="523">
        <v>45968</v>
      </c>
      <c r="B195" s="510" t="s">
        <v>4917</v>
      </c>
      <c r="C195" s="510" t="s">
        <v>172</v>
      </c>
      <c r="D195" s="510" t="s">
        <v>119</v>
      </c>
      <c r="E195" s="510">
        <v>1500</v>
      </c>
      <c r="F195" s="502">
        <f t="shared" si="3"/>
        <v>2.8116055579818666</v>
      </c>
      <c r="G195" s="503">
        <v>533.50300000000004</v>
      </c>
      <c r="H195" s="510" t="s">
        <v>182</v>
      </c>
      <c r="I195" s="510" t="s">
        <v>4237</v>
      </c>
      <c r="J195" s="505" t="s">
        <v>96</v>
      </c>
      <c r="K195" s="505" t="s">
        <v>2102</v>
      </c>
      <c r="L195" s="505" t="s">
        <v>153</v>
      </c>
      <c r="M195" s="327"/>
      <c r="N195" s="327"/>
      <c r="O195" s="327"/>
    </row>
    <row r="196" spans="1:15" s="399" customFormat="1" ht="15">
      <c r="A196" s="523">
        <v>45968</v>
      </c>
      <c r="B196" s="510" t="s">
        <v>4917</v>
      </c>
      <c r="C196" s="510" t="s">
        <v>172</v>
      </c>
      <c r="D196" s="510" t="s">
        <v>119</v>
      </c>
      <c r="E196" s="510">
        <v>3000</v>
      </c>
      <c r="F196" s="502">
        <f t="shared" si="3"/>
        <v>5.6232111159637332</v>
      </c>
      <c r="G196" s="503">
        <v>533.50300000000004</v>
      </c>
      <c r="H196" s="510" t="s">
        <v>182</v>
      </c>
      <c r="I196" s="510" t="s">
        <v>4237</v>
      </c>
      <c r="J196" s="505" t="s">
        <v>96</v>
      </c>
      <c r="K196" s="505" t="s">
        <v>2102</v>
      </c>
      <c r="L196" s="505" t="s">
        <v>153</v>
      </c>
      <c r="M196" s="327"/>
      <c r="N196" s="327"/>
      <c r="O196" s="327"/>
    </row>
    <row r="197" spans="1:15" s="399" customFormat="1" ht="15">
      <c r="A197" s="523">
        <v>45968</v>
      </c>
      <c r="B197" s="510" t="s">
        <v>4917</v>
      </c>
      <c r="C197" s="510" t="s">
        <v>172</v>
      </c>
      <c r="D197" s="510" t="s">
        <v>119</v>
      </c>
      <c r="E197" s="510">
        <v>2000</v>
      </c>
      <c r="F197" s="502">
        <f t="shared" si="3"/>
        <v>3.7488074106424891</v>
      </c>
      <c r="G197" s="503">
        <v>533.50300000000004</v>
      </c>
      <c r="H197" s="510" t="s">
        <v>182</v>
      </c>
      <c r="I197" s="510" t="s">
        <v>4237</v>
      </c>
      <c r="J197" s="505" t="s">
        <v>96</v>
      </c>
      <c r="K197" s="505" t="s">
        <v>2102</v>
      </c>
      <c r="L197" s="505" t="s">
        <v>153</v>
      </c>
      <c r="M197" s="327"/>
      <c r="N197" s="327"/>
      <c r="O197" s="327"/>
    </row>
    <row r="198" spans="1:15" s="399" customFormat="1" ht="15">
      <c r="A198" s="523">
        <v>45968</v>
      </c>
      <c r="B198" s="510" t="s">
        <v>4917</v>
      </c>
      <c r="C198" s="510" t="s">
        <v>172</v>
      </c>
      <c r="D198" s="510" t="s">
        <v>119</v>
      </c>
      <c r="E198" s="510">
        <v>2000</v>
      </c>
      <c r="F198" s="502">
        <f t="shared" si="3"/>
        <v>3.7488074106424891</v>
      </c>
      <c r="G198" s="503">
        <v>533.50300000000004</v>
      </c>
      <c r="H198" s="510" t="s">
        <v>182</v>
      </c>
      <c r="I198" s="510" t="s">
        <v>4237</v>
      </c>
      <c r="J198" s="505" t="s">
        <v>96</v>
      </c>
      <c r="K198" s="505" t="s">
        <v>2102</v>
      </c>
      <c r="L198" s="505" t="s">
        <v>153</v>
      </c>
      <c r="M198" s="327"/>
      <c r="N198" s="327"/>
      <c r="O198" s="327"/>
    </row>
    <row r="199" spans="1:15" s="399" customFormat="1" ht="15">
      <c r="A199" s="523">
        <v>45968</v>
      </c>
      <c r="B199" s="510" t="s">
        <v>4917</v>
      </c>
      <c r="C199" s="510" t="s">
        <v>172</v>
      </c>
      <c r="D199" s="510" t="s">
        <v>119</v>
      </c>
      <c r="E199" s="510">
        <v>3000</v>
      </c>
      <c r="F199" s="502">
        <f t="shared" si="3"/>
        <v>5.6232111159637332</v>
      </c>
      <c r="G199" s="503">
        <v>533.50300000000004</v>
      </c>
      <c r="H199" s="510" t="s">
        <v>182</v>
      </c>
      <c r="I199" s="510" t="s">
        <v>4237</v>
      </c>
      <c r="J199" s="505" t="s">
        <v>96</v>
      </c>
      <c r="K199" s="505" t="s">
        <v>2102</v>
      </c>
      <c r="L199" s="505" t="s">
        <v>153</v>
      </c>
      <c r="M199" s="327"/>
      <c r="N199" s="327"/>
      <c r="O199" s="327"/>
    </row>
    <row r="200" spans="1:15" s="399" customFormat="1" ht="15">
      <c r="A200" s="523">
        <v>45968</v>
      </c>
      <c r="B200" s="510" t="s">
        <v>4917</v>
      </c>
      <c r="C200" s="510" t="s">
        <v>172</v>
      </c>
      <c r="D200" s="510" t="s">
        <v>119</v>
      </c>
      <c r="E200" s="510">
        <v>1500</v>
      </c>
      <c r="F200" s="502">
        <f t="shared" si="3"/>
        <v>2.8116055579818666</v>
      </c>
      <c r="G200" s="503">
        <v>533.50300000000004</v>
      </c>
      <c r="H200" s="510" t="s">
        <v>182</v>
      </c>
      <c r="I200" s="510" t="s">
        <v>4237</v>
      </c>
      <c r="J200" s="505" t="s">
        <v>96</v>
      </c>
      <c r="K200" s="505" t="s">
        <v>2102</v>
      </c>
      <c r="L200" s="505" t="s">
        <v>153</v>
      </c>
      <c r="M200" s="327"/>
      <c r="N200" s="327"/>
      <c r="O200" s="327"/>
    </row>
    <row r="201" spans="1:15" s="399" customFormat="1" ht="15">
      <c r="A201" s="523">
        <v>45968</v>
      </c>
      <c r="B201" s="510" t="s">
        <v>4232</v>
      </c>
      <c r="C201" s="510" t="s">
        <v>366</v>
      </c>
      <c r="D201" s="510" t="s">
        <v>119</v>
      </c>
      <c r="E201" s="510">
        <v>900</v>
      </c>
      <c r="F201" s="502">
        <f t="shared" si="3"/>
        <v>1.6561226855685469</v>
      </c>
      <c r="G201" s="503">
        <v>543.43799999999999</v>
      </c>
      <c r="H201" s="510" t="s">
        <v>182</v>
      </c>
      <c r="I201" s="510" t="s">
        <v>4238</v>
      </c>
      <c r="J201" s="505" t="s">
        <v>96</v>
      </c>
      <c r="K201" s="505" t="s">
        <v>4104</v>
      </c>
      <c r="L201" s="505" t="s">
        <v>153</v>
      </c>
      <c r="M201" s="125"/>
      <c r="N201" s="125"/>
      <c r="O201" s="125"/>
    </row>
    <row r="202" spans="1:15" s="399" customFormat="1" ht="15">
      <c r="A202" s="515">
        <v>45968</v>
      </c>
      <c r="B202" s="505" t="s">
        <v>4876</v>
      </c>
      <c r="C202" s="505" t="s">
        <v>1011</v>
      </c>
      <c r="D202" s="510" t="s">
        <v>119</v>
      </c>
      <c r="E202" s="505">
        <v>2500</v>
      </c>
      <c r="F202" s="502">
        <f t="shared" si="3"/>
        <v>4.6860092633031112</v>
      </c>
      <c r="G202" s="503">
        <v>533.50300000000004</v>
      </c>
      <c r="H202" s="505" t="s">
        <v>173</v>
      </c>
      <c r="I202" s="505" t="s">
        <v>4263</v>
      </c>
      <c r="J202" s="505" t="s">
        <v>96</v>
      </c>
      <c r="K202" s="505" t="s">
        <v>2102</v>
      </c>
      <c r="L202" s="505" t="s">
        <v>153</v>
      </c>
      <c r="M202" s="327"/>
      <c r="N202" s="327"/>
      <c r="O202" s="327"/>
    </row>
    <row r="203" spans="1:15" s="399" customFormat="1" ht="15">
      <c r="A203" s="515">
        <v>45968</v>
      </c>
      <c r="B203" s="505" t="s">
        <v>4876</v>
      </c>
      <c r="C203" s="505" t="s">
        <v>1011</v>
      </c>
      <c r="D203" s="510" t="s">
        <v>119</v>
      </c>
      <c r="E203" s="505">
        <v>2500</v>
      </c>
      <c r="F203" s="502">
        <f t="shared" si="3"/>
        <v>4.6860092633031112</v>
      </c>
      <c r="G203" s="503">
        <v>533.50300000000004</v>
      </c>
      <c r="H203" s="505" t="s">
        <v>173</v>
      </c>
      <c r="I203" s="505" t="s">
        <v>4263</v>
      </c>
      <c r="J203" s="505" t="s">
        <v>96</v>
      </c>
      <c r="K203" s="505" t="s">
        <v>2102</v>
      </c>
      <c r="L203" s="505" t="s">
        <v>153</v>
      </c>
      <c r="M203" s="327"/>
      <c r="N203" s="327"/>
      <c r="O203" s="327"/>
    </row>
    <row r="204" spans="1:15" s="399" customFormat="1" ht="15">
      <c r="A204" s="515">
        <v>45968</v>
      </c>
      <c r="B204" s="505" t="s">
        <v>4876</v>
      </c>
      <c r="C204" s="505" t="s">
        <v>172</v>
      </c>
      <c r="D204" s="510" t="s">
        <v>119</v>
      </c>
      <c r="E204" s="505">
        <v>3000</v>
      </c>
      <c r="F204" s="502">
        <f t="shared" si="3"/>
        <v>5.6232111159637332</v>
      </c>
      <c r="G204" s="503">
        <v>533.50300000000004</v>
      </c>
      <c r="H204" s="505" t="s">
        <v>315</v>
      </c>
      <c r="I204" s="505" t="s">
        <v>4288</v>
      </c>
      <c r="J204" s="505" t="s">
        <v>96</v>
      </c>
      <c r="K204" s="505" t="s">
        <v>2102</v>
      </c>
      <c r="L204" s="505" t="s">
        <v>153</v>
      </c>
      <c r="M204" s="125"/>
      <c r="N204" s="125"/>
      <c r="O204" s="125"/>
    </row>
    <row r="205" spans="1:15" s="399" customFormat="1" ht="15">
      <c r="A205" s="515">
        <v>45968</v>
      </c>
      <c r="B205" s="505" t="s">
        <v>4876</v>
      </c>
      <c r="C205" s="505" t="s">
        <v>172</v>
      </c>
      <c r="D205" s="510" t="s">
        <v>119</v>
      </c>
      <c r="E205" s="505">
        <v>1000</v>
      </c>
      <c r="F205" s="502">
        <f t="shared" si="3"/>
        <v>1.8744037053212446</v>
      </c>
      <c r="G205" s="503">
        <v>533.50300000000004</v>
      </c>
      <c r="H205" s="505" t="s">
        <v>315</v>
      </c>
      <c r="I205" s="505" t="s">
        <v>4288</v>
      </c>
      <c r="J205" s="505" t="s">
        <v>96</v>
      </c>
      <c r="K205" s="505" t="s">
        <v>2102</v>
      </c>
      <c r="L205" s="505" t="s">
        <v>153</v>
      </c>
      <c r="M205" s="125"/>
      <c r="N205" s="125"/>
      <c r="O205" s="125"/>
    </row>
    <row r="206" spans="1:15" s="399" customFormat="1" ht="15">
      <c r="A206" s="515">
        <v>45968</v>
      </c>
      <c r="B206" s="505" t="s">
        <v>4876</v>
      </c>
      <c r="C206" s="505" t="s">
        <v>172</v>
      </c>
      <c r="D206" s="510" t="s">
        <v>119</v>
      </c>
      <c r="E206" s="505">
        <v>1500</v>
      </c>
      <c r="F206" s="502">
        <f t="shared" si="3"/>
        <v>2.8116055579818666</v>
      </c>
      <c r="G206" s="503">
        <v>533.50300000000004</v>
      </c>
      <c r="H206" s="505" t="s">
        <v>315</v>
      </c>
      <c r="I206" s="505" t="s">
        <v>4288</v>
      </c>
      <c r="J206" s="505" t="s">
        <v>96</v>
      </c>
      <c r="K206" s="505" t="s">
        <v>2102</v>
      </c>
      <c r="L206" s="505" t="s">
        <v>153</v>
      </c>
      <c r="M206" s="125"/>
      <c r="N206" s="125"/>
      <c r="O206" s="125"/>
    </row>
    <row r="207" spans="1:15" s="399" customFormat="1" ht="15">
      <c r="A207" s="515">
        <v>45968</v>
      </c>
      <c r="B207" s="505" t="s">
        <v>4876</v>
      </c>
      <c r="C207" s="505" t="s">
        <v>172</v>
      </c>
      <c r="D207" s="510" t="s">
        <v>119</v>
      </c>
      <c r="E207" s="505">
        <v>2500</v>
      </c>
      <c r="F207" s="502">
        <f t="shared" si="3"/>
        <v>4.6860092633031112</v>
      </c>
      <c r="G207" s="503">
        <v>533.50300000000004</v>
      </c>
      <c r="H207" s="505" t="s">
        <v>315</v>
      </c>
      <c r="I207" s="505" t="s">
        <v>4288</v>
      </c>
      <c r="J207" s="505" t="s">
        <v>96</v>
      </c>
      <c r="K207" s="505" t="s">
        <v>2102</v>
      </c>
      <c r="L207" s="505" t="s">
        <v>153</v>
      </c>
      <c r="M207" s="125"/>
      <c r="N207" s="125"/>
      <c r="O207" s="125"/>
    </row>
    <row r="208" spans="1:15" s="399" customFormat="1" ht="15">
      <c r="A208" s="515">
        <v>45968</v>
      </c>
      <c r="B208" s="505" t="s">
        <v>4907</v>
      </c>
      <c r="C208" s="505" t="s">
        <v>172</v>
      </c>
      <c r="D208" s="510" t="s">
        <v>119</v>
      </c>
      <c r="E208" s="530">
        <v>2000</v>
      </c>
      <c r="F208" s="502">
        <f t="shared" si="3"/>
        <v>3.7488074106424891</v>
      </c>
      <c r="G208" s="503">
        <v>533.50300000000004</v>
      </c>
      <c r="H208" s="505" t="s">
        <v>321</v>
      </c>
      <c r="I208" s="505" t="s">
        <v>4314</v>
      </c>
      <c r="J208" s="505" t="s">
        <v>96</v>
      </c>
      <c r="K208" s="505" t="s">
        <v>2102</v>
      </c>
      <c r="L208" s="505" t="s">
        <v>153</v>
      </c>
      <c r="M208" s="125"/>
      <c r="N208" s="125"/>
      <c r="O208" s="125"/>
    </row>
    <row r="209" spans="1:15" s="399" customFormat="1" ht="15">
      <c r="A209" s="515">
        <v>45968</v>
      </c>
      <c r="B209" s="505" t="s">
        <v>4907</v>
      </c>
      <c r="C209" s="505" t="s">
        <v>172</v>
      </c>
      <c r="D209" s="510" t="s">
        <v>119</v>
      </c>
      <c r="E209" s="530">
        <v>1000</v>
      </c>
      <c r="F209" s="502">
        <f t="shared" si="3"/>
        <v>1.8744037053212446</v>
      </c>
      <c r="G209" s="503">
        <v>533.50300000000004</v>
      </c>
      <c r="H209" s="505" t="s">
        <v>321</v>
      </c>
      <c r="I209" s="505" t="s">
        <v>4314</v>
      </c>
      <c r="J209" s="505" t="s">
        <v>96</v>
      </c>
      <c r="K209" s="505" t="s">
        <v>2102</v>
      </c>
      <c r="L209" s="505" t="s">
        <v>153</v>
      </c>
      <c r="M209" s="125"/>
      <c r="N209" s="125"/>
      <c r="O209" s="125"/>
    </row>
    <row r="210" spans="1:15" s="399" customFormat="1" ht="15">
      <c r="A210" s="515">
        <v>45968</v>
      </c>
      <c r="B210" s="505" t="s">
        <v>4912</v>
      </c>
      <c r="C210" s="505" t="s">
        <v>172</v>
      </c>
      <c r="D210" s="510" t="s">
        <v>119</v>
      </c>
      <c r="E210" s="530">
        <v>1000</v>
      </c>
      <c r="F210" s="502">
        <f t="shared" si="3"/>
        <v>1.8744037053212446</v>
      </c>
      <c r="G210" s="503">
        <v>533.50300000000004</v>
      </c>
      <c r="H210" s="505" t="s">
        <v>321</v>
      </c>
      <c r="I210" s="505" t="s">
        <v>4314</v>
      </c>
      <c r="J210" s="505" t="s">
        <v>96</v>
      </c>
      <c r="K210" s="505" t="s">
        <v>2102</v>
      </c>
      <c r="L210" s="505" t="s">
        <v>153</v>
      </c>
      <c r="M210" s="125"/>
      <c r="N210" s="125"/>
      <c r="O210" s="125"/>
    </row>
    <row r="211" spans="1:15" s="399" customFormat="1" ht="15">
      <c r="A211" s="515">
        <v>45968</v>
      </c>
      <c r="B211" s="505" t="s">
        <v>4907</v>
      </c>
      <c r="C211" s="505" t="s">
        <v>172</v>
      </c>
      <c r="D211" s="510" t="s">
        <v>119</v>
      </c>
      <c r="E211" s="530">
        <v>1500</v>
      </c>
      <c r="F211" s="502">
        <f t="shared" si="3"/>
        <v>2.8116055579818666</v>
      </c>
      <c r="G211" s="503">
        <v>533.50300000000004</v>
      </c>
      <c r="H211" s="505" t="s">
        <v>321</v>
      </c>
      <c r="I211" s="505" t="s">
        <v>4314</v>
      </c>
      <c r="J211" s="505" t="s">
        <v>96</v>
      </c>
      <c r="K211" s="505" t="s">
        <v>2102</v>
      </c>
      <c r="L211" s="505" t="s">
        <v>153</v>
      </c>
      <c r="M211" s="125"/>
      <c r="N211" s="125"/>
      <c r="O211" s="125"/>
    </row>
    <row r="212" spans="1:15" s="399" customFormat="1" ht="15">
      <c r="A212" s="515">
        <v>45968</v>
      </c>
      <c r="B212" s="505" t="s">
        <v>4398</v>
      </c>
      <c r="C212" s="505" t="s">
        <v>175</v>
      </c>
      <c r="D212" s="505" t="s">
        <v>115</v>
      </c>
      <c r="E212" s="530">
        <v>150000</v>
      </c>
      <c r="F212" s="502">
        <f t="shared" si="3"/>
        <v>281.16055579818669</v>
      </c>
      <c r="G212" s="503">
        <v>533.50300000000004</v>
      </c>
      <c r="H212" s="505" t="s">
        <v>191</v>
      </c>
      <c r="I212" s="505" t="s">
        <v>4411</v>
      </c>
      <c r="J212" s="505" t="s">
        <v>96</v>
      </c>
      <c r="K212" s="505" t="s">
        <v>2102</v>
      </c>
      <c r="L212" s="505" t="s">
        <v>153</v>
      </c>
      <c r="M212" s="125"/>
      <c r="N212" s="125"/>
      <c r="O212" s="125"/>
    </row>
    <row r="213" spans="1:15" s="399" customFormat="1" ht="15">
      <c r="A213" s="515">
        <v>45968</v>
      </c>
      <c r="B213" s="505" t="s">
        <v>4399</v>
      </c>
      <c r="C213" s="505" t="s">
        <v>172</v>
      </c>
      <c r="D213" s="505" t="s">
        <v>115</v>
      </c>
      <c r="E213" s="530">
        <v>1000</v>
      </c>
      <c r="F213" s="502">
        <f t="shared" si="3"/>
        <v>1.8744037053212446</v>
      </c>
      <c r="G213" s="503">
        <v>533.50300000000004</v>
      </c>
      <c r="H213" s="505" t="s">
        <v>191</v>
      </c>
      <c r="I213" s="505" t="s">
        <v>4405</v>
      </c>
      <c r="J213" s="505" t="s">
        <v>96</v>
      </c>
      <c r="K213" s="505" t="s">
        <v>2102</v>
      </c>
      <c r="L213" s="505" t="s">
        <v>153</v>
      </c>
      <c r="M213" s="125"/>
      <c r="N213" s="125"/>
      <c r="O213" s="125"/>
    </row>
    <row r="214" spans="1:15" s="399" customFormat="1" ht="15">
      <c r="A214" s="515">
        <v>45968</v>
      </c>
      <c r="B214" s="505" t="s">
        <v>4587</v>
      </c>
      <c r="C214" s="505" t="s">
        <v>172</v>
      </c>
      <c r="D214" s="505" t="s">
        <v>115</v>
      </c>
      <c r="E214" s="505">
        <v>1000</v>
      </c>
      <c r="F214" s="502">
        <f t="shared" si="3"/>
        <v>1.8744037053212446</v>
      </c>
      <c r="G214" s="503">
        <v>533.50300000000004</v>
      </c>
      <c r="H214" s="505" t="s">
        <v>185</v>
      </c>
      <c r="I214" s="505" t="s">
        <v>4631</v>
      </c>
      <c r="J214" s="505" t="s">
        <v>96</v>
      </c>
      <c r="K214" s="505" t="s">
        <v>2102</v>
      </c>
      <c r="L214" s="505" t="s">
        <v>153</v>
      </c>
      <c r="M214" s="327"/>
      <c r="N214" s="327"/>
      <c r="O214" s="327"/>
    </row>
    <row r="215" spans="1:15" s="399" customFormat="1" ht="15">
      <c r="A215" s="515">
        <v>45968</v>
      </c>
      <c r="B215" s="505" t="s">
        <v>3002</v>
      </c>
      <c r="C215" s="505" t="s">
        <v>172</v>
      </c>
      <c r="D215" s="505" t="s">
        <v>115</v>
      </c>
      <c r="E215" s="505">
        <v>1000</v>
      </c>
      <c r="F215" s="502">
        <f t="shared" si="3"/>
        <v>1.8744037053212446</v>
      </c>
      <c r="G215" s="503">
        <v>533.50300000000004</v>
      </c>
      <c r="H215" s="505" t="s">
        <v>185</v>
      </c>
      <c r="I215" s="505" t="s">
        <v>4631</v>
      </c>
      <c r="J215" s="505" t="s">
        <v>96</v>
      </c>
      <c r="K215" s="505" t="s">
        <v>2102</v>
      </c>
      <c r="L215" s="505" t="s">
        <v>153</v>
      </c>
      <c r="M215" s="327"/>
      <c r="N215" s="327"/>
      <c r="O215" s="327"/>
    </row>
    <row r="216" spans="1:15" s="399" customFormat="1" ht="15">
      <c r="A216" s="515">
        <v>45968</v>
      </c>
      <c r="B216" s="505" t="s">
        <v>4588</v>
      </c>
      <c r="C216" s="505" t="s">
        <v>172</v>
      </c>
      <c r="D216" s="505" t="s">
        <v>115</v>
      </c>
      <c r="E216" s="505">
        <v>1000</v>
      </c>
      <c r="F216" s="502">
        <f t="shared" si="3"/>
        <v>1.8744037053212446</v>
      </c>
      <c r="G216" s="503">
        <v>533.50300000000004</v>
      </c>
      <c r="H216" s="505" t="s">
        <v>185</v>
      </c>
      <c r="I216" s="505" t="s">
        <v>4631</v>
      </c>
      <c r="J216" s="505" t="s">
        <v>96</v>
      </c>
      <c r="K216" s="505" t="s">
        <v>2102</v>
      </c>
      <c r="L216" s="505" t="s">
        <v>153</v>
      </c>
      <c r="M216" s="327"/>
      <c r="N216" s="327"/>
      <c r="O216" s="327"/>
    </row>
    <row r="217" spans="1:15" s="399" customFormat="1" ht="15">
      <c r="A217" s="515">
        <v>45968</v>
      </c>
      <c r="B217" s="505" t="s">
        <v>4586</v>
      </c>
      <c r="C217" s="505" t="s">
        <v>172</v>
      </c>
      <c r="D217" s="505" t="s">
        <v>115</v>
      </c>
      <c r="E217" s="505">
        <v>2500</v>
      </c>
      <c r="F217" s="502">
        <f t="shared" si="3"/>
        <v>4.6860092633031112</v>
      </c>
      <c r="G217" s="503">
        <v>533.50300000000004</v>
      </c>
      <c r="H217" s="505" t="s">
        <v>185</v>
      </c>
      <c r="I217" s="505" t="s">
        <v>4631</v>
      </c>
      <c r="J217" s="505" t="s">
        <v>96</v>
      </c>
      <c r="K217" s="505" t="s">
        <v>2102</v>
      </c>
      <c r="L217" s="505" t="s">
        <v>153</v>
      </c>
      <c r="M217" s="327"/>
      <c r="N217" s="327"/>
      <c r="O217" s="327"/>
    </row>
    <row r="218" spans="1:15" s="399" customFormat="1" ht="15">
      <c r="A218" s="517">
        <v>45969</v>
      </c>
      <c r="B218" s="505" t="s">
        <v>4193</v>
      </c>
      <c r="C218" s="505" t="s">
        <v>172</v>
      </c>
      <c r="D218" s="505" t="s">
        <v>116</v>
      </c>
      <c r="E218" s="518">
        <v>1000</v>
      </c>
      <c r="F218" s="502">
        <f t="shared" si="3"/>
        <v>1.8744037053212446</v>
      </c>
      <c r="G218" s="503">
        <v>533.50300000000004</v>
      </c>
      <c r="H218" s="505" t="s">
        <v>581</v>
      </c>
      <c r="I218" s="505" t="s">
        <v>4213</v>
      </c>
      <c r="J218" s="505" t="s">
        <v>96</v>
      </c>
      <c r="K218" s="505" t="s">
        <v>2102</v>
      </c>
      <c r="L218" s="505" t="s">
        <v>153</v>
      </c>
      <c r="M218" s="327"/>
      <c r="N218" s="327"/>
      <c r="O218" s="327"/>
    </row>
    <row r="219" spans="1:15" s="399" customFormat="1" ht="15">
      <c r="A219" s="517">
        <v>45969</v>
      </c>
      <c r="B219" s="505" t="s">
        <v>4194</v>
      </c>
      <c r="C219" s="505" t="s">
        <v>172</v>
      </c>
      <c r="D219" s="505" t="s">
        <v>116</v>
      </c>
      <c r="E219" s="518">
        <v>1000</v>
      </c>
      <c r="F219" s="502">
        <f t="shared" si="3"/>
        <v>1.8744037053212446</v>
      </c>
      <c r="G219" s="503">
        <v>533.50300000000004</v>
      </c>
      <c r="H219" s="505" t="s">
        <v>581</v>
      </c>
      <c r="I219" s="505" t="s">
        <v>4213</v>
      </c>
      <c r="J219" s="505" t="s">
        <v>96</v>
      </c>
      <c r="K219" s="505" t="s">
        <v>2102</v>
      </c>
      <c r="L219" s="505" t="s">
        <v>153</v>
      </c>
      <c r="M219" s="327"/>
      <c r="N219" s="327"/>
      <c r="O219" s="327"/>
    </row>
    <row r="220" spans="1:15" s="399" customFormat="1" ht="15">
      <c r="A220" s="515">
        <v>45969</v>
      </c>
      <c r="B220" s="505" t="s">
        <v>3551</v>
      </c>
      <c r="C220" s="505" t="s">
        <v>172</v>
      </c>
      <c r="D220" s="505" t="s">
        <v>115</v>
      </c>
      <c r="E220" s="518">
        <v>1500</v>
      </c>
      <c r="F220" s="502">
        <f t="shared" si="3"/>
        <v>2.8116055579818666</v>
      </c>
      <c r="G220" s="503">
        <v>533.50300000000004</v>
      </c>
      <c r="H220" s="505" t="s">
        <v>188</v>
      </c>
      <c r="I220" s="505" t="s">
        <v>4359</v>
      </c>
      <c r="J220" s="505" t="s">
        <v>96</v>
      </c>
      <c r="K220" s="505" t="s">
        <v>2102</v>
      </c>
      <c r="L220" s="505" t="s">
        <v>153</v>
      </c>
      <c r="M220" s="327"/>
      <c r="N220" s="327"/>
      <c r="O220" s="327"/>
    </row>
    <row r="221" spans="1:15" s="399" customFormat="1" ht="15">
      <c r="A221" s="515">
        <v>45969</v>
      </c>
      <c r="B221" s="505" t="s">
        <v>2843</v>
      </c>
      <c r="C221" s="505" t="s">
        <v>172</v>
      </c>
      <c r="D221" s="505" t="s">
        <v>115</v>
      </c>
      <c r="E221" s="518">
        <v>1500</v>
      </c>
      <c r="F221" s="502">
        <f t="shared" si="3"/>
        <v>2.8116055579818666</v>
      </c>
      <c r="G221" s="503">
        <v>533.50300000000004</v>
      </c>
      <c r="H221" s="505" t="s">
        <v>188</v>
      </c>
      <c r="I221" s="505" t="s">
        <v>4359</v>
      </c>
      <c r="J221" s="505" t="s">
        <v>96</v>
      </c>
      <c r="K221" s="505" t="s">
        <v>2102</v>
      </c>
      <c r="L221" s="505" t="s">
        <v>153</v>
      </c>
      <c r="M221" s="327"/>
      <c r="N221" s="327"/>
      <c r="O221" s="327"/>
    </row>
    <row r="222" spans="1:15" s="399" customFormat="1" ht="15">
      <c r="A222" s="629">
        <v>45971</v>
      </c>
      <c r="B222" s="298" t="s">
        <v>2107</v>
      </c>
      <c r="C222" s="298" t="s">
        <v>172</v>
      </c>
      <c r="D222" s="506" t="s">
        <v>117</v>
      </c>
      <c r="E222" s="630">
        <v>1000</v>
      </c>
      <c r="F222" s="502">
        <f t="shared" si="3"/>
        <v>1.8744037053212446</v>
      </c>
      <c r="G222" s="503">
        <v>533.50300000000004</v>
      </c>
      <c r="H222" s="631" t="s">
        <v>151</v>
      </c>
      <c r="I222" s="298" t="s">
        <v>4133</v>
      </c>
      <c r="J222" s="505" t="s">
        <v>96</v>
      </c>
      <c r="K222" s="505" t="s">
        <v>2102</v>
      </c>
      <c r="L222" s="505" t="s">
        <v>153</v>
      </c>
      <c r="M222" s="125"/>
      <c r="N222" s="125"/>
      <c r="O222" s="125"/>
    </row>
    <row r="223" spans="1:15" s="399" customFormat="1" ht="15">
      <c r="A223" s="629">
        <v>45971</v>
      </c>
      <c r="B223" s="298" t="s">
        <v>2108</v>
      </c>
      <c r="C223" s="298" t="s">
        <v>172</v>
      </c>
      <c r="D223" s="506" t="s">
        <v>117</v>
      </c>
      <c r="E223" s="630">
        <v>1000</v>
      </c>
      <c r="F223" s="502">
        <f t="shared" si="3"/>
        <v>1.8744037053212446</v>
      </c>
      <c r="G223" s="503">
        <v>533.50300000000004</v>
      </c>
      <c r="H223" s="631" t="s">
        <v>151</v>
      </c>
      <c r="I223" s="298" t="s">
        <v>4133</v>
      </c>
      <c r="J223" s="505" t="s">
        <v>96</v>
      </c>
      <c r="K223" s="505" t="s">
        <v>2102</v>
      </c>
      <c r="L223" s="505" t="s">
        <v>153</v>
      </c>
      <c r="M223" s="125"/>
      <c r="N223" s="125"/>
      <c r="O223" s="125"/>
    </row>
    <row r="224" spans="1:15" s="399" customFormat="1" ht="15">
      <c r="A224" s="629">
        <v>45971</v>
      </c>
      <c r="B224" s="298" t="s">
        <v>2104</v>
      </c>
      <c r="C224" s="298" t="s">
        <v>172</v>
      </c>
      <c r="D224" s="506" t="s">
        <v>117</v>
      </c>
      <c r="E224" s="630">
        <v>1000</v>
      </c>
      <c r="F224" s="502">
        <f t="shared" si="3"/>
        <v>1.8744037053212446</v>
      </c>
      <c r="G224" s="503">
        <v>533.50300000000004</v>
      </c>
      <c r="H224" s="631" t="s">
        <v>151</v>
      </c>
      <c r="I224" s="298" t="s">
        <v>4133</v>
      </c>
      <c r="J224" s="505" t="s">
        <v>96</v>
      </c>
      <c r="K224" s="505" t="s">
        <v>2102</v>
      </c>
      <c r="L224" s="505" t="s">
        <v>153</v>
      </c>
      <c r="M224" s="125"/>
      <c r="N224" s="125"/>
      <c r="O224" s="125"/>
    </row>
    <row r="225" spans="1:15" s="399" customFormat="1" ht="15">
      <c r="A225" s="629">
        <v>45971</v>
      </c>
      <c r="B225" s="298" t="s">
        <v>4124</v>
      </c>
      <c r="C225" s="506" t="s">
        <v>150</v>
      </c>
      <c r="D225" s="506" t="s">
        <v>117</v>
      </c>
      <c r="E225" s="630">
        <v>12500</v>
      </c>
      <c r="F225" s="502">
        <f t="shared" si="3"/>
        <v>23.430046316515558</v>
      </c>
      <c r="G225" s="503">
        <v>533.50300000000004</v>
      </c>
      <c r="H225" s="631" t="s">
        <v>151</v>
      </c>
      <c r="I225" s="298" t="s">
        <v>4137</v>
      </c>
      <c r="J225" s="505" t="s">
        <v>96</v>
      </c>
      <c r="K225" s="505" t="s">
        <v>2102</v>
      </c>
      <c r="L225" s="505" t="s">
        <v>153</v>
      </c>
      <c r="M225" s="327"/>
      <c r="N225" s="327"/>
      <c r="O225" s="327"/>
    </row>
    <row r="226" spans="1:15" s="399" customFormat="1" ht="15">
      <c r="A226" s="507">
        <v>45971</v>
      </c>
      <c r="B226" s="514" t="s">
        <v>4147</v>
      </c>
      <c r="C226" s="514" t="s">
        <v>150</v>
      </c>
      <c r="D226" s="514" t="s">
        <v>115</v>
      </c>
      <c r="E226" s="509">
        <v>10000</v>
      </c>
      <c r="F226" s="502">
        <f t="shared" si="3"/>
        <v>18.744037053212445</v>
      </c>
      <c r="G226" s="503">
        <v>533.50300000000004</v>
      </c>
      <c r="H226" s="510" t="s">
        <v>198</v>
      </c>
      <c r="I226" s="508" t="s">
        <v>4158</v>
      </c>
      <c r="J226" s="505" t="s">
        <v>96</v>
      </c>
      <c r="K226" s="505" t="s">
        <v>2102</v>
      </c>
      <c r="L226" s="505" t="s">
        <v>153</v>
      </c>
      <c r="M226" s="327"/>
      <c r="N226" s="327"/>
      <c r="O226" s="327"/>
    </row>
    <row r="227" spans="1:15" s="399" customFormat="1" ht="15">
      <c r="A227" s="515">
        <v>45971</v>
      </c>
      <c r="B227" s="514" t="s">
        <v>4148</v>
      </c>
      <c r="C227" s="514" t="s">
        <v>263</v>
      </c>
      <c r="D227" s="514" t="s">
        <v>2417</v>
      </c>
      <c r="E227" s="509">
        <v>30000</v>
      </c>
      <c r="F227" s="502">
        <f t="shared" si="3"/>
        <v>56.232111159637334</v>
      </c>
      <c r="G227" s="503">
        <v>533.50300000000004</v>
      </c>
      <c r="H227" s="514" t="s">
        <v>198</v>
      </c>
      <c r="I227" s="514" t="s">
        <v>4159</v>
      </c>
      <c r="J227" s="505" t="s">
        <v>96</v>
      </c>
      <c r="K227" s="505" t="s">
        <v>2102</v>
      </c>
      <c r="L227" s="505" t="s">
        <v>153</v>
      </c>
      <c r="M227" s="327"/>
      <c r="N227" s="327"/>
      <c r="O227" s="327"/>
    </row>
    <row r="228" spans="1:15" s="399" customFormat="1" ht="15">
      <c r="A228" s="517">
        <v>45971</v>
      </c>
      <c r="B228" s="505" t="s">
        <v>3405</v>
      </c>
      <c r="C228" s="505" t="s">
        <v>172</v>
      </c>
      <c r="D228" s="505" t="s">
        <v>116</v>
      </c>
      <c r="E228" s="518">
        <v>1000</v>
      </c>
      <c r="F228" s="502">
        <f t="shared" si="3"/>
        <v>1.8744037053212446</v>
      </c>
      <c r="G228" s="503">
        <v>533.50300000000004</v>
      </c>
      <c r="H228" s="505" t="s">
        <v>581</v>
      </c>
      <c r="I228" s="505" t="s">
        <v>4213</v>
      </c>
      <c r="J228" s="505" t="s">
        <v>96</v>
      </c>
      <c r="K228" s="505" t="s">
        <v>2102</v>
      </c>
      <c r="L228" s="505" t="s">
        <v>153</v>
      </c>
      <c r="M228" s="327"/>
      <c r="N228" s="327"/>
      <c r="O228" s="327"/>
    </row>
    <row r="229" spans="1:15" s="399" customFormat="1" ht="15">
      <c r="A229" s="517">
        <v>45971</v>
      </c>
      <c r="B229" s="505" t="s">
        <v>3406</v>
      </c>
      <c r="C229" s="505" t="s">
        <v>172</v>
      </c>
      <c r="D229" s="505" t="s">
        <v>116</v>
      </c>
      <c r="E229" s="518">
        <v>1000</v>
      </c>
      <c r="F229" s="502">
        <f t="shared" ref="F229:F292" si="4">E229/G229</f>
        <v>1.8744037053212446</v>
      </c>
      <c r="G229" s="503">
        <v>533.50300000000004</v>
      </c>
      <c r="H229" s="505" t="s">
        <v>581</v>
      </c>
      <c r="I229" s="505" t="s">
        <v>4213</v>
      </c>
      <c r="J229" s="505" t="s">
        <v>96</v>
      </c>
      <c r="K229" s="505" t="s">
        <v>2102</v>
      </c>
      <c r="L229" s="505" t="s">
        <v>153</v>
      </c>
      <c r="M229" s="125"/>
      <c r="N229" s="125"/>
      <c r="O229" s="125"/>
    </row>
    <row r="230" spans="1:15" s="399" customFormat="1" ht="15">
      <c r="A230" s="517">
        <v>45971</v>
      </c>
      <c r="B230" s="505" t="s">
        <v>4195</v>
      </c>
      <c r="C230" s="505" t="s">
        <v>172</v>
      </c>
      <c r="D230" s="505" t="s">
        <v>116</v>
      </c>
      <c r="E230" s="518">
        <v>1000</v>
      </c>
      <c r="F230" s="502">
        <f t="shared" si="4"/>
        <v>1.8744037053212446</v>
      </c>
      <c r="G230" s="503">
        <v>533.50300000000004</v>
      </c>
      <c r="H230" s="505" t="s">
        <v>581</v>
      </c>
      <c r="I230" s="505" t="s">
        <v>4213</v>
      </c>
      <c r="J230" s="505" t="s">
        <v>96</v>
      </c>
      <c r="K230" s="505" t="s">
        <v>2102</v>
      </c>
      <c r="L230" s="505" t="s">
        <v>153</v>
      </c>
      <c r="M230" s="125"/>
      <c r="N230" s="125"/>
      <c r="O230" s="125"/>
    </row>
    <row r="231" spans="1:15" s="399" customFormat="1" ht="15">
      <c r="A231" s="517">
        <v>45971</v>
      </c>
      <c r="B231" s="505" t="s">
        <v>4196</v>
      </c>
      <c r="C231" s="530" t="s">
        <v>150</v>
      </c>
      <c r="D231" s="505" t="s">
        <v>117</v>
      </c>
      <c r="E231" s="518">
        <v>7500</v>
      </c>
      <c r="F231" s="502">
        <f t="shared" si="4"/>
        <v>14.058027789909334</v>
      </c>
      <c r="G231" s="503">
        <v>533.50300000000004</v>
      </c>
      <c r="H231" s="505" t="s">
        <v>581</v>
      </c>
      <c r="I231" s="505" t="s">
        <v>4218</v>
      </c>
      <c r="J231" s="505" t="s">
        <v>96</v>
      </c>
      <c r="K231" s="505" t="s">
        <v>2102</v>
      </c>
      <c r="L231" s="505" t="s">
        <v>153</v>
      </c>
      <c r="M231" s="125"/>
      <c r="N231" s="125"/>
      <c r="O231" s="125"/>
    </row>
    <row r="232" spans="1:15" s="399" customFormat="1" ht="15">
      <c r="A232" s="523">
        <v>45971</v>
      </c>
      <c r="B232" s="510" t="s">
        <v>4234</v>
      </c>
      <c r="C232" s="510" t="s">
        <v>150</v>
      </c>
      <c r="D232" s="510" t="s">
        <v>119</v>
      </c>
      <c r="E232" s="510">
        <v>10000</v>
      </c>
      <c r="F232" s="502">
        <f t="shared" si="4"/>
        <v>18.744037053212445</v>
      </c>
      <c r="G232" s="503">
        <v>533.50300000000004</v>
      </c>
      <c r="H232" s="510" t="s">
        <v>182</v>
      </c>
      <c r="I232" s="510" t="s">
        <v>4240</v>
      </c>
      <c r="J232" s="505" t="s">
        <v>96</v>
      </c>
      <c r="K232" s="505" t="s">
        <v>2102</v>
      </c>
      <c r="L232" s="505" t="s">
        <v>153</v>
      </c>
      <c r="M232" s="125"/>
      <c r="N232" s="125"/>
      <c r="O232" s="125"/>
    </row>
    <row r="233" spans="1:15" s="399" customFormat="1" ht="15">
      <c r="A233" s="515">
        <v>45971</v>
      </c>
      <c r="B233" s="510" t="s">
        <v>4257</v>
      </c>
      <c r="C233" s="510" t="s">
        <v>150</v>
      </c>
      <c r="D233" s="510" t="s">
        <v>119</v>
      </c>
      <c r="E233" s="505">
        <v>10000</v>
      </c>
      <c r="F233" s="502">
        <f t="shared" si="4"/>
        <v>18.744037053212445</v>
      </c>
      <c r="G233" s="503">
        <v>533.50300000000004</v>
      </c>
      <c r="H233" s="505" t="s">
        <v>173</v>
      </c>
      <c r="I233" s="505" t="s">
        <v>4266</v>
      </c>
      <c r="J233" s="505" t="s">
        <v>96</v>
      </c>
      <c r="K233" s="505" t="s">
        <v>2102</v>
      </c>
      <c r="L233" s="505" t="s">
        <v>153</v>
      </c>
      <c r="M233" s="327"/>
      <c r="N233" s="327"/>
      <c r="O233" s="327"/>
    </row>
    <row r="234" spans="1:15" s="399" customFormat="1" ht="15">
      <c r="A234" s="515">
        <v>45971</v>
      </c>
      <c r="B234" s="505" t="s">
        <v>4741</v>
      </c>
      <c r="C234" s="505" t="s">
        <v>150</v>
      </c>
      <c r="D234" s="510" t="s">
        <v>119</v>
      </c>
      <c r="E234" s="505">
        <v>10000</v>
      </c>
      <c r="F234" s="502">
        <f t="shared" si="4"/>
        <v>18.744037053212445</v>
      </c>
      <c r="G234" s="503">
        <v>533.50300000000004</v>
      </c>
      <c r="H234" s="505" t="s">
        <v>315</v>
      </c>
      <c r="I234" s="505" t="s">
        <v>4290</v>
      </c>
      <c r="J234" s="505" t="s">
        <v>96</v>
      </c>
      <c r="K234" s="505" t="s">
        <v>2102</v>
      </c>
      <c r="L234" s="505" t="s">
        <v>153</v>
      </c>
      <c r="M234" s="125"/>
      <c r="N234" s="125"/>
      <c r="O234" s="125"/>
    </row>
    <row r="235" spans="1:15" s="399" customFormat="1" ht="15">
      <c r="A235" s="515">
        <v>45971</v>
      </c>
      <c r="B235" s="505" t="s">
        <v>4742</v>
      </c>
      <c r="C235" s="505" t="s">
        <v>150</v>
      </c>
      <c r="D235" s="510" t="s">
        <v>119</v>
      </c>
      <c r="E235" s="530">
        <v>10000</v>
      </c>
      <c r="F235" s="502">
        <f t="shared" si="4"/>
        <v>18.744037053212445</v>
      </c>
      <c r="G235" s="503">
        <v>533.50300000000004</v>
      </c>
      <c r="H235" s="505" t="s">
        <v>321</v>
      </c>
      <c r="I235" s="505" t="s">
        <v>4315</v>
      </c>
      <c r="J235" s="505" t="s">
        <v>96</v>
      </c>
      <c r="K235" s="505" t="s">
        <v>2102</v>
      </c>
      <c r="L235" s="505" t="s">
        <v>153</v>
      </c>
      <c r="M235" s="125"/>
      <c r="N235" s="125"/>
      <c r="O235" s="125"/>
    </row>
    <row r="236" spans="1:15" s="399" customFormat="1" ht="15">
      <c r="A236" s="515">
        <v>45971</v>
      </c>
      <c r="B236" s="505" t="s">
        <v>1313</v>
      </c>
      <c r="C236" s="505" t="s">
        <v>172</v>
      </c>
      <c r="D236" s="505" t="s">
        <v>115</v>
      </c>
      <c r="E236" s="518">
        <v>8000</v>
      </c>
      <c r="F236" s="502">
        <f t="shared" si="4"/>
        <v>14.995229642569956</v>
      </c>
      <c r="G236" s="503">
        <v>533.50300000000004</v>
      </c>
      <c r="H236" s="505" t="s">
        <v>188</v>
      </c>
      <c r="I236" s="505" t="s">
        <v>4367</v>
      </c>
      <c r="J236" s="505" t="s">
        <v>96</v>
      </c>
      <c r="K236" s="505" t="s">
        <v>2102</v>
      </c>
      <c r="L236" s="505" t="s">
        <v>153</v>
      </c>
      <c r="M236" s="327"/>
      <c r="N236" s="125"/>
      <c r="O236" s="125"/>
    </row>
    <row r="237" spans="1:15" s="399" customFormat="1" ht="15">
      <c r="A237" s="515">
        <v>45971</v>
      </c>
      <c r="B237" s="505" t="s">
        <v>2843</v>
      </c>
      <c r="C237" s="505" t="s">
        <v>172</v>
      </c>
      <c r="D237" s="505" t="s">
        <v>115</v>
      </c>
      <c r="E237" s="518">
        <v>1000</v>
      </c>
      <c r="F237" s="502">
        <f t="shared" si="4"/>
        <v>1.8744037053212446</v>
      </c>
      <c r="G237" s="503">
        <v>533.50300000000004</v>
      </c>
      <c r="H237" s="505" t="s">
        <v>188</v>
      </c>
      <c r="I237" s="505" t="s">
        <v>4359</v>
      </c>
      <c r="J237" s="505" t="s">
        <v>96</v>
      </c>
      <c r="K237" s="505" t="s">
        <v>2102</v>
      </c>
      <c r="L237" s="505" t="s">
        <v>153</v>
      </c>
      <c r="M237" s="327"/>
      <c r="N237" s="125"/>
      <c r="O237" s="125"/>
    </row>
    <row r="238" spans="1:15" s="399" customFormat="1" ht="15">
      <c r="A238" s="515">
        <v>45971</v>
      </c>
      <c r="B238" s="505" t="s">
        <v>4340</v>
      </c>
      <c r="C238" s="505" t="s">
        <v>150</v>
      </c>
      <c r="D238" s="505" t="s">
        <v>115</v>
      </c>
      <c r="E238" s="518">
        <v>7500</v>
      </c>
      <c r="F238" s="502">
        <f t="shared" si="4"/>
        <v>14.058027789909334</v>
      </c>
      <c r="G238" s="503">
        <v>533.50300000000004</v>
      </c>
      <c r="H238" s="505" t="s">
        <v>188</v>
      </c>
      <c r="I238" s="505" t="s">
        <v>4368</v>
      </c>
      <c r="J238" s="505" t="s">
        <v>96</v>
      </c>
      <c r="K238" s="505" t="s">
        <v>2102</v>
      </c>
      <c r="L238" s="505" t="s">
        <v>153</v>
      </c>
      <c r="M238" s="327"/>
      <c r="N238" s="327"/>
      <c r="O238" s="327"/>
    </row>
    <row r="239" spans="1:15" s="399" customFormat="1" ht="15">
      <c r="A239" s="515">
        <v>45971</v>
      </c>
      <c r="B239" s="505" t="s">
        <v>4400</v>
      </c>
      <c r="C239" s="505" t="s">
        <v>150</v>
      </c>
      <c r="D239" s="505" t="s">
        <v>115</v>
      </c>
      <c r="E239" s="530">
        <v>7500</v>
      </c>
      <c r="F239" s="502">
        <f t="shared" si="4"/>
        <v>14.058027789909334</v>
      </c>
      <c r="G239" s="503">
        <v>533.50300000000004</v>
      </c>
      <c r="H239" s="505" t="s">
        <v>191</v>
      </c>
      <c r="I239" s="505" t="s">
        <v>4412</v>
      </c>
      <c r="J239" s="505" t="s">
        <v>96</v>
      </c>
      <c r="K239" s="505" t="s">
        <v>2102</v>
      </c>
      <c r="L239" s="505" t="s">
        <v>153</v>
      </c>
      <c r="M239" s="125"/>
      <c r="N239" s="125"/>
      <c r="O239" s="125"/>
    </row>
    <row r="240" spans="1:15" s="399" customFormat="1" ht="15">
      <c r="A240" s="515">
        <v>45971</v>
      </c>
      <c r="B240" s="505" t="s">
        <v>4401</v>
      </c>
      <c r="C240" s="505" t="s">
        <v>263</v>
      </c>
      <c r="D240" s="505" t="s">
        <v>2417</v>
      </c>
      <c r="E240" s="530">
        <v>25000</v>
      </c>
      <c r="F240" s="502">
        <f t="shared" si="4"/>
        <v>46.860092633031115</v>
      </c>
      <c r="G240" s="503">
        <v>533.50300000000004</v>
      </c>
      <c r="H240" s="505" t="s">
        <v>191</v>
      </c>
      <c r="I240" s="505" t="s">
        <v>4413</v>
      </c>
      <c r="J240" s="505" t="s">
        <v>96</v>
      </c>
      <c r="K240" s="505" t="s">
        <v>2102</v>
      </c>
      <c r="L240" s="505" t="s">
        <v>153</v>
      </c>
      <c r="M240" s="327"/>
      <c r="N240" s="327"/>
      <c r="O240" s="327"/>
    </row>
    <row r="241" spans="1:15" s="399" customFormat="1" ht="15">
      <c r="A241" s="529">
        <v>45971</v>
      </c>
      <c r="B241" s="505" t="s">
        <v>4417</v>
      </c>
      <c r="C241" s="298" t="s">
        <v>150</v>
      </c>
      <c r="D241" s="298" t="s">
        <v>115</v>
      </c>
      <c r="E241" s="530">
        <v>10000</v>
      </c>
      <c r="F241" s="502">
        <f t="shared" si="4"/>
        <v>18.744037053212445</v>
      </c>
      <c r="G241" s="503">
        <v>533.50300000000004</v>
      </c>
      <c r="H241" s="298" t="s">
        <v>435</v>
      </c>
      <c r="I241" s="505" t="s">
        <v>4445</v>
      </c>
      <c r="J241" s="505" t="s">
        <v>96</v>
      </c>
      <c r="K241" s="505" t="s">
        <v>2102</v>
      </c>
      <c r="L241" s="505" t="s">
        <v>153</v>
      </c>
      <c r="M241" s="327"/>
      <c r="N241" s="327"/>
      <c r="O241" s="327"/>
    </row>
    <row r="242" spans="1:15" s="399" customFormat="1" ht="15">
      <c r="A242" s="531">
        <v>45971</v>
      </c>
      <c r="B242" s="514" t="s">
        <v>4496</v>
      </c>
      <c r="C242" s="514" t="s">
        <v>150</v>
      </c>
      <c r="D242" s="514" t="s">
        <v>118</v>
      </c>
      <c r="E242" s="518">
        <v>10000</v>
      </c>
      <c r="F242" s="502">
        <f t="shared" si="4"/>
        <v>18.744037053212445</v>
      </c>
      <c r="G242" s="503">
        <v>533.50300000000004</v>
      </c>
      <c r="H242" s="514" t="s">
        <v>211</v>
      </c>
      <c r="I242" s="514" t="s">
        <v>4566</v>
      </c>
      <c r="J242" s="505" t="s">
        <v>96</v>
      </c>
      <c r="K242" s="505" t="s">
        <v>2102</v>
      </c>
      <c r="L242" s="505" t="s">
        <v>153</v>
      </c>
      <c r="M242" s="125"/>
      <c r="N242" s="125"/>
      <c r="O242" s="125"/>
    </row>
    <row r="243" spans="1:15" s="399" customFormat="1" ht="15">
      <c r="A243" s="515">
        <v>45971</v>
      </c>
      <c r="B243" s="505" t="s">
        <v>4589</v>
      </c>
      <c r="C243" s="505" t="s">
        <v>172</v>
      </c>
      <c r="D243" s="505" t="s">
        <v>115</v>
      </c>
      <c r="E243" s="518">
        <v>22000</v>
      </c>
      <c r="F243" s="502">
        <f t="shared" si="4"/>
        <v>41.236881517067381</v>
      </c>
      <c r="G243" s="503">
        <v>533.50300000000004</v>
      </c>
      <c r="H243" s="505" t="s">
        <v>185</v>
      </c>
      <c r="I243" s="505" t="s">
        <v>4635</v>
      </c>
      <c r="J243" s="505" t="s">
        <v>96</v>
      </c>
      <c r="K243" s="505" t="s">
        <v>2102</v>
      </c>
      <c r="L243" s="505" t="s">
        <v>153</v>
      </c>
      <c r="M243" s="327"/>
      <c r="N243" s="327"/>
      <c r="O243" s="327"/>
    </row>
    <row r="244" spans="1:15" s="399" customFormat="1" ht="15">
      <c r="A244" s="515">
        <v>45971</v>
      </c>
      <c r="B244" s="505" t="s">
        <v>4590</v>
      </c>
      <c r="C244" s="505" t="s">
        <v>175</v>
      </c>
      <c r="D244" s="505" t="s">
        <v>115</v>
      </c>
      <c r="E244" s="518">
        <v>50000</v>
      </c>
      <c r="F244" s="502">
        <f t="shared" si="4"/>
        <v>93.720185266062231</v>
      </c>
      <c r="G244" s="503">
        <v>533.50300000000004</v>
      </c>
      <c r="H244" s="505" t="s">
        <v>185</v>
      </c>
      <c r="I244" s="505" t="s">
        <v>4636</v>
      </c>
      <c r="J244" s="505" t="s">
        <v>96</v>
      </c>
      <c r="K244" s="505" t="s">
        <v>2102</v>
      </c>
      <c r="L244" s="505" t="s">
        <v>153</v>
      </c>
      <c r="M244" s="327"/>
      <c r="N244" s="327"/>
      <c r="O244" s="327"/>
    </row>
    <row r="245" spans="1:15" s="399" customFormat="1" ht="15">
      <c r="A245" s="515">
        <v>45971</v>
      </c>
      <c r="B245" s="505" t="s">
        <v>4591</v>
      </c>
      <c r="C245" s="505" t="s">
        <v>172</v>
      </c>
      <c r="D245" s="505" t="s">
        <v>115</v>
      </c>
      <c r="E245" s="505">
        <v>1000</v>
      </c>
      <c r="F245" s="502">
        <f t="shared" si="4"/>
        <v>1.8744037053212446</v>
      </c>
      <c r="G245" s="503">
        <v>533.50300000000004</v>
      </c>
      <c r="H245" s="505" t="s">
        <v>185</v>
      </c>
      <c r="I245" s="505" t="s">
        <v>4631</v>
      </c>
      <c r="J245" s="505" t="s">
        <v>96</v>
      </c>
      <c r="K245" s="505" t="s">
        <v>2102</v>
      </c>
      <c r="L245" s="505" t="s">
        <v>153</v>
      </c>
      <c r="M245" s="327"/>
      <c r="N245" s="327"/>
      <c r="O245" s="327"/>
    </row>
    <row r="246" spans="1:15" s="399" customFormat="1" ht="15">
      <c r="A246" s="515">
        <v>45971</v>
      </c>
      <c r="B246" s="505" t="s">
        <v>3002</v>
      </c>
      <c r="C246" s="505" t="s">
        <v>172</v>
      </c>
      <c r="D246" s="505" t="s">
        <v>115</v>
      </c>
      <c r="E246" s="505">
        <v>1000</v>
      </c>
      <c r="F246" s="502">
        <f t="shared" si="4"/>
        <v>1.8744037053212446</v>
      </c>
      <c r="G246" s="503">
        <v>533.50300000000004</v>
      </c>
      <c r="H246" s="505" t="s">
        <v>185</v>
      </c>
      <c r="I246" s="505" t="s">
        <v>4631</v>
      </c>
      <c r="J246" s="505" t="s">
        <v>96</v>
      </c>
      <c r="K246" s="505" t="s">
        <v>2102</v>
      </c>
      <c r="L246" s="505" t="s">
        <v>153</v>
      </c>
      <c r="M246" s="327"/>
      <c r="N246" s="327"/>
      <c r="O246" s="327"/>
    </row>
    <row r="247" spans="1:15" s="399" customFormat="1" ht="15">
      <c r="A247" s="515">
        <v>45971</v>
      </c>
      <c r="B247" s="505" t="s">
        <v>3945</v>
      </c>
      <c r="C247" s="505" t="s">
        <v>172</v>
      </c>
      <c r="D247" s="505" t="s">
        <v>115</v>
      </c>
      <c r="E247" s="505">
        <v>1000</v>
      </c>
      <c r="F247" s="502">
        <f t="shared" si="4"/>
        <v>1.8744037053212446</v>
      </c>
      <c r="G247" s="503">
        <v>533.50300000000004</v>
      </c>
      <c r="H247" s="505" t="s">
        <v>185</v>
      </c>
      <c r="I247" s="505" t="s">
        <v>4631</v>
      </c>
      <c r="J247" s="505" t="s">
        <v>96</v>
      </c>
      <c r="K247" s="505" t="s">
        <v>2102</v>
      </c>
      <c r="L247" s="505" t="s">
        <v>153</v>
      </c>
      <c r="M247" s="327"/>
      <c r="N247" s="327"/>
      <c r="O247" s="327"/>
    </row>
    <row r="248" spans="1:15" s="399" customFormat="1" ht="15">
      <c r="A248" s="515">
        <v>45971</v>
      </c>
      <c r="B248" s="505" t="s">
        <v>4592</v>
      </c>
      <c r="C248" s="505" t="s">
        <v>172</v>
      </c>
      <c r="D248" s="505" t="s">
        <v>115</v>
      </c>
      <c r="E248" s="505">
        <v>1000</v>
      </c>
      <c r="F248" s="502">
        <f t="shared" si="4"/>
        <v>1.8744037053212446</v>
      </c>
      <c r="G248" s="503">
        <v>533.50300000000004</v>
      </c>
      <c r="H248" s="505" t="s">
        <v>185</v>
      </c>
      <c r="I248" s="505" t="s">
        <v>4631</v>
      </c>
      <c r="J248" s="505" t="s">
        <v>96</v>
      </c>
      <c r="K248" s="505" t="s">
        <v>2102</v>
      </c>
      <c r="L248" s="505" t="s">
        <v>153</v>
      </c>
      <c r="M248" s="327"/>
      <c r="N248" s="327"/>
      <c r="O248" s="327"/>
    </row>
    <row r="249" spans="1:15" s="399" customFormat="1" ht="15">
      <c r="A249" s="515">
        <v>45971</v>
      </c>
      <c r="B249" s="505" t="s">
        <v>4593</v>
      </c>
      <c r="C249" s="505" t="s">
        <v>172</v>
      </c>
      <c r="D249" s="505" t="s">
        <v>115</v>
      </c>
      <c r="E249" s="505">
        <v>1000</v>
      </c>
      <c r="F249" s="502">
        <f t="shared" si="4"/>
        <v>1.8744037053212446</v>
      </c>
      <c r="G249" s="503">
        <v>533.50300000000004</v>
      </c>
      <c r="H249" s="505" t="s">
        <v>185</v>
      </c>
      <c r="I249" s="505" t="s">
        <v>4631</v>
      </c>
      <c r="J249" s="505" t="s">
        <v>96</v>
      </c>
      <c r="K249" s="505" t="s">
        <v>2102</v>
      </c>
      <c r="L249" s="505" t="s">
        <v>153</v>
      </c>
      <c r="M249" s="327"/>
      <c r="N249" s="327"/>
      <c r="O249" s="327"/>
    </row>
    <row r="250" spans="1:15" s="399" customFormat="1" ht="15">
      <c r="A250" s="515">
        <v>45971</v>
      </c>
      <c r="B250" s="505" t="s">
        <v>4594</v>
      </c>
      <c r="C250" s="505" t="s">
        <v>172</v>
      </c>
      <c r="D250" s="505" t="s">
        <v>115</v>
      </c>
      <c r="E250" s="505">
        <v>1000</v>
      </c>
      <c r="F250" s="502">
        <f t="shared" si="4"/>
        <v>1.8744037053212446</v>
      </c>
      <c r="G250" s="503">
        <v>533.50300000000004</v>
      </c>
      <c r="H250" s="505" t="s">
        <v>185</v>
      </c>
      <c r="I250" s="505" t="s">
        <v>4631</v>
      </c>
      <c r="J250" s="505" t="s">
        <v>96</v>
      </c>
      <c r="K250" s="505" t="s">
        <v>2102</v>
      </c>
      <c r="L250" s="505" t="s">
        <v>153</v>
      </c>
      <c r="M250" s="327"/>
      <c r="N250" s="327"/>
      <c r="O250" s="327"/>
    </row>
    <row r="251" spans="1:15" s="399" customFormat="1" ht="15">
      <c r="A251" s="515">
        <v>45971</v>
      </c>
      <c r="B251" s="505" t="s">
        <v>4595</v>
      </c>
      <c r="C251" s="505" t="s">
        <v>150</v>
      </c>
      <c r="D251" s="505" t="s">
        <v>115</v>
      </c>
      <c r="E251" s="505">
        <v>7500</v>
      </c>
      <c r="F251" s="502">
        <f t="shared" si="4"/>
        <v>14.058027789909334</v>
      </c>
      <c r="G251" s="503">
        <v>533.50300000000004</v>
      </c>
      <c r="H251" s="505" t="s">
        <v>185</v>
      </c>
      <c r="I251" s="505" t="s">
        <v>4637</v>
      </c>
      <c r="J251" s="505" t="s">
        <v>96</v>
      </c>
      <c r="K251" s="505" t="s">
        <v>2102</v>
      </c>
      <c r="L251" s="505" t="s">
        <v>153</v>
      </c>
      <c r="M251" s="327"/>
      <c r="N251" s="327"/>
      <c r="O251" s="327"/>
    </row>
    <row r="252" spans="1:15" s="399" customFormat="1" ht="15">
      <c r="A252" s="629">
        <v>45972</v>
      </c>
      <c r="B252" s="298" t="s">
        <v>2103</v>
      </c>
      <c r="C252" s="298" t="s">
        <v>172</v>
      </c>
      <c r="D252" s="506" t="s">
        <v>117</v>
      </c>
      <c r="E252" s="630">
        <v>1000</v>
      </c>
      <c r="F252" s="502">
        <f t="shared" si="4"/>
        <v>1.8744037053212446</v>
      </c>
      <c r="G252" s="503">
        <v>533.50300000000004</v>
      </c>
      <c r="H252" s="631" t="s">
        <v>151</v>
      </c>
      <c r="I252" s="298" t="s">
        <v>4133</v>
      </c>
      <c r="J252" s="505" t="s">
        <v>96</v>
      </c>
      <c r="K252" s="505" t="s">
        <v>2102</v>
      </c>
      <c r="L252" s="505" t="s">
        <v>153</v>
      </c>
      <c r="M252" s="327"/>
      <c r="N252" s="327"/>
      <c r="O252" s="327"/>
    </row>
    <row r="253" spans="1:15" s="399" customFormat="1" ht="15">
      <c r="A253" s="629">
        <v>45972</v>
      </c>
      <c r="B253" s="298" t="s">
        <v>2116</v>
      </c>
      <c r="C253" s="298" t="s">
        <v>172</v>
      </c>
      <c r="D253" s="506" t="s">
        <v>117</v>
      </c>
      <c r="E253" s="630">
        <v>1000</v>
      </c>
      <c r="F253" s="502">
        <f t="shared" si="4"/>
        <v>1.8744037053212446</v>
      </c>
      <c r="G253" s="503">
        <v>533.50300000000004</v>
      </c>
      <c r="H253" s="631" t="s">
        <v>151</v>
      </c>
      <c r="I253" s="298" t="s">
        <v>4133</v>
      </c>
      <c r="J253" s="505" t="s">
        <v>96</v>
      </c>
      <c r="K253" s="505" t="s">
        <v>2102</v>
      </c>
      <c r="L253" s="505" t="s">
        <v>153</v>
      </c>
      <c r="M253" s="327"/>
      <c r="N253" s="327"/>
      <c r="O253" s="327"/>
    </row>
    <row r="254" spans="1:15" s="399" customFormat="1" ht="15">
      <c r="A254" s="523">
        <v>45972</v>
      </c>
      <c r="B254" s="510" t="s">
        <v>4917</v>
      </c>
      <c r="C254" s="510" t="s">
        <v>172</v>
      </c>
      <c r="D254" s="510" t="s">
        <v>119</v>
      </c>
      <c r="E254" s="510">
        <v>3500</v>
      </c>
      <c r="F254" s="502">
        <f t="shared" si="4"/>
        <v>6.5604129686243562</v>
      </c>
      <c r="G254" s="503">
        <v>533.50300000000004</v>
      </c>
      <c r="H254" s="510" t="s">
        <v>182</v>
      </c>
      <c r="I254" s="510" t="s">
        <v>4237</v>
      </c>
      <c r="J254" s="505" t="s">
        <v>96</v>
      </c>
      <c r="K254" s="505" t="s">
        <v>2102</v>
      </c>
      <c r="L254" s="505" t="s">
        <v>153</v>
      </c>
      <c r="M254" s="125"/>
      <c r="N254" s="125"/>
      <c r="O254" s="125"/>
    </row>
    <row r="255" spans="1:15" s="399" customFormat="1" ht="15">
      <c r="A255" s="523">
        <v>45972</v>
      </c>
      <c r="B255" s="510" t="s">
        <v>4917</v>
      </c>
      <c r="C255" s="510" t="s">
        <v>172</v>
      </c>
      <c r="D255" s="510" t="s">
        <v>119</v>
      </c>
      <c r="E255" s="510">
        <v>2000</v>
      </c>
      <c r="F255" s="502">
        <f t="shared" si="4"/>
        <v>3.7488074106424891</v>
      </c>
      <c r="G255" s="503">
        <v>533.50300000000004</v>
      </c>
      <c r="H255" s="510" t="s">
        <v>182</v>
      </c>
      <c r="I255" s="510" t="s">
        <v>4237</v>
      </c>
      <c r="J255" s="505" t="s">
        <v>96</v>
      </c>
      <c r="K255" s="505" t="s">
        <v>2102</v>
      </c>
      <c r="L255" s="505" t="s">
        <v>153</v>
      </c>
      <c r="M255" s="125"/>
      <c r="N255" s="125"/>
      <c r="O255" s="125"/>
    </row>
    <row r="256" spans="1:15" s="399" customFormat="1" ht="15">
      <c r="A256" s="523">
        <v>45972</v>
      </c>
      <c r="B256" s="510" t="s">
        <v>4917</v>
      </c>
      <c r="C256" s="510" t="s">
        <v>172</v>
      </c>
      <c r="D256" s="510" t="s">
        <v>119</v>
      </c>
      <c r="E256" s="510">
        <v>1500</v>
      </c>
      <c r="F256" s="502">
        <f t="shared" si="4"/>
        <v>2.8116055579818666</v>
      </c>
      <c r="G256" s="503">
        <v>533.50300000000004</v>
      </c>
      <c r="H256" s="510" t="s">
        <v>182</v>
      </c>
      <c r="I256" s="510" t="s">
        <v>4237</v>
      </c>
      <c r="J256" s="505" t="s">
        <v>96</v>
      </c>
      <c r="K256" s="505" t="s">
        <v>2102</v>
      </c>
      <c r="L256" s="505" t="s">
        <v>153</v>
      </c>
      <c r="M256" s="125"/>
      <c r="N256" s="125"/>
      <c r="O256" s="125"/>
    </row>
    <row r="257" spans="1:15" s="399" customFormat="1" ht="15">
      <c r="A257" s="523">
        <v>45972</v>
      </c>
      <c r="B257" s="510" t="s">
        <v>4917</v>
      </c>
      <c r="C257" s="510" t="s">
        <v>172</v>
      </c>
      <c r="D257" s="510" t="s">
        <v>119</v>
      </c>
      <c r="E257" s="510">
        <v>1500</v>
      </c>
      <c r="F257" s="502">
        <f t="shared" si="4"/>
        <v>2.8116055579818666</v>
      </c>
      <c r="G257" s="503">
        <v>533.50300000000004</v>
      </c>
      <c r="H257" s="510" t="s">
        <v>182</v>
      </c>
      <c r="I257" s="510" t="s">
        <v>4237</v>
      </c>
      <c r="J257" s="505" t="s">
        <v>96</v>
      </c>
      <c r="K257" s="505" t="s">
        <v>2102</v>
      </c>
      <c r="L257" s="505" t="s">
        <v>153</v>
      </c>
      <c r="M257" s="125"/>
      <c r="N257" s="125"/>
      <c r="O257" s="125"/>
    </row>
    <row r="258" spans="1:15" s="399" customFormat="1" ht="15">
      <c r="A258" s="523">
        <v>45972</v>
      </c>
      <c r="B258" s="510" t="s">
        <v>4232</v>
      </c>
      <c r="C258" s="510" t="s">
        <v>366</v>
      </c>
      <c r="D258" s="510" t="s">
        <v>119</v>
      </c>
      <c r="E258" s="510">
        <v>1000</v>
      </c>
      <c r="F258" s="502">
        <f t="shared" si="4"/>
        <v>1.8401363172983856</v>
      </c>
      <c r="G258" s="503">
        <v>543.43799999999999</v>
      </c>
      <c r="H258" s="510" t="s">
        <v>182</v>
      </c>
      <c r="I258" s="510" t="s">
        <v>4238</v>
      </c>
      <c r="J258" s="505" t="s">
        <v>96</v>
      </c>
      <c r="K258" s="505" t="s">
        <v>4104</v>
      </c>
      <c r="L258" s="505" t="s">
        <v>153</v>
      </c>
      <c r="M258" s="125"/>
      <c r="N258" s="125"/>
      <c r="O258" s="125"/>
    </row>
    <row r="259" spans="1:15" s="399" customFormat="1" ht="15">
      <c r="A259" s="515">
        <v>45972</v>
      </c>
      <c r="B259" s="505" t="s">
        <v>4876</v>
      </c>
      <c r="C259" s="505" t="s">
        <v>1011</v>
      </c>
      <c r="D259" s="510" t="s">
        <v>119</v>
      </c>
      <c r="E259" s="505">
        <v>2000</v>
      </c>
      <c r="F259" s="502">
        <f t="shared" si="4"/>
        <v>3.7488074106424891</v>
      </c>
      <c r="G259" s="503">
        <v>533.50300000000004</v>
      </c>
      <c r="H259" s="505" t="s">
        <v>173</v>
      </c>
      <c r="I259" s="505" t="s">
        <v>4263</v>
      </c>
      <c r="J259" s="505" t="s">
        <v>96</v>
      </c>
      <c r="K259" s="505" t="s">
        <v>2102</v>
      </c>
      <c r="L259" s="505" t="s">
        <v>153</v>
      </c>
      <c r="M259" s="327"/>
      <c r="N259" s="327"/>
      <c r="O259" s="327"/>
    </row>
    <row r="260" spans="1:15" s="399" customFormat="1" ht="15">
      <c r="A260" s="515">
        <v>45972</v>
      </c>
      <c r="B260" s="505" t="s">
        <v>4917</v>
      </c>
      <c r="C260" s="505" t="s">
        <v>1011</v>
      </c>
      <c r="D260" s="510" t="s">
        <v>119</v>
      </c>
      <c r="E260" s="505">
        <v>2000</v>
      </c>
      <c r="F260" s="502">
        <f t="shared" si="4"/>
        <v>3.7488074106424891</v>
      </c>
      <c r="G260" s="503">
        <v>533.50300000000004</v>
      </c>
      <c r="H260" s="505" t="s">
        <v>173</v>
      </c>
      <c r="I260" s="505" t="s">
        <v>4263</v>
      </c>
      <c r="J260" s="505" t="s">
        <v>96</v>
      </c>
      <c r="K260" s="505" t="s">
        <v>2102</v>
      </c>
      <c r="L260" s="505" t="s">
        <v>153</v>
      </c>
      <c r="M260" s="327"/>
      <c r="N260" s="327"/>
      <c r="O260" s="327"/>
    </row>
    <row r="261" spans="1:15" s="399" customFormat="1" ht="15">
      <c r="A261" s="515">
        <v>45972</v>
      </c>
      <c r="B261" s="505" t="s">
        <v>4876</v>
      </c>
      <c r="C261" s="505" t="s">
        <v>1011</v>
      </c>
      <c r="D261" s="510" t="s">
        <v>119</v>
      </c>
      <c r="E261" s="505">
        <v>2000</v>
      </c>
      <c r="F261" s="502">
        <f t="shared" si="4"/>
        <v>3.7488074106424891</v>
      </c>
      <c r="G261" s="503">
        <v>533.50300000000004</v>
      </c>
      <c r="H261" s="505" t="s">
        <v>173</v>
      </c>
      <c r="I261" s="505" t="s">
        <v>4263</v>
      </c>
      <c r="J261" s="505" t="s">
        <v>96</v>
      </c>
      <c r="K261" s="505" t="s">
        <v>2102</v>
      </c>
      <c r="L261" s="505" t="s">
        <v>153</v>
      </c>
      <c r="M261" s="125"/>
      <c r="N261" s="125"/>
      <c r="O261" s="125"/>
    </row>
    <row r="262" spans="1:15" s="399" customFormat="1" ht="15">
      <c r="A262" s="515">
        <v>45972</v>
      </c>
      <c r="B262" s="505" t="s">
        <v>4876</v>
      </c>
      <c r="C262" s="505" t="s">
        <v>1011</v>
      </c>
      <c r="D262" s="510" t="s">
        <v>119</v>
      </c>
      <c r="E262" s="505">
        <v>1000</v>
      </c>
      <c r="F262" s="502">
        <f t="shared" si="4"/>
        <v>1.8744037053212446</v>
      </c>
      <c r="G262" s="503">
        <v>533.50300000000004</v>
      </c>
      <c r="H262" s="505" t="s">
        <v>173</v>
      </c>
      <c r="I262" s="505" t="s">
        <v>4263</v>
      </c>
      <c r="J262" s="505" t="s">
        <v>96</v>
      </c>
      <c r="K262" s="505" t="s">
        <v>2102</v>
      </c>
      <c r="L262" s="505" t="s">
        <v>153</v>
      </c>
      <c r="M262" s="125"/>
      <c r="N262" s="125"/>
      <c r="O262" s="125"/>
    </row>
    <row r="263" spans="1:15" s="399" customFormat="1" ht="15">
      <c r="A263" s="515">
        <v>45972</v>
      </c>
      <c r="B263" s="505" t="s">
        <v>4876</v>
      </c>
      <c r="C263" s="505" t="s">
        <v>1011</v>
      </c>
      <c r="D263" s="510" t="s">
        <v>119</v>
      </c>
      <c r="E263" s="505">
        <v>2000</v>
      </c>
      <c r="F263" s="502">
        <f t="shared" si="4"/>
        <v>3.7488074106424891</v>
      </c>
      <c r="G263" s="503">
        <v>533.50300000000004</v>
      </c>
      <c r="H263" s="505" t="s">
        <v>173</v>
      </c>
      <c r="I263" s="505" t="s">
        <v>4263</v>
      </c>
      <c r="J263" s="505" t="s">
        <v>96</v>
      </c>
      <c r="K263" s="505" t="s">
        <v>2102</v>
      </c>
      <c r="L263" s="505" t="s">
        <v>153</v>
      </c>
      <c r="M263" s="327"/>
      <c r="N263" s="327"/>
      <c r="O263" s="327"/>
    </row>
    <row r="264" spans="1:15" s="399" customFormat="1" ht="15">
      <c r="A264" s="515">
        <v>45972</v>
      </c>
      <c r="B264" s="505" t="s">
        <v>2493</v>
      </c>
      <c r="C264" s="505" t="s">
        <v>366</v>
      </c>
      <c r="D264" s="510" t="s">
        <v>119</v>
      </c>
      <c r="E264" s="505">
        <v>2000</v>
      </c>
      <c r="F264" s="502">
        <f t="shared" si="4"/>
        <v>3.6802726345967711</v>
      </c>
      <c r="G264" s="503">
        <v>543.43799999999999</v>
      </c>
      <c r="H264" s="505" t="s">
        <v>173</v>
      </c>
      <c r="I264" s="505" t="s">
        <v>4264</v>
      </c>
      <c r="J264" s="505" t="s">
        <v>96</v>
      </c>
      <c r="K264" s="505" t="s">
        <v>4104</v>
      </c>
      <c r="L264" s="505" t="s">
        <v>153</v>
      </c>
      <c r="M264" s="327"/>
      <c r="N264" s="327"/>
      <c r="O264" s="327"/>
    </row>
    <row r="265" spans="1:15" s="399" customFormat="1" ht="15">
      <c r="A265" s="515">
        <v>45972</v>
      </c>
      <c r="B265" s="505" t="s">
        <v>4876</v>
      </c>
      <c r="C265" s="505" t="s">
        <v>172</v>
      </c>
      <c r="D265" s="510" t="s">
        <v>119</v>
      </c>
      <c r="E265" s="505">
        <v>1500</v>
      </c>
      <c r="F265" s="502">
        <f t="shared" si="4"/>
        <v>2.8116055579818666</v>
      </c>
      <c r="G265" s="503">
        <v>533.50300000000004</v>
      </c>
      <c r="H265" s="505" t="s">
        <v>315</v>
      </c>
      <c r="I265" s="505" t="s">
        <v>4288</v>
      </c>
      <c r="J265" s="505" t="s">
        <v>96</v>
      </c>
      <c r="K265" s="505" t="s">
        <v>2102</v>
      </c>
      <c r="L265" s="505" t="s">
        <v>153</v>
      </c>
      <c r="M265" s="125"/>
      <c r="N265" s="125"/>
      <c r="O265" s="125"/>
    </row>
    <row r="266" spans="1:15" s="399" customFormat="1" ht="15">
      <c r="A266" s="515">
        <v>45972</v>
      </c>
      <c r="B266" s="505" t="s">
        <v>4876</v>
      </c>
      <c r="C266" s="505" t="s">
        <v>172</v>
      </c>
      <c r="D266" s="510" t="s">
        <v>119</v>
      </c>
      <c r="E266" s="505">
        <v>1000</v>
      </c>
      <c r="F266" s="502">
        <f t="shared" si="4"/>
        <v>1.8744037053212446</v>
      </c>
      <c r="G266" s="503">
        <v>533.50300000000004</v>
      </c>
      <c r="H266" s="505" t="s">
        <v>315</v>
      </c>
      <c r="I266" s="505" t="s">
        <v>4288</v>
      </c>
      <c r="J266" s="505" t="s">
        <v>96</v>
      </c>
      <c r="K266" s="505" t="s">
        <v>2102</v>
      </c>
      <c r="L266" s="505" t="s">
        <v>153</v>
      </c>
      <c r="M266" s="125"/>
      <c r="N266" s="125"/>
      <c r="O266" s="125"/>
    </row>
    <row r="267" spans="1:15" s="399" customFormat="1" ht="15">
      <c r="A267" s="515">
        <v>45972</v>
      </c>
      <c r="B267" s="505" t="s">
        <v>4281</v>
      </c>
      <c r="C267" s="505" t="s">
        <v>363</v>
      </c>
      <c r="D267" s="510" t="s">
        <v>119</v>
      </c>
      <c r="E267" s="505">
        <v>2000</v>
      </c>
      <c r="F267" s="502">
        <f t="shared" si="4"/>
        <v>3.6802726345967711</v>
      </c>
      <c r="G267" s="503">
        <v>543.43799999999999</v>
      </c>
      <c r="H267" s="505" t="s">
        <v>315</v>
      </c>
      <c r="I267" s="505" t="s">
        <v>4291</v>
      </c>
      <c r="J267" s="505" t="s">
        <v>96</v>
      </c>
      <c r="K267" s="505" t="s">
        <v>4104</v>
      </c>
      <c r="L267" s="505" t="s">
        <v>153</v>
      </c>
      <c r="M267" s="125"/>
      <c r="N267" s="125"/>
      <c r="O267" s="125"/>
    </row>
    <row r="268" spans="1:15" s="399" customFormat="1" ht="15">
      <c r="A268" s="515">
        <v>45972</v>
      </c>
      <c r="B268" s="505" t="s">
        <v>4917</v>
      </c>
      <c r="C268" s="505" t="s">
        <v>172</v>
      </c>
      <c r="D268" s="510" t="s">
        <v>119</v>
      </c>
      <c r="E268" s="505">
        <v>1500</v>
      </c>
      <c r="F268" s="502">
        <f t="shared" si="4"/>
        <v>2.8116055579818666</v>
      </c>
      <c r="G268" s="503">
        <v>533.50300000000004</v>
      </c>
      <c r="H268" s="505" t="s">
        <v>315</v>
      </c>
      <c r="I268" s="505" t="s">
        <v>4288</v>
      </c>
      <c r="J268" s="505" t="s">
        <v>96</v>
      </c>
      <c r="K268" s="505" t="s">
        <v>2102</v>
      </c>
      <c r="L268" s="505" t="s">
        <v>153</v>
      </c>
      <c r="M268" s="125"/>
      <c r="N268" s="125"/>
      <c r="O268" s="125"/>
    </row>
    <row r="269" spans="1:15" s="399" customFormat="1" ht="15">
      <c r="A269" s="515">
        <v>45972</v>
      </c>
      <c r="B269" s="505" t="s">
        <v>4876</v>
      </c>
      <c r="C269" s="505" t="s">
        <v>172</v>
      </c>
      <c r="D269" s="510" t="s">
        <v>119</v>
      </c>
      <c r="E269" s="505">
        <v>1500</v>
      </c>
      <c r="F269" s="502">
        <f t="shared" si="4"/>
        <v>2.8116055579818666</v>
      </c>
      <c r="G269" s="503">
        <v>533.50300000000004</v>
      </c>
      <c r="H269" s="505" t="s">
        <v>315</v>
      </c>
      <c r="I269" s="505" t="s">
        <v>4288</v>
      </c>
      <c r="J269" s="505" t="s">
        <v>96</v>
      </c>
      <c r="K269" s="505" t="s">
        <v>2102</v>
      </c>
      <c r="L269" s="505" t="s">
        <v>153</v>
      </c>
      <c r="M269" s="125"/>
      <c r="N269" s="125"/>
      <c r="O269" s="125"/>
    </row>
    <row r="270" spans="1:15" s="399" customFormat="1" ht="15">
      <c r="A270" s="515">
        <v>45972</v>
      </c>
      <c r="B270" s="505" t="s">
        <v>4907</v>
      </c>
      <c r="C270" s="505" t="s">
        <v>172</v>
      </c>
      <c r="D270" s="510" t="s">
        <v>119</v>
      </c>
      <c r="E270" s="530">
        <v>1500</v>
      </c>
      <c r="F270" s="502">
        <f t="shared" si="4"/>
        <v>2.8116055579818666</v>
      </c>
      <c r="G270" s="503">
        <v>533.50300000000004</v>
      </c>
      <c r="H270" s="505" t="s">
        <v>321</v>
      </c>
      <c r="I270" s="505" t="s">
        <v>4314</v>
      </c>
      <c r="J270" s="505" t="s">
        <v>96</v>
      </c>
      <c r="K270" s="505" t="s">
        <v>2102</v>
      </c>
      <c r="L270" s="505" t="s">
        <v>153</v>
      </c>
      <c r="M270" s="125"/>
      <c r="N270" s="125"/>
      <c r="O270" s="125"/>
    </row>
    <row r="271" spans="1:15" s="399" customFormat="1" ht="15">
      <c r="A271" s="515">
        <v>45972</v>
      </c>
      <c r="B271" s="505" t="s">
        <v>4876</v>
      </c>
      <c r="C271" s="505" t="s">
        <v>172</v>
      </c>
      <c r="D271" s="510" t="s">
        <v>119</v>
      </c>
      <c r="E271" s="530">
        <v>1000</v>
      </c>
      <c r="F271" s="502">
        <f t="shared" si="4"/>
        <v>1.8744037053212446</v>
      </c>
      <c r="G271" s="503">
        <v>533.50300000000004</v>
      </c>
      <c r="H271" s="505" t="s">
        <v>321</v>
      </c>
      <c r="I271" s="505" t="s">
        <v>4314</v>
      </c>
      <c r="J271" s="505" t="s">
        <v>96</v>
      </c>
      <c r="K271" s="505" t="s">
        <v>2102</v>
      </c>
      <c r="L271" s="505" t="s">
        <v>153</v>
      </c>
      <c r="M271" s="125"/>
      <c r="N271" s="125"/>
      <c r="O271" s="125"/>
    </row>
    <row r="272" spans="1:15" s="399" customFormat="1" ht="15">
      <c r="A272" s="515">
        <v>45972</v>
      </c>
      <c r="B272" s="505" t="s">
        <v>4876</v>
      </c>
      <c r="C272" s="505" t="s">
        <v>172</v>
      </c>
      <c r="D272" s="510" t="s">
        <v>119</v>
      </c>
      <c r="E272" s="530">
        <v>1000</v>
      </c>
      <c r="F272" s="502">
        <f t="shared" si="4"/>
        <v>1.8744037053212446</v>
      </c>
      <c r="G272" s="503">
        <v>533.50300000000004</v>
      </c>
      <c r="H272" s="505" t="s">
        <v>321</v>
      </c>
      <c r="I272" s="505" t="s">
        <v>4314</v>
      </c>
      <c r="J272" s="505" t="s">
        <v>96</v>
      </c>
      <c r="K272" s="505" t="s">
        <v>2102</v>
      </c>
      <c r="L272" s="505" t="s">
        <v>153</v>
      </c>
      <c r="M272" s="125"/>
      <c r="N272" s="125"/>
      <c r="O272" s="125"/>
    </row>
    <row r="273" spans="1:15" s="399" customFormat="1" ht="15.6" customHeight="1">
      <c r="A273" s="515">
        <v>45972</v>
      </c>
      <c r="B273" s="505" t="s">
        <v>4876</v>
      </c>
      <c r="C273" s="505" t="s">
        <v>172</v>
      </c>
      <c r="D273" s="510" t="s">
        <v>119</v>
      </c>
      <c r="E273" s="530">
        <v>1500</v>
      </c>
      <c r="F273" s="502">
        <f t="shared" si="4"/>
        <v>2.8116055579818666</v>
      </c>
      <c r="G273" s="503">
        <v>533.50300000000004</v>
      </c>
      <c r="H273" s="505" t="s">
        <v>321</v>
      </c>
      <c r="I273" s="505" t="s">
        <v>4314</v>
      </c>
      <c r="J273" s="505" t="s">
        <v>96</v>
      </c>
      <c r="K273" s="505" t="s">
        <v>2102</v>
      </c>
      <c r="L273" s="505" t="s">
        <v>153</v>
      </c>
      <c r="M273" s="125"/>
      <c r="N273" s="125"/>
      <c r="O273" s="125"/>
    </row>
    <row r="274" spans="1:15" s="399" customFormat="1" ht="15.6" customHeight="1">
      <c r="A274" s="515">
        <v>45972</v>
      </c>
      <c r="B274" s="505" t="s">
        <v>4341</v>
      </c>
      <c r="C274" s="505" t="s">
        <v>2394</v>
      </c>
      <c r="D274" s="505" t="s">
        <v>115</v>
      </c>
      <c r="E274" s="518">
        <v>20000</v>
      </c>
      <c r="F274" s="502">
        <f t="shared" si="4"/>
        <v>37.488074106424889</v>
      </c>
      <c r="G274" s="503">
        <v>533.50300000000004</v>
      </c>
      <c r="H274" s="505" t="s">
        <v>188</v>
      </c>
      <c r="I274" s="505" t="s">
        <v>4369</v>
      </c>
      <c r="J274" s="505" t="s">
        <v>96</v>
      </c>
      <c r="K274" s="505" t="s">
        <v>2102</v>
      </c>
      <c r="L274" s="505" t="s">
        <v>153</v>
      </c>
      <c r="M274" s="327"/>
      <c r="N274" s="327"/>
      <c r="O274" s="327"/>
    </row>
    <row r="275" spans="1:15" s="399" customFormat="1" ht="15">
      <c r="A275" s="515">
        <v>45972</v>
      </c>
      <c r="B275" s="505" t="s">
        <v>3566</v>
      </c>
      <c r="C275" s="505" t="s">
        <v>172</v>
      </c>
      <c r="D275" s="505" t="s">
        <v>115</v>
      </c>
      <c r="E275" s="518">
        <v>1000</v>
      </c>
      <c r="F275" s="502">
        <f t="shared" si="4"/>
        <v>1.8744037053212446</v>
      </c>
      <c r="G275" s="503">
        <v>533.50300000000004</v>
      </c>
      <c r="H275" s="505" t="s">
        <v>188</v>
      </c>
      <c r="I275" s="505" t="s">
        <v>4359</v>
      </c>
      <c r="J275" s="505" t="s">
        <v>96</v>
      </c>
      <c r="K275" s="505" t="s">
        <v>2102</v>
      </c>
      <c r="L275" s="505" t="s">
        <v>153</v>
      </c>
      <c r="M275" s="327"/>
      <c r="N275" s="327"/>
      <c r="O275" s="327"/>
    </row>
    <row r="276" spans="1:15" s="399" customFormat="1" ht="15">
      <c r="A276" s="515">
        <v>45972</v>
      </c>
      <c r="B276" s="505" t="s">
        <v>4342</v>
      </c>
      <c r="C276" s="505" t="s">
        <v>172</v>
      </c>
      <c r="D276" s="505" t="s">
        <v>115</v>
      </c>
      <c r="E276" s="518">
        <v>500</v>
      </c>
      <c r="F276" s="502">
        <f t="shared" si="4"/>
        <v>0.93720185266062228</v>
      </c>
      <c r="G276" s="503">
        <v>533.50300000000004</v>
      </c>
      <c r="H276" s="505" t="s">
        <v>188</v>
      </c>
      <c r="I276" s="505" t="s">
        <v>4359</v>
      </c>
      <c r="J276" s="505" t="s">
        <v>96</v>
      </c>
      <c r="K276" s="505" t="s">
        <v>2102</v>
      </c>
      <c r="L276" s="505" t="s">
        <v>153</v>
      </c>
      <c r="M276" s="327"/>
      <c r="N276" s="327"/>
      <c r="O276" s="327"/>
    </row>
    <row r="277" spans="1:15" s="399" customFormat="1" ht="15">
      <c r="A277" s="515">
        <v>45972</v>
      </c>
      <c r="B277" s="505" t="s">
        <v>4343</v>
      </c>
      <c r="C277" s="505" t="s">
        <v>172</v>
      </c>
      <c r="D277" s="505" t="s">
        <v>115</v>
      </c>
      <c r="E277" s="518">
        <v>500</v>
      </c>
      <c r="F277" s="502">
        <f t="shared" si="4"/>
        <v>0.93720185266062228</v>
      </c>
      <c r="G277" s="503">
        <v>533.50300000000004</v>
      </c>
      <c r="H277" s="505" t="s">
        <v>188</v>
      </c>
      <c r="I277" s="505" t="s">
        <v>4359</v>
      </c>
      <c r="J277" s="505" t="s">
        <v>96</v>
      </c>
      <c r="K277" s="505" t="s">
        <v>2102</v>
      </c>
      <c r="L277" s="505" t="s">
        <v>153</v>
      </c>
      <c r="M277" s="327"/>
      <c r="N277" s="327"/>
      <c r="O277" s="327"/>
    </row>
    <row r="278" spans="1:15" s="399" customFormat="1" ht="15" customHeight="1">
      <c r="A278" s="515">
        <v>45972</v>
      </c>
      <c r="B278" s="505" t="s">
        <v>4344</v>
      </c>
      <c r="C278" s="505" t="s">
        <v>3317</v>
      </c>
      <c r="D278" s="505" t="s">
        <v>115</v>
      </c>
      <c r="E278" s="518">
        <v>3000</v>
      </c>
      <c r="F278" s="502">
        <f t="shared" si="4"/>
        <v>5.6232111159637332</v>
      </c>
      <c r="G278" s="503">
        <v>533.50300000000004</v>
      </c>
      <c r="H278" s="505" t="s">
        <v>188</v>
      </c>
      <c r="I278" s="505" t="s">
        <v>4370</v>
      </c>
      <c r="J278" s="505" t="s">
        <v>96</v>
      </c>
      <c r="K278" s="505" t="s">
        <v>2102</v>
      </c>
      <c r="L278" s="505" t="s">
        <v>153</v>
      </c>
      <c r="M278" s="351"/>
      <c r="N278" s="125"/>
      <c r="O278" s="125"/>
    </row>
    <row r="279" spans="1:15" s="399" customFormat="1" ht="15" customHeight="1">
      <c r="A279" s="515">
        <v>45972</v>
      </c>
      <c r="B279" s="505" t="s">
        <v>4345</v>
      </c>
      <c r="C279" s="505" t="s">
        <v>172</v>
      </c>
      <c r="D279" s="505" t="s">
        <v>115</v>
      </c>
      <c r="E279" s="518">
        <v>250</v>
      </c>
      <c r="F279" s="502">
        <f t="shared" si="4"/>
        <v>0.46860092633031114</v>
      </c>
      <c r="G279" s="503">
        <v>533.50300000000004</v>
      </c>
      <c r="H279" s="505" t="s">
        <v>188</v>
      </c>
      <c r="I279" s="505" t="s">
        <v>4359</v>
      </c>
      <c r="J279" s="505" t="s">
        <v>96</v>
      </c>
      <c r="K279" s="505" t="s">
        <v>2102</v>
      </c>
      <c r="L279" s="505" t="s">
        <v>153</v>
      </c>
      <c r="M279" s="351"/>
      <c r="N279" s="125"/>
      <c r="O279" s="125"/>
    </row>
    <row r="280" spans="1:15" s="399" customFormat="1" ht="15" customHeight="1">
      <c r="A280" s="515">
        <v>45972</v>
      </c>
      <c r="B280" s="505" t="s">
        <v>4346</v>
      </c>
      <c r="C280" s="505" t="s">
        <v>172</v>
      </c>
      <c r="D280" s="505" t="s">
        <v>115</v>
      </c>
      <c r="E280" s="518">
        <v>500</v>
      </c>
      <c r="F280" s="502">
        <f t="shared" si="4"/>
        <v>0.93720185266062228</v>
      </c>
      <c r="G280" s="503">
        <v>533.50300000000004</v>
      </c>
      <c r="H280" s="505" t="s">
        <v>188</v>
      </c>
      <c r="I280" s="505" t="s">
        <v>4359</v>
      </c>
      <c r="J280" s="505" t="s">
        <v>96</v>
      </c>
      <c r="K280" s="505" t="s">
        <v>2102</v>
      </c>
      <c r="L280" s="505" t="s">
        <v>153</v>
      </c>
      <c r="M280" s="351"/>
      <c r="N280" s="125"/>
      <c r="O280" s="125"/>
    </row>
    <row r="281" spans="1:15" s="399" customFormat="1" ht="15">
      <c r="A281" s="515">
        <v>45972</v>
      </c>
      <c r="B281" s="505" t="s">
        <v>4596</v>
      </c>
      <c r="C281" s="505" t="s">
        <v>124</v>
      </c>
      <c r="D281" s="505" t="s">
        <v>116</v>
      </c>
      <c r="E281" s="518">
        <v>31187</v>
      </c>
      <c r="F281" s="502">
        <f t="shared" si="4"/>
        <v>58.457028357853652</v>
      </c>
      <c r="G281" s="503">
        <v>533.50300000000004</v>
      </c>
      <c r="H281" s="505" t="s">
        <v>185</v>
      </c>
      <c r="I281" s="505" t="s">
        <v>4638</v>
      </c>
      <c r="J281" s="505" t="s">
        <v>96</v>
      </c>
      <c r="K281" s="505" t="s">
        <v>2102</v>
      </c>
      <c r="L281" s="505" t="s">
        <v>153</v>
      </c>
      <c r="M281" s="327"/>
      <c r="N281" s="327"/>
      <c r="O281" s="327"/>
    </row>
    <row r="282" spans="1:15" s="399" customFormat="1" ht="15">
      <c r="A282" s="515">
        <v>45972</v>
      </c>
      <c r="B282" s="505" t="s">
        <v>4597</v>
      </c>
      <c r="C282" s="505" t="s">
        <v>172</v>
      </c>
      <c r="D282" s="505" t="s">
        <v>115</v>
      </c>
      <c r="E282" s="505">
        <v>1000</v>
      </c>
      <c r="F282" s="502">
        <f t="shared" si="4"/>
        <v>1.8744037053212446</v>
      </c>
      <c r="G282" s="503">
        <v>533.50300000000004</v>
      </c>
      <c r="H282" s="505" t="s">
        <v>185</v>
      </c>
      <c r="I282" s="505" t="s">
        <v>4631</v>
      </c>
      <c r="J282" s="505" t="s">
        <v>96</v>
      </c>
      <c r="K282" s="505" t="s">
        <v>2102</v>
      </c>
      <c r="L282" s="505" t="s">
        <v>153</v>
      </c>
      <c r="M282" s="327"/>
      <c r="N282" s="125"/>
      <c r="O282" s="125"/>
    </row>
    <row r="283" spans="1:15" s="399" customFormat="1" ht="15">
      <c r="A283" s="515">
        <v>45972</v>
      </c>
      <c r="B283" s="505" t="s">
        <v>3002</v>
      </c>
      <c r="C283" s="505" t="s">
        <v>172</v>
      </c>
      <c r="D283" s="505" t="s">
        <v>115</v>
      </c>
      <c r="E283" s="505">
        <v>1000</v>
      </c>
      <c r="F283" s="502">
        <f t="shared" si="4"/>
        <v>1.8744037053212446</v>
      </c>
      <c r="G283" s="503">
        <v>533.50300000000004</v>
      </c>
      <c r="H283" s="505" t="s">
        <v>185</v>
      </c>
      <c r="I283" s="505" t="s">
        <v>4631</v>
      </c>
      <c r="J283" s="505" t="s">
        <v>96</v>
      </c>
      <c r="K283" s="505" t="s">
        <v>2102</v>
      </c>
      <c r="L283" s="505" t="s">
        <v>153</v>
      </c>
      <c r="M283" s="327"/>
      <c r="N283" s="125"/>
      <c r="O283" s="125"/>
    </row>
    <row r="284" spans="1:15" s="399" customFormat="1" ht="15">
      <c r="A284" s="515">
        <v>45972</v>
      </c>
      <c r="B284" s="505" t="s">
        <v>4598</v>
      </c>
      <c r="C284" s="505" t="s">
        <v>172</v>
      </c>
      <c r="D284" s="505" t="s">
        <v>115</v>
      </c>
      <c r="E284" s="505">
        <v>1000</v>
      </c>
      <c r="F284" s="502">
        <f t="shared" si="4"/>
        <v>1.8744037053212446</v>
      </c>
      <c r="G284" s="503">
        <v>533.50300000000004</v>
      </c>
      <c r="H284" s="505" t="s">
        <v>185</v>
      </c>
      <c r="I284" s="505" t="s">
        <v>4631</v>
      </c>
      <c r="J284" s="505" t="s">
        <v>96</v>
      </c>
      <c r="K284" s="505" t="s">
        <v>2102</v>
      </c>
      <c r="L284" s="505" t="s">
        <v>153</v>
      </c>
      <c r="M284" s="327"/>
      <c r="N284" s="125"/>
      <c r="O284" s="125"/>
    </row>
    <row r="285" spans="1:15" s="399" customFormat="1" ht="15">
      <c r="A285" s="515">
        <v>45972</v>
      </c>
      <c r="B285" s="505" t="s">
        <v>4599</v>
      </c>
      <c r="C285" s="505" t="s">
        <v>172</v>
      </c>
      <c r="D285" s="505" t="s">
        <v>115</v>
      </c>
      <c r="E285" s="505">
        <v>1000</v>
      </c>
      <c r="F285" s="502">
        <f t="shared" si="4"/>
        <v>1.8744037053212446</v>
      </c>
      <c r="G285" s="503">
        <v>533.50300000000004</v>
      </c>
      <c r="H285" s="505" t="s">
        <v>185</v>
      </c>
      <c r="I285" s="505" t="s">
        <v>4631</v>
      </c>
      <c r="J285" s="505" t="s">
        <v>96</v>
      </c>
      <c r="K285" s="505" t="s">
        <v>2102</v>
      </c>
      <c r="L285" s="505" t="s">
        <v>153</v>
      </c>
      <c r="M285" s="327"/>
      <c r="N285" s="327"/>
      <c r="O285" s="327"/>
    </row>
    <row r="286" spans="1:15" s="399" customFormat="1" ht="15">
      <c r="A286" s="629">
        <v>45973</v>
      </c>
      <c r="B286" s="298" t="s">
        <v>2103</v>
      </c>
      <c r="C286" s="298" t="s">
        <v>172</v>
      </c>
      <c r="D286" s="506" t="s">
        <v>117</v>
      </c>
      <c r="E286" s="630">
        <v>1000</v>
      </c>
      <c r="F286" s="502">
        <f t="shared" si="4"/>
        <v>1.8744037053212446</v>
      </c>
      <c r="G286" s="503">
        <v>533.50300000000004</v>
      </c>
      <c r="H286" s="631" t="s">
        <v>151</v>
      </c>
      <c r="I286" s="298" t="s">
        <v>4133</v>
      </c>
      <c r="J286" s="505" t="s">
        <v>96</v>
      </c>
      <c r="K286" s="505" t="s">
        <v>2102</v>
      </c>
      <c r="L286" s="505" t="s">
        <v>153</v>
      </c>
      <c r="M286" s="327"/>
      <c r="N286" s="327"/>
      <c r="O286" s="327"/>
    </row>
    <row r="287" spans="1:15" s="399" customFormat="1" ht="15">
      <c r="A287" s="629">
        <v>45973</v>
      </c>
      <c r="B287" s="298" t="s">
        <v>2104</v>
      </c>
      <c r="C287" s="298" t="s">
        <v>172</v>
      </c>
      <c r="D287" s="506" t="s">
        <v>117</v>
      </c>
      <c r="E287" s="630">
        <v>1000</v>
      </c>
      <c r="F287" s="502">
        <f t="shared" si="4"/>
        <v>1.8744037053212446</v>
      </c>
      <c r="G287" s="503">
        <v>533.50300000000004</v>
      </c>
      <c r="H287" s="631" t="s">
        <v>151</v>
      </c>
      <c r="I287" s="298" t="s">
        <v>4133</v>
      </c>
      <c r="J287" s="505" t="s">
        <v>96</v>
      </c>
      <c r="K287" s="505" t="s">
        <v>2102</v>
      </c>
      <c r="L287" s="505" t="s">
        <v>153</v>
      </c>
      <c r="M287" s="327"/>
      <c r="N287" s="327"/>
      <c r="O287" s="327"/>
    </row>
    <row r="288" spans="1:15" s="399" customFormat="1" ht="15">
      <c r="A288" s="523">
        <v>45973</v>
      </c>
      <c r="B288" s="510" t="s">
        <v>4991</v>
      </c>
      <c r="C288" s="510" t="s">
        <v>172</v>
      </c>
      <c r="D288" s="510" t="s">
        <v>119</v>
      </c>
      <c r="E288" s="510">
        <v>1500</v>
      </c>
      <c r="F288" s="502">
        <f t="shared" si="4"/>
        <v>2.8116055579818666</v>
      </c>
      <c r="G288" s="503">
        <v>533.50300000000004</v>
      </c>
      <c r="H288" s="510" t="s">
        <v>182</v>
      </c>
      <c r="I288" s="510" t="s">
        <v>4237</v>
      </c>
      <c r="J288" s="505" t="s">
        <v>96</v>
      </c>
      <c r="K288" s="505" t="s">
        <v>2102</v>
      </c>
      <c r="L288" s="505" t="s">
        <v>153</v>
      </c>
      <c r="M288" s="125"/>
      <c r="N288" s="125"/>
      <c r="O288" s="125"/>
    </row>
    <row r="289" spans="1:15" s="399" customFormat="1" ht="15">
      <c r="A289" s="523">
        <v>45973</v>
      </c>
      <c r="B289" s="510" t="s">
        <v>4880</v>
      </c>
      <c r="C289" s="510" t="s">
        <v>172</v>
      </c>
      <c r="D289" s="510" t="s">
        <v>119</v>
      </c>
      <c r="E289" s="510">
        <v>1000</v>
      </c>
      <c r="F289" s="502">
        <f t="shared" si="4"/>
        <v>1.8744037053212446</v>
      </c>
      <c r="G289" s="503">
        <v>533.50300000000004</v>
      </c>
      <c r="H289" s="510" t="s">
        <v>182</v>
      </c>
      <c r="I289" s="510" t="s">
        <v>4237</v>
      </c>
      <c r="J289" s="505" t="s">
        <v>96</v>
      </c>
      <c r="K289" s="505" t="s">
        <v>2102</v>
      </c>
      <c r="L289" s="505" t="s">
        <v>153</v>
      </c>
      <c r="M289" s="125"/>
      <c r="N289" s="125"/>
      <c r="O289" s="125"/>
    </row>
    <row r="290" spans="1:15" s="399" customFormat="1" ht="15">
      <c r="A290" s="523">
        <v>45973</v>
      </c>
      <c r="B290" s="510" t="s">
        <v>4880</v>
      </c>
      <c r="C290" s="510" t="s">
        <v>172</v>
      </c>
      <c r="D290" s="510" t="s">
        <v>119</v>
      </c>
      <c r="E290" s="510">
        <v>1000</v>
      </c>
      <c r="F290" s="502">
        <f t="shared" si="4"/>
        <v>1.8744037053212446</v>
      </c>
      <c r="G290" s="503">
        <v>533.50300000000004</v>
      </c>
      <c r="H290" s="510" t="s">
        <v>182</v>
      </c>
      <c r="I290" s="510" t="s">
        <v>4237</v>
      </c>
      <c r="J290" s="505" t="s">
        <v>96</v>
      </c>
      <c r="K290" s="505" t="s">
        <v>2102</v>
      </c>
      <c r="L290" s="505" t="s">
        <v>153</v>
      </c>
      <c r="M290" s="125"/>
      <c r="N290" s="125"/>
      <c r="O290" s="125"/>
    </row>
    <row r="291" spans="1:15" s="399" customFormat="1" ht="15">
      <c r="A291" s="523">
        <v>45973</v>
      </c>
      <c r="B291" s="510" t="s">
        <v>4880</v>
      </c>
      <c r="C291" s="510" t="s">
        <v>172</v>
      </c>
      <c r="D291" s="510" t="s">
        <v>119</v>
      </c>
      <c r="E291" s="510">
        <v>1500</v>
      </c>
      <c r="F291" s="502">
        <f t="shared" si="4"/>
        <v>2.8116055579818666</v>
      </c>
      <c r="G291" s="503">
        <v>533.50300000000004</v>
      </c>
      <c r="H291" s="510" t="s">
        <v>182</v>
      </c>
      <c r="I291" s="510" t="s">
        <v>4237</v>
      </c>
      <c r="J291" s="505" t="s">
        <v>96</v>
      </c>
      <c r="K291" s="505" t="s">
        <v>2102</v>
      </c>
      <c r="L291" s="505" t="s">
        <v>153</v>
      </c>
      <c r="M291" s="125"/>
      <c r="N291" s="125"/>
      <c r="O291" s="125"/>
    </row>
    <row r="292" spans="1:15" s="399" customFormat="1" ht="19.05" customHeight="1">
      <c r="A292" s="523">
        <v>45973</v>
      </c>
      <c r="B292" s="510" t="s">
        <v>4232</v>
      </c>
      <c r="C292" s="510" t="s">
        <v>366</v>
      </c>
      <c r="D292" s="510" t="s">
        <v>119</v>
      </c>
      <c r="E292" s="510">
        <v>1000</v>
      </c>
      <c r="F292" s="502">
        <f t="shared" si="4"/>
        <v>1.8401363172983856</v>
      </c>
      <c r="G292" s="503">
        <v>543.43799999999999</v>
      </c>
      <c r="H292" s="510" t="s">
        <v>182</v>
      </c>
      <c r="I292" s="510" t="s">
        <v>4238</v>
      </c>
      <c r="J292" s="505" t="s">
        <v>96</v>
      </c>
      <c r="K292" s="505" t="s">
        <v>4104</v>
      </c>
      <c r="L292" s="505" t="s">
        <v>153</v>
      </c>
      <c r="M292" s="125"/>
      <c r="N292" s="125"/>
      <c r="O292" s="125"/>
    </row>
    <row r="293" spans="1:15" s="399" customFormat="1" ht="15">
      <c r="A293" s="515">
        <v>45973</v>
      </c>
      <c r="B293" s="505" t="s">
        <v>4876</v>
      </c>
      <c r="C293" s="505" t="s">
        <v>1011</v>
      </c>
      <c r="D293" s="510" t="s">
        <v>119</v>
      </c>
      <c r="E293" s="505">
        <v>1000</v>
      </c>
      <c r="F293" s="502">
        <f t="shared" ref="F293:F298" si="5">E293/G293</f>
        <v>1.8744037053212446</v>
      </c>
      <c r="G293" s="503">
        <v>533.50300000000004</v>
      </c>
      <c r="H293" s="505" t="s">
        <v>173</v>
      </c>
      <c r="I293" s="505" t="s">
        <v>4263</v>
      </c>
      <c r="J293" s="505" t="s">
        <v>96</v>
      </c>
      <c r="K293" s="505" t="s">
        <v>2102</v>
      </c>
      <c r="L293" s="505" t="s">
        <v>153</v>
      </c>
      <c r="M293" s="327"/>
      <c r="N293" s="327"/>
      <c r="O293" s="327"/>
    </row>
    <row r="294" spans="1:15" s="399" customFormat="1" ht="15">
      <c r="A294" s="515">
        <v>45973</v>
      </c>
      <c r="B294" s="505" t="s">
        <v>4876</v>
      </c>
      <c r="C294" s="505" t="s">
        <v>1011</v>
      </c>
      <c r="D294" s="510" t="s">
        <v>119</v>
      </c>
      <c r="E294" s="505">
        <v>1000</v>
      </c>
      <c r="F294" s="502">
        <f t="shared" si="5"/>
        <v>1.8744037053212446</v>
      </c>
      <c r="G294" s="503">
        <v>533.50300000000004</v>
      </c>
      <c r="H294" s="505" t="s">
        <v>173</v>
      </c>
      <c r="I294" s="505" t="s">
        <v>4263</v>
      </c>
      <c r="J294" s="505" t="s">
        <v>96</v>
      </c>
      <c r="K294" s="505" t="s">
        <v>2102</v>
      </c>
      <c r="L294" s="505" t="s">
        <v>153</v>
      </c>
      <c r="M294" s="327"/>
      <c r="N294" s="327"/>
      <c r="O294" s="327"/>
    </row>
    <row r="295" spans="1:15" s="399" customFormat="1" ht="15">
      <c r="A295" s="515">
        <v>45973</v>
      </c>
      <c r="B295" s="505" t="s">
        <v>4876</v>
      </c>
      <c r="C295" s="505" t="s">
        <v>1011</v>
      </c>
      <c r="D295" s="510" t="s">
        <v>119</v>
      </c>
      <c r="E295" s="505">
        <v>1500</v>
      </c>
      <c r="F295" s="502">
        <f t="shared" si="5"/>
        <v>2.8116055579818666</v>
      </c>
      <c r="G295" s="503">
        <v>533.50300000000004</v>
      </c>
      <c r="H295" s="505" t="s">
        <v>173</v>
      </c>
      <c r="I295" s="505" t="s">
        <v>4263</v>
      </c>
      <c r="J295" s="505" t="s">
        <v>96</v>
      </c>
      <c r="K295" s="505" t="s">
        <v>2102</v>
      </c>
      <c r="L295" s="505" t="s">
        <v>153</v>
      </c>
      <c r="M295" s="125"/>
      <c r="N295" s="125"/>
      <c r="O295" s="125"/>
    </row>
    <row r="296" spans="1:15" s="399" customFormat="1" ht="15">
      <c r="A296" s="515">
        <v>45973</v>
      </c>
      <c r="B296" s="505" t="s">
        <v>4876</v>
      </c>
      <c r="C296" s="505" t="s">
        <v>1011</v>
      </c>
      <c r="D296" s="510" t="s">
        <v>119</v>
      </c>
      <c r="E296" s="505">
        <v>1000</v>
      </c>
      <c r="F296" s="502">
        <f t="shared" si="5"/>
        <v>1.8744037053212446</v>
      </c>
      <c r="G296" s="503">
        <v>533.50300000000004</v>
      </c>
      <c r="H296" s="505" t="s">
        <v>173</v>
      </c>
      <c r="I296" s="505" t="s">
        <v>4263</v>
      </c>
      <c r="J296" s="505" t="s">
        <v>96</v>
      </c>
      <c r="K296" s="505" t="s">
        <v>2102</v>
      </c>
      <c r="L296" s="505" t="s">
        <v>153</v>
      </c>
      <c r="M296" s="327"/>
      <c r="N296" s="327"/>
      <c r="O296" s="327"/>
    </row>
    <row r="297" spans="1:15" s="399" customFormat="1" ht="15">
      <c r="A297" s="515">
        <v>45973</v>
      </c>
      <c r="B297" s="505" t="s">
        <v>4976</v>
      </c>
      <c r="C297" s="505" t="s">
        <v>1011</v>
      </c>
      <c r="D297" s="510" t="s">
        <v>119</v>
      </c>
      <c r="E297" s="505">
        <v>1000</v>
      </c>
      <c r="F297" s="502">
        <f t="shared" si="5"/>
        <v>1.8744037053212446</v>
      </c>
      <c r="G297" s="503">
        <v>533.50300000000004</v>
      </c>
      <c r="H297" s="505" t="s">
        <v>173</v>
      </c>
      <c r="I297" s="505" t="s">
        <v>4263</v>
      </c>
      <c r="J297" s="505" t="s">
        <v>96</v>
      </c>
      <c r="K297" s="505" t="s">
        <v>2102</v>
      </c>
      <c r="L297" s="505" t="s">
        <v>153</v>
      </c>
      <c r="M297" s="327"/>
      <c r="N297" s="327"/>
      <c r="O297" s="327"/>
    </row>
    <row r="298" spans="1:15" s="399" customFormat="1" ht="15">
      <c r="A298" s="515">
        <v>45973</v>
      </c>
      <c r="B298" s="505" t="s">
        <v>2493</v>
      </c>
      <c r="C298" s="505" t="s">
        <v>366</v>
      </c>
      <c r="D298" s="510" t="s">
        <v>119</v>
      </c>
      <c r="E298" s="505">
        <v>2000</v>
      </c>
      <c r="F298" s="502">
        <f t="shared" si="5"/>
        <v>3.6802726345967711</v>
      </c>
      <c r="G298" s="503">
        <v>543.43799999999999</v>
      </c>
      <c r="H298" s="505" t="s">
        <v>173</v>
      </c>
      <c r="I298" s="505" t="s">
        <v>4264</v>
      </c>
      <c r="J298" s="505" t="s">
        <v>96</v>
      </c>
      <c r="K298" s="505" t="s">
        <v>4104</v>
      </c>
      <c r="L298" s="505" t="s">
        <v>153</v>
      </c>
      <c r="M298" s="327"/>
      <c r="N298" s="327"/>
      <c r="O298" s="327"/>
    </row>
    <row r="299" spans="1:15" s="399" customFormat="1" ht="15" customHeight="1">
      <c r="A299" s="515">
        <v>45973</v>
      </c>
      <c r="B299" s="505" t="s">
        <v>4876</v>
      </c>
      <c r="C299" s="505" t="s">
        <v>172</v>
      </c>
      <c r="D299" s="510" t="s">
        <v>119</v>
      </c>
      <c r="E299" s="505">
        <v>1500</v>
      </c>
      <c r="F299" s="502"/>
      <c r="G299" s="503">
        <v>533.50300000000004</v>
      </c>
      <c r="H299" s="505" t="s">
        <v>315</v>
      </c>
      <c r="I299" s="505" t="s">
        <v>4288</v>
      </c>
      <c r="J299" s="505" t="s">
        <v>96</v>
      </c>
      <c r="K299" s="505" t="s">
        <v>2102</v>
      </c>
      <c r="L299" s="505" t="s">
        <v>153</v>
      </c>
      <c r="M299" s="317"/>
      <c r="N299" s="125"/>
      <c r="O299" s="125"/>
    </row>
    <row r="300" spans="1:15" s="399" customFormat="1" ht="15" customHeight="1">
      <c r="A300" s="515">
        <v>45973</v>
      </c>
      <c r="B300" s="505" t="s">
        <v>4917</v>
      </c>
      <c r="C300" s="505" t="s">
        <v>172</v>
      </c>
      <c r="D300" s="510" t="s">
        <v>119</v>
      </c>
      <c r="E300" s="505">
        <v>1000</v>
      </c>
      <c r="F300" s="502"/>
      <c r="G300" s="503">
        <v>533.50300000000004</v>
      </c>
      <c r="H300" s="505" t="s">
        <v>315</v>
      </c>
      <c r="I300" s="505" t="s">
        <v>4288</v>
      </c>
      <c r="J300" s="505" t="s">
        <v>96</v>
      </c>
      <c r="K300" s="505" t="s">
        <v>2102</v>
      </c>
      <c r="L300" s="505" t="s">
        <v>153</v>
      </c>
      <c r="M300" s="317"/>
      <c r="N300" s="125"/>
      <c r="O300" s="125"/>
    </row>
    <row r="301" spans="1:15" s="399" customFormat="1" ht="15">
      <c r="A301" s="515">
        <v>45973</v>
      </c>
      <c r="B301" s="505" t="s">
        <v>4917</v>
      </c>
      <c r="C301" s="505" t="s">
        <v>172</v>
      </c>
      <c r="D301" s="510" t="s">
        <v>119</v>
      </c>
      <c r="E301" s="505">
        <v>2000</v>
      </c>
      <c r="F301" s="502">
        <f t="shared" ref="F301:F364" si="6">E301/G301</f>
        <v>3.7488074106424891</v>
      </c>
      <c r="G301" s="503">
        <v>533.50300000000004</v>
      </c>
      <c r="H301" s="505" t="s">
        <v>315</v>
      </c>
      <c r="I301" s="505" t="s">
        <v>4288</v>
      </c>
      <c r="J301" s="505" t="s">
        <v>96</v>
      </c>
      <c r="K301" s="505" t="s">
        <v>2102</v>
      </c>
      <c r="L301" s="505" t="s">
        <v>153</v>
      </c>
      <c r="M301" s="125"/>
      <c r="N301" s="125"/>
      <c r="O301" s="125"/>
    </row>
    <row r="302" spans="1:15" s="399" customFormat="1" ht="15.6" customHeight="1">
      <c r="A302" s="515">
        <v>45973</v>
      </c>
      <c r="B302" s="505" t="s">
        <v>4876</v>
      </c>
      <c r="C302" s="505" t="s">
        <v>172</v>
      </c>
      <c r="D302" s="510" t="s">
        <v>119</v>
      </c>
      <c r="E302" s="505">
        <v>3500</v>
      </c>
      <c r="F302" s="502">
        <f t="shared" si="6"/>
        <v>6.5604129686243562</v>
      </c>
      <c r="G302" s="503">
        <v>533.50300000000004</v>
      </c>
      <c r="H302" s="505" t="s">
        <v>315</v>
      </c>
      <c r="I302" s="505" t="s">
        <v>4288</v>
      </c>
      <c r="J302" s="505" t="s">
        <v>96</v>
      </c>
      <c r="K302" s="505" t="s">
        <v>2102</v>
      </c>
      <c r="L302" s="505" t="s">
        <v>153</v>
      </c>
      <c r="M302" s="125"/>
      <c r="N302" s="125"/>
      <c r="O302" s="125"/>
    </row>
    <row r="303" spans="1:15" s="399" customFormat="1" ht="16.5" customHeight="1">
      <c r="A303" s="515">
        <v>45973</v>
      </c>
      <c r="B303" s="505" t="s">
        <v>4876</v>
      </c>
      <c r="C303" s="505" t="s">
        <v>172</v>
      </c>
      <c r="D303" s="510" t="s">
        <v>119</v>
      </c>
      <c r="E303" s="530">
        <v>1000</v>
      </c>
      <c r="F303" s="502">
        <f t="shared" si="6"/>
        <v>1.8744037053212446</v>
      </c>
      <c r="G303" s="503">
        <v>533.50300000000004</v>
      </c>
      <c r="H303" s="505" t="s">
        <v>321</v>
      </c>
      <c r="I303" s="505" t="s">
        <v>4314</v>
      </c>
      <c r="J303" s="505" t="s">
        <v>96</v>
      </c>
      <c r="K303" s="505" t="s">
        <v>2102</v>
      </c>
      <c r="L303" s="505" t="s">
        <v>153</v>
      </c>
      <c r="M303" s="125"/>
      <c r="N303" s="125"/>
      <c r="O303" s="125"/>
    </row>
    <row r="304" spans="1:15" s="399" customFormat="1" ht="15">
      <c r="A304" s="515">
        <v>45973</v>
      </c>
      <c r="B304" s="505" t="s">
        <v>4907</v>
      </c>
      <c r="C304" s="505" t="s">
        <v>172</v>
      </c>
      <c r="D304" s="510" t="s">
        <v>119</v>
      </c>
      <c r="E304" s="530">
        <v>1000</v>
      </c>
      <c r="F304" s="502">
        <f t="shared" si="6"/>
        <v>1.8744037053212446</v>
      </c>
      <c r="G304" s="503">
        <v>533.50300000000004</v>
      </c>
      <c r="H304" s="505" t="s">
        <v>321</v>
      </c>
      <c r="I304" s="505" t="s">
        <v>4314</v>
      </c>
      <c r="J304" s="505" t="s">
        <v>96</v>
      </c>
      <c r="K304" s="505" t="s">
        <v>2102</v>
      </c>
      <c r="L304" s="505" t="s">
        <v>153</v>
      </c>
      <c r="M304" s="125"/>
      <c r="N304" s="125"/>
      <c r="O304" s="125"/>
    </row>
    <row r="305" spans="1:15" s="399" customFormat="1" ht="15">
      <c r="A305" s="515">
        <v>45973</v>
      </c>
      <c r="B305" s="505" t="s">
        <v>4907</v>
      </c>
      <c r="C305" s="505" t="s">
        <v>172</v>
      </c>
      <c r="D305" s="510" t="s">
        <v>119</v>
      </c>
      <c r="E305" s="530">
        <v>1000</v>
      </c>
      <c r="F305" s="502">
        <f t="shared" si="6"/>
        <v>1.8744037053212446</v>
      </c>
      <c r="G305" s="503">
        <v>533.50300000000004</v>
      </c>
      <c r="H305" s="505" t="s">
        <v>321</v>
      </c>
      <c r="I305" s="505" t="s">
        <v>4314</v>
      </c>
      <c r="J305" s="505" t="s">
        <v>96</v>
      </c>
      <c r="K305" s="505" t="s">
        <v>2102</v>
      </c>
      <c r="L305" s="505" t="s">
        <v>153</v>
      </c>
      <c r="M305" s="125"/>
      <c r="N305" s="125"/>
      <c r="O305" s="125"/>
    </row>
    <row r="306" spans="1:15" s="399" customFormat="1" ht="15">
      <c r="A306" s="515">
        <v>45973</v>
      </c>
      <c r="B306" s="505" t="s">
        <v>4876</v>
      </c>
      <c r="C306" s="505" t="s">
        <v>172</v>
      </c>
      <c r="D306" s="510" t="s">
        <v>119</v>
      </c>
      <c r="E306" s="530">
        <v>1500</v>
      </c>
      <c r="F306" s="502">
        <f t="shared" si="6"/>
        <v>2.8116055579818666</v>
      </c>
      <c r="G306" s="503">
        <v>533.50300000000004</v>
      </c>
      <c r="H306" s="505" t="s">
        <v>321</v>
      </c>
      <c r="I306" s="505" t="s">
        <v>4314</v>
      </c>
      <c r="J306" s="505" t="s">
        <v>96</v>
      </c>
      <c r="K306" s="505" t="s">
        <v>2102</v>
      </c>
      <c r="L306" s="505" t="s">
        <v>153</v>
      </c>
      <c r="M306" s="125"/>
      <c r="N306" s="125"/>
      <c r="O306" s="125"/>
    </row>
    <row r="307" spans="1:15" s="399" customFormat="1" ht="15">
      <c r="A307" s="515">
        <v>45973</v>
      </c>
      <c r="B307" s="505" t="s">
        <v>4347</v>
      </c>
      <c r="C307" s="505" t="s">
        <v>172</v>
      </c>
      <c r="D307" s="505" t="s">
        <v>115</v>
      </c>
      <c r="E307" s="518">
        <v>500</v>
      </c>
      <c r="F307" s="502">
        <f t="shared" si="6"/>
        <v>0.93720185266062228</v>
      </c>
      <c r="G307" s="503">
        <v>533.50300000000004</v>
      </c>
      <c r="H307" s="505" t="s">
        <v>188</v>
      </c>
      <c r="I307" s="505" t="s">
        <v>4359</v>
      </c>
      <c r="J307" s="505" t="s">
        <v>96</v>
      </c>
      <c r="K307" s="505" t="s">
        <v>2102</v>
      </c>
      <c r="L307" s="505" t="s">
        <v>153</v>
      </c>
      <c r="M307" s="327"/>
      <c r="N307" s="327"/>
      <c r="O307" s="327"/>
    </row>
    <row r="308" spans="1:15" s="399" customFormat="1" ht="15">
      <c r="A308" s="515">
        <v>45973</v>
      </c>
      <c r="B308" s="505" t="s">
        <v>4348</v>
      </c>
      <c r="C308" s="505" t="s">
        <v>3317</v>
      </c>
      <c r="D308" s="505" t="s">
        <v>115</v>
      </c>
      <c r="E308" s="518">
        <v>3000</v>
      </c>
      <c r="F308" s="502">
        <f t="shared" si="6"/>
        <v>5.6232111159637332</v>
      </c>
      <c r="G308" s="503">
        <v>533.50300000000004</v>
      </c>
      <c r="H308" s="505" t="s">
        <v>188</v>
      </c>
      <c r="I308" s="505" t="s">
        <v>4370</v>
      </c>
      <c r="J308" s="505" t="s">
        <v>96</v>
      </c>
      <c r="K308" s="505" t="s">
        <v>2102</v>
      </c>
      <c r="L308" s="505" t="s">
        <v>153</v>
      </c>
      <c r="M308" s="327"/>
      <c r="N308" s="327"/>
      <c r="O308" s="327"/>
    </row>
    <row r="309" spans="1:15" s="399" customFormat="1" ht="15">
      <c r="A309" s="515">
        <v>45973</v>
      </c>
      <c r="B309" s="505" t="s">
        <v>4349</v>
      </c>
      <c r="C309" s="505" t="s">
        <v>172</v>
      </c>
      <c r="D309" s="505" t="s">
        <v>115</v>
      </c>
      <c r="E309" s="518">
        <v>250</v>
      </c>
      <c r="F309" s="502">
        <f t="shared" si="6"/>
        <v>0.46860092633031114</v>
      </c>
      <c r="G309" s="503">
        <v>533.50300000000004</v>
      </c>
      <c r="H309" s="505" t="s">
        <v>188</v>
      </c>
      <c r="I309" s="505" t="s">
        <v>4359</v>
      </c>
      <c r="J309" s="505" t="s">
        <v>96</v>
      </c>
      <c r="K309" s="505" t="s">
        <v>2102</v>
      </c>
      <c r="L309" s="505" t="s">
        <v>153</v>
      </c>
      <c r="M309" s="125"/>
      <c r="N309" s="125"/>
      <c r="O309" s="125"/>
    </row>
    <row r="310" spans="1:15" s="399" customFormat="1" ht="15">
      <c r="A310" s="515">
        <v>45973</v>
      </c>
      <c r="B310" s="505" t="s">
        <v>4350</v>
      </c>
      <c r="C310" s="505" t="s">
        <v>172</v>
      </c>
      <c r="D310" s="505" t="s">
        <v>115</v>
      </c>
      <c r="E310" s="518">
        <v>250</v>
      </c>
      <c r="F310" s="502">
        <f t="shared" si="6"/>
        <v>0.46860092633031114</v>
      </c>
      <c r="G310" s="503">
        <v>533.50300000000004</v>
      </c>
      <c r="H310" s="505" t="s">
        <v>188</v>
      </c>
      <c r="I310" s="505" t="s">
        <v>4359</v>
      </c>
      <c r="J310" s="505" t="s">
        <v>96</v>
      </c>
      <c r="K310" s="505" t="s">
        <v>2102</v>
      </c>
      <c r="L310" s="505" t="s">
        <v>153</v>
      </c>
      <c r="M310" s="125"/>
      <c r="N310" s="125"/>
      <c r="O310" s="125"/>
    </row>
    <row r="311" spans="1:15" s="399" customFormat="1" ht="15">
      <c r="A311" s="515">
        <v>45973</v>
      </c>
      <c r="B311" s="505" t="s">
        <v>4342</v>
      </c>
      <c r="C311" s="505" t="s">
        <v>172</v>
      </c>
      <c r="D311" s="505" t="s">
        <v>115</v>
      </c>
      <c r="E311" s="518">
        <v>500</v>
      </c>
      <c r="F311" s="502">
        <f t="shared" si="6"/>
        <v>0.93720185266062228</v>
      </c>
      <c r="G311" s="503">
        <v>533.50300000000004</v>
      </c>
      <c r="H311" s="505" t="s">
        <v>188</v>
      </c>
      <c r="I311" s="505" t="s">
        <v>4359</v>
      </c>
      <c r="J311" s="505" t="s">
        <v>96</v>
      </c>
      <c r="K311" s="505" t="s">
        <v>2102</v>
      </c>
      <c r="L311" s="505" t="s">
        <v>153</v>
      </c>
      <c r="M311" s="327"/>
      <c r="N311" s="125"/>
      <c r="O311" s="125"/>
    </row>
    <row r="312" spans="1:15" s="399" customFormat="1" ht="15">
      <c r="A312" s="515">
        <v>45973</v>
      </c>
      <c r="B312" s="505" t="s">
        <v>4343</v>
      </c>
      <c r="C312" s="505" t="s">
        <v>172</v>
      </c>
      <c r="D312" s="505" t="s">
        <v>115</v>
      </c>
      <c r="E312" s="518">
        <v>500</v>
      </c>
      <c r="F312" s="502">
        <f t="shared" si="6"/>
        <v>0.93720185266062228</v>
      </c>
      <c r="G312" s="503">
        <v>533.50300000000004</v>
      </c>
      <c r="H312" s="505" t="s">
        <v>188</v>
      </c>
      <c r="I312" s="505" t="s">
        <v>4359</v>
      </c>
      <c r="J312" s="505" t="s">
        <v>96</v>
      </c>
      <c r="K312" s="505" t="s">
        <v>2102</v>
      </c>
      <c r="L312" s="505" t="s">
        <v>153</v>
      </c>
      <c r="M312" s="327"/>
      <c r="N312" s="125"/>
      <c r="O312" s="125"/>
    </row>
    <row r="313" spans="1:15" s="399" customFormat="1" ht="15">
      <c r="A313" s="515">
        <v>45973</v>
      </c>
      <c r="B313" s="505" t="s">
        <v>4345</v>
      </c>
      <c r="C313" s="505" t="s">
        <v>172</v>
      </c>
      <c r="D313" s="505" t="s">
        <v>115</v>
      </c>
      <c r="E313" s="518">
        <v>250</v>
      </c>
      <c r="F313" s="502">
        <f t="shared" si="6"/>
        <v>0.46860092633031114</v>
      </c>
      <c r="G313" s="503">
        <v>533.50300000000004</v>
      </c>
      <c r="H313" s="505" t="s">
        <v>188</v>
      </c>
      <c r="I313" s="505" t="s">
        <v>4359</v>
      </c>
      <c r="J313" s="505" t="s">
        <v>96</v>
      </c>
      <c r="K313" s="505" t="s">
        <v>2102</v>
      </c>
      <c r="L313" s="505" t="s">
        <v>153</v>
      </c>
      <c r="M313" s="327"/>
      <c r="N313" s="327"/>
      <c r="O313" s="327"/>
    </row>
    <row r="314" spans="1:15" s="399" customFormat="1" ht="15">
      <c r="A314" s="515">
        <v>45973</v>
      </c>
      <c r="B314" s="505" t="s">
        <v>4351</v>
      </c>
      <c r="C314" s="505" t="s">
        <v>3317</v>
      </c>
      <c r="D314" s="505" t="s">
        <v>115</v>
      </c>
      <c r="E314" s="518">
        <v>3000</v>
      </c>
      <c r="F314" s="502">
        <f t="shared" si="6"/>
        <v>5.6232111159637332</v>
      </c>
      <c r="G314" s="503">
        <v>533.50300000000004</v>
      </c>
      <c r="H314" s="505" t="s">
        <v>188</v>
      </c>
      <c r="I314" s="505" t="s">
        <v>4370</v>
      </c>
      <c r="J314" s="505" t="s">
        <v>96</v>
      </c>
      <c r="K314" s="505" t="s">
        <v>2102</v>
      </c>
      <c r="L314" s="505" t="s">
        <v>153</v>
      </c>
      <c r="M314" s="327"/>
      <c r="N314" s="327"/>
      <c r="O314" s="327"/>
    </row>
    <row r="315" spans="1:15" s="399" customFormat="1" ht="15">
      <c r="A315" s="515">
        <v>45973</v>
      </c>
      <c r="B315" s="505" t="s">
        <v>4352</v>
      </c>
      <c r="C315" s="505" t="s">
        <v>172</v>
      </c>
      <c r="D315" s="505" t="s">
        <v>115</v>
      </c>
      <c r="E315" s="518">
        <v>500</v>
      </c>
      <c r="F315" s="502">
        <f t="shared" si="6"/>
        <v>0.93720185266062228</v>
      </c>
      <c r="G315" s="503">
        <v>533.50300000000004</v>
      </c>
      <c r="H315" s="505" t="s">
        <v>188</v>
      </c>
      <c r="I315" s="505" t="s">
        <v>4359</v>
      </c>
      <c r="J315" s="505" t="s">
        <v>96</v>
      </c>
      <c r="K315" s="505" t="s">
        <v>2102</v>
      </c>
      <c r="L315" s="505" t="s">
        <v>153</v>
      </c>
      <c r="M315" s="327"/>
      <c r="N315" s="327"/>
      <c r="O315" s="327"/>
    </row>
    <row r="316" spans="1:15" s="399" customFormat="1" ht="15">
      <c r="A316" s="515">
        <v>45973</v>
      </c>
      <c r="B316" s="505" t="s">
        <v>4600</v>
      </c>
      <c r="C316" s="505" t="s">
        <v>172</v>
      </c>
      <c r="D316" s="505" t="s">
        <v>115</v>
      </c>
      <c r="E316" s="505">
        <v>1000</v>
      </c>
      <c r="F316" s="502">
        <f t="shared" si="6"/>
        <v>1.8744037053212446</v>
      </c>
      <c r="G316" s="503">
        <v>533.50300000000004</v>
      </c>
      <c r="H316" s="505" t="s">
        <v>185</v>
      </c>
      <c r="I316" s="505" t="s">
        <v>4631</v>
      </c>
      <c r="J316" s="505" t="s">
        <v>96</v>
      </c>
      <c r="K316" s="505" t="s">
        <v>2102</v>
      </c>
      <c r="L316" s="505" t="s">
        <v>153</v>
      </c>
      <c r="M316" s="327"/>
      <c r="N316" s="327"/>
      <c r="O316" s="327"/>
    </row>
    <row r="317" spans="1:15" s="399" customFormat="1" ht="15">
      <c r="A317" s="515">
        <v>45973</v>
      </c>
      <c r="B317" s="505" t="s">
        <v>4601</v>
      </c>
      <c r="C317" s="505" t="s">
        <v>172</v>
      </c>
      <c r="D317" s="505" t="s">
        <v>115</v>
      </c>
      <c r="E317" s="505">
        <v>1000</v>
      </c>
      <c r="F317" s="502">
        <f t="shared" si="6"/>
        <v>1.8744037053212446</v>
      </c>
      <c r="G317" s="503">
        <v>533.50300000000004</v>
      </c>
      <c r="H317" s="505" t="s">
        <v>185</v>
      </c>
      <c r="I317" s="505" t="s">
        <v>4631</v>
      </c>
      <c r="J317" s="505" t="s">
        <v>96</v>
      </c>
      <c r="K317" s="505" t="s">
        <v>2102</v>
      </c>
      <c r="L317" s="505" t="s">
        <v>153</v>
      </c>
      <c r="M317" s="327"/>
      <c r="N317" s="327"/>
      <c r="O317" s="327"/>
    </row>
    <row r="318" spans="1:15" s="399" customFormat="1" ht="15">
      <c r="A318" s="515">
        <v>45974</v>
      </c>
      <c r="B318" s="505" t="s">
        <v>1313</v>
      </c>
      <c r="C318" s="505" t="s">
        <v>172</v>
      </c>
      <c r="D318" s="505" t="s">
        <v>115</v>
      </c>
      <c r="E318" s="518">
        <v>7000</v>
      </c>
      <c r="F318" s="502">
        <f t="shared" si="6"/>
        <v>13.120825937248712</v>
      </c>
      <c r="G318" s="503">
        <v>533.50300000000004</v>
      </c>
      <c r="H318" s="505" t="s">
        <v>188</v>
      </c>
      <c r="I318" s="505" t="s">
        <v>4371</v>
      </c>
      <c r="J318" s="505" t="s">
        <v>96</v>
      </c>
      <c r="K318" s="505" t="s">
        <v>2102</v>
      </c>
      <c r="L318" s="505" t="s">
        <v>153</v>
      </c>
      <c r="M318" s="125"/>
      <c r="N318" s="125"/>
      <c r="O318" s="125"/>
    </row>
    <row r="319" spans="1:15" s="399" customFormat="1" ht="15">
      <c r="A319" s="629">
        <v>45974</v>
      </c>
      <c r="B319" s="298" t="s">
        <v>2103</v>
      </c>
      <c r="C319" s="298" t="s">
        <v>172</v>
      </c>
      <c r="D319" s="506" t="s">
        <v>117</v>
      </c>
      <c r="E319" s="630">
        <v>1000</v>
      </c>
      <c r="F319" s="502">
        <f t="shared" si="6"/>
        <v>1.8744037053212446</v>
      </c>
      <c r="G319" s="503">
        <v>533.50300000000004</v>
      </c>
      <c r="H319" s="631" t="s">
        <v>151</v>
      </c>
      <c r="I319" s="298" t="s">
        <v>4133</v>
      </c>
      <c r="J319" s="505" t="s">
        <v>96</v>
      </c>
      <c r="K319" s="505" t="s">
        <v>2102</v>
      </c>
      <c r="L319" s="505" t="s">
        <v>153</v>
      </c>
      <c r="M319" s="327"/>
      <c r="N319" s="327"/>
      <c r="O319" s="327"/>
    </row>
    <row r="320" spans="1:15" s="399" customFormat="1" ht="15">
      <c r="A320" s="629">
        <v>45974</v>
      </c>
      <c r="B320" s="298" t="s">
        <v>2104</v>
      </c>
      <c r="C320" s="298" t="s">
        <v>172</v>
      </c>
      <c r="D320" s="506" t="s">
        <v>117</v>
      </c>
      <c r="E320" s="630">
        <v>1000</v>
      </c>
      <c r="F320" s="502">
        <f t="shared" si="6"/>
        <v>1.8744037053212446</v>
      </c>
      <c r="G320" s="503">
        <v>533.50300000000004</v>
      </c>
      <c r="H320" s="631" t="s">
        <v>151</v>
      </c>
      <c r="I320" s="298" t="s">
        <v>4133</v>
      </c>
      <c r="J320" s="505" t="s">
        <v>96</v>
      </c>
      <c r="K320" s="505" t="s">
        <v>2102</v>
      </c>
      <c r="L320" s="505" t="s">
        <v>153</v>
      </c>
      <c r="M320" s="327"/>
      <c r="N320" s="327"/>
      <c r="O320" s="327"/>
    </row>
    <row r="321" spans="1:15" s="399" customFormat="1" ht="15">
      <c r="A321" s="517">
        <v>45974</v>
      </c>
      <c r="B321" s="505" t="s">
        <v>4197</v>
      </c>
      <c r="C321" s="505" t="s">
        <v>172</v>
      </c>
      <c r="D321" s="505" t="s">
        <v>116</v>
      </c>
      <c r="E321" s="518">
        <v>1000</v>
      </c>
      <c r="F321" s="502">
        <f t="shared" si="6"/>
        <v>1.8744037053212446</v>
      </c>
      <c r="G321" s="503">
        <v>533.50300000000004</v>
      </c>
      <c r="H321" s="505" t="s">
        <v>581</v>
      </c>
      <c r="I321" s="505" t="s">
        <v>4213</v>
      </c>
      <c r="J321" s="505" t="s">
        <v>96</v>
      </c>
      <c r="K321" s="505" t="s">
        <v>2102</v>
      </c>
      <c r="L321" s="505" t="s">
        <v>153</v>
      </c>
      <c r="M321" s="125"/>
      <c r="N321" s="125"/>
      <c r="O321" s="125"/>
    </row>
    <row r="322" spans="1:15" s="399" customFormat="1" ht="15">
      <c r="A322" s="523">
        <v>45974</v>
      </c>
      <c r="B322" s="510" t="s">
        <v>4912</v>
      </c>
      <c r="C322" s="510" t="s">
        <v>172</v>
      </c>
      <c r="D322" s="510" t="s">
        <v>119</v>
      </c>
      <c r="E322" s="510">
        <v>1000</v>
      </c>
      <c r="F322" s="502">
        <f t="shared" si="6"/>
        <v>1.8744037053212446</v>
      </c>
      <c r="G322" s="503">
        <v>533.50300000000004</v>
      </c>
      <c r="H322" s="510" t="s">
        <v>182</v>
      </c>
      <c r="I322" s="510" t="s">
        <v>4237</v>
      </c>
      <c r="J322" s="505" t="s">
        <v>96</v>
      </c>
      <c r="K322" s="505" t="s">
        <v>2102</v>
      </c>
      <c r="L322" s="505" t="s">
        <v>153</v>
      </c>
      <c r="M322" s="125"/>
      <c r="N322" s="125"/>
      <c r="O322" s="125"/>
    </row>
    <row r="323" spans="1:15" s="399" customFormat="1" ht="15">
      <c r="A323" s="523">
        <v>45974</v>
      </c>
      <c r="B323" s="510" t="s">
        <v>4917</v>
      </c>
      <c r="C323" s="510" t="s">
        <v>172</v>
      </c>
      <c r="D323" s="510" t="s">
        <v>119</v>
      </c>
      <c r="E323" s="510">
        <v>1000</v>
      </c>
      <c r="F323" s="502">
        <f t="shared" si="6"/>
        <v>1.8744037053212446</v>
      </c>
      <c r="G323" s="503">
        <v>533.50300000000004</v>
      </c>
      <c r="H323" s="510" t="s">
        <v>182</v>
      </c>
      <c r="I323" s="510" t="s">
        <v>4237</v>
      </c>
      <c r="J323" s="505" t="s">
        <v>96</v>
      </c>
      <c r="K323" s="505" t="s">
        <v>2102</v>
      </c>
      <c r="L323" s="505" t="s">
        <v>153</v>
      </c>
      <c r="M323" s="327"/>
      <c r="N323" s="125"/>
      <c r="O323" s="125"/>
    </row>
    <row r="324" spans="1:15" s="399" customFormat="1" ht="15">
      <c r="A324" s="523">
        <v>45974</v>
      </c>
      <c r="B324" s="510" t="s">
        <v>4912</v>
      </c>
      <c r="C324" s="510" t="s">
        <v>172</v>
      </c>
      <c r="D324" s="510" t="s">
        <v>119</v>
      </c>
      <c r="E324" s="510">
        <v>1000</v>
      </c>
      <c r="F324" s="502">
        <f t="shared" si="6"/>
        <v>1.8744037053212446</v>
      </c>
      <c r="G324" s="503">
        <v>533.50300000000004</v>
      </c>
      <c r="H324" s="510" t="s">
        <v>182</v>
      </c>
      <c r="I324" s="510" t="s">
        <v>4237</v>
      </c>
      <c r="J324" s="505" t="s">
        <v>96</v>
      </c>
      <c r="K324" s="505" t="s">
        <v>2102</v>
      </c>
      <c r="L324" s="505" t="s">
        <v>153</v>
      </c>
      <c r="M324" s="327"/>
      <c r="N324" s="125"/>
      <c r="O324" s="125"/>
    </row>
    <row r="325" spans="1:15" s="399" customFormat="1" ht="15">
      <c r="A325" s="523">
        <v>45974</v>
      </c>
      <c r="B325" s="510" t="s">
        <v>4917</v>
      </c>
      <c r="C325" s="510" t="s">
        <v>172</v>
      </c>
      <c r="D325" s="510" t="s">
        <v>119</v>
      </c>
      <c r="E325" s="510">
        <v>1500</v>
      </c>
      <c r="F325" s="502">
        <f t="shared" si="6"/>
        <v>2.8116055579818666</v>
      </c>
      <c r="G325" s="503">
        <v>533.50300000000004</v>
      </c>
      <c r="H325" s="510" t="s">
        <v>182</v>
      </c>
      <c r="I325" s="510" t="s">
        <v>4237</v>
      </c>
      <c r="J325" s="505" t="s">
        <v>96</v>
      </c>
      <c r="K325" s="505" t="s">
        <v>2102</v>
      </c>
      <c r="L325" s="505" t="s">
        <v>153</v>
      </c>
      <c r="M325" s="327"/>
      <c r="N325" s="125"/>
      <c r="O325" s="125"/>
    </row>
    <row r="326" spans="1:15" s="399" customFormat="1" ht="15">
      <c r="A326" s="523">
        <v>45974</v>
      </c>
      <c r="B326" s="510" t="s">
        <v>4743</v>
      </c>
      <c r="C326" s="510" t="s">
        <v>172</v>
      </c>
      <c r="D326" s="510" t="s">
        <v>119</v>
      </c>
      <c r="E326" s="510">
        <v>9000</v>
      </c>
      <c r="F326" s="502">
        <f t="shared" si="6"/>
        <v>16.869633347891202</v>
      </c>
      <c r="G326" s="503">
        <v>533.50300000000004</v>
      </c>
      <c r="H326" s="510" t="s">
        <v>182</v>
      </c>
      <c r="I326" s="510" t="s">
        <v>4243</v>
      </c>
      <c r="J326" s="505" t="s">
        <v>96</v>
      </c>
      <c r="K326" s="505" t="s">
        <v>2102</v>
      </c>
      <c r="L326" s="505" t="s">
        <v>153</v>
      </c>
      <c r="M326" s="327"/>
      <c r="N326" s="125"/>
      <c r="O326" s="125"/>
    </row>
    <row r="327" spans="1:15" s="399" customFormat="1" ht="15">
      <c r="A327" s="515">
        <v>45974</v>
      </c>
      <c r="B327" s="505" t="s">
        <v>4876</v>
      </c>
      <c r="C327" s="505" t="s">
        <v>172</v>
      </c>
      <c r="D327" s="510" t="s">
        <v>119</v>
      </c>
      <c r="E327" s="505">
        <v>1000</v>
      </c>
      <c r="F327" s="502">
        <f t="shared" si="6"/>
        <v>1.8744037053212446</v>
      </c>
      <c r="G327" s="503">
        <v>533.50300000000004</v>
      </c>
      <c r="H327" s="505" t="s">
        <v>173</v>
      </c>
      <c r="I327" s="505" t="s">
        <v>4263</v>
      </c>
      <c r="J327" s="505" t="s">
        <v>96</v>
      </c>
      <c r="K327" s="505" t="s">
        <v>2102</v>
      </c>
      <c r="L327" s="505" t="s">
        <v>153</v>
      </c>
      <c r="M327" s="327"/>
      <c r="N327" s="125"/>
      <c r="O327" s="125"/>
    </row>
    <row r="328" spans="1:15" s="399" customFormat="1" ht="15">
      <c r="A328" s="515">
        <v>45974</v>
      </c>
      <c r="B328" s="505" t="s">
        <v>4744</v>
      </c>
      <c r="C328" s="505" t="s">
        <v>172</v>
      </c>
      <c r="D328" s="510" t="s">
        <v>119</v>
      </c>
      <c r="E328" s="505">
        <v>12000</v>
      </c>
      <c r="F328" s="502">
        <f t="shared" si="6"/>
        <v>22.492844463854933</v>
      </c>
      <c r="G328" s="503">
        <v>533.50300000000004</v>
      </c>
      <c r="H328" s="505" t="s">
        <v>173</v>
      </c>
      <c r="I328" s="505" t="s">
        <v>4268</v>
      </c>
      <c r="J328" s="505" t="s">
        <v>96</v>
      </c>
      <c r="K328" s="505" t="s">
        <v>2102</v>
      </c>
      <c r="L328" s="505" t="s">
        <v>153</v>
      </c>
      <c r="M328" s="327"/>
      <c r="N328" s="327"/>
      <c r="O328" s="327"/>
    </row>
    <row r="329" spans="1:15" s="399" customFormat="1" ht="15">
      <c r="A329" s="515">
        <v>45974</v>
      </c>
      <c r="B329" s="505" t="s">
        <v>4876</v>
      </c>
      <c r="C329" s="505" t="s">
        <v>172</v>
      </c>
      <c r="D329" s="510" t="s">
        <v>119</v>
      </c>
      <c r="E329" s="505">
        <v>2500</v>
      </c>
      <c r="F329" s="502">
        <f t="shared" si="6"/>
        <v>4.6860092633031112</v>
      </c>
      <c r="G329" s="503">
        <v>533.50300000000004</v>
      </c>
      <c r="H329" s="505" t="s">
        <v>173</v>
      </c>
      <c r="I329" s="505" t="s">
        <v>4263</v>
      </c>
      <c r="J329" s="505" t="s">
        <v>96</v>
      </c>
      <c r="K329" s="505" t="s">
        <v>2102</v>
      </c>
      <c r="L329" s="505" t="s">
        <v>153</v>
      </c>
      <c r="M329" s="125"/>
      <c r="N329" s="125"/>
      <c r="O329" s="125"/>
    </row>
    <row r="330" spans="1:15" s="399" customFormat="1" ht="15">
      <c r="A330" s="515">
        <v>45974</v>
      </c>
      <c r="B330" s="505" t="s">
        <v>4876</v>
      </c>
      <c r="C330" s="505" t="s">
        <v>172</v>
      </c>
      <c r="D330" s="510" t="s">
        <v>119</v>
      </c>
      <c r="E330" s="505">
        <v>2000</v>
      </c>
      <c r="F330" s="502">
        <f t="shared" si="6"/>
        <v>3.7488074106424891</v>
      </c>
      <c r="G330" s="503">
        <v>533.50300000000004</v>
      </c>
      <c r="H330" s="505" t="s">
        <v>173</v>
      </c>
      <c r="I330" s="505" t="s">
        <v>4263</v>
      </c>
      <c r="J330" s="505" t="s">
        <v>96</v>
      </c>
      <c r="K330" s="505" t="s">
        <v>2102</v>
      </c>
      <c r="L330" s="505" t="s">
        <v>153</v>
      </c>
      <c r="M330" s="327"/>
      <c r="N330" s="327"/>
      <c r="O330" s="327"/>
    </row>
    <row r="331" spans="1:15" s="399" customFormat="1" ht="15">
      <c r="A331" s="515">
        <v>45974</v>
      </c>
      <c r="B331" s="505" t="s">
        <v>4876</v>
      </c>
      <c r="C331" s="505" t="s">
        <v>172</v>
      </c>
      <c r="D331" s="510" t="s">
        <v>119</v>
      </c>
      <c r="E331" s="505">
        <v>1000</v>
      </c>
      <c r="F331" s="502">
        <f t="shared" si="6"/>
        <v>1.8744037053212446</v>
      </c>
      <c r="G331" s="503">
        <v>533.50300000000004</v>
      </c>
      <c r="H331" s="505" t="s">
        <v>173</v>
      </c>
      <c r="I331" s="505" t="s">
        <v>4263</v>
      </c>
      <c r="J331" s="505" t="s">
        <v>96</v>
      </c>
      <c r="K331" s="505" t="s">
        <v>2102</v>
      </c>
      <c r="L331" s="505" t="s">
        <v>153</v>
      </c>
      <c r="M331" s="327"/>
      <c r="N331" s="327"/>
      <c r="O331" s="327"/>
    </row>
    <row r="332" spans="1:15" s="399" customFormat="1" ht="15">
      <c r="A332" s="515">
        <v>45974</v>
      </c>
      <c r="B332" s="505" t="s">
        <v>2493</v>
      </c>
      <c r="C332" s="505" t="s">
        <v>366</v>
      </c>
      <c r="D332" s="510" t="s">
        <v>119</v>
      </c>
      <c r="E332" s="505">
        <v>1500</v>
      </c>
      <c r="F332" s="502">
        <f t="shared" si="6"/>
        <v>2.7602044759475781</v>
      </c>
      <c r="G332" s="503">
        <v>543.43799999999999</v>
      </c>
      <c r="H332" s="505" t="s">
        <v>173</v>
      </c>
      <c r="I332" s="505" t="s">
        <v>4264</v>
      </c>
      <c r="J332" s="505" t="s">
        <v>96</v>
      </c>
      <c r="K332" s="505" t="s">
        <v>4104</v>
      </c>
      <c r="L332" s="505" t="s">
        <v>153</v>
      </c>
      <c r="M332" s="327"/>
      <c r="N332" s="327"/>
      <c r="O332" s="327"/>
    </row>
    <row r="333" spans="1:15" s="399" customFormat="1" ht="15">
      <c r="A333" s="515">
        <v>45974</v>
      </c>
      <c r="B333" s="505" t="s">
        <v>4876</v>
      </c>
      <c r="C333" s="505" t="s">
        <v>172</v>
      </c>
      <c r="D333" s="510" t="s">
        <v>119</v>
      </c>
      <c r="E333" s="505">
        <v>1000</v>
      </c>
      <c r="F333" s="502">
        <f t="shared" si="6"/>
        <v>1.8744037053212446</v>
      </c>
      <c r="G333" s="503">
        <v>533.50300000000004</v>
      </c>
      <c r="H333" s="505" t="s">
        <v>315</v>
      </c>
      <c r="I333" s="505" t="s">
        <v>4288</v>
      </c>
      <c r="J333" s="505" t="s">
        <v>96</v>
      </c>
      <c r="K333" s="505" t="s">
        <v>2102</v>
      </c>
      <c r="L333" s="505" t="s">
        <v>153</v>
      </c>
      <c r="M333" s="125"/>
      <c r="N333" s="125"/>
      <c r="O333" s="125"/>
    </row>
    <row r="334" spans="1:15" s="399" customFormat="1" ht="15">
      <c r="A334" s="515">
        <v>45974</v>
      </c>
      <c r="B334" s="505" t="s">
        <v>4876</v>
      </c>
      <c r="C334" s="505" t="s">
        <v>172</v>
      </c>
      <c r="D334" s="510" t="s">
        <v>119</v>
      </c>
      <c r="E334" s="505">
        <v>1000</v>
      </c>
      <c r="F334" s="502">
        <f t="shared" si="6"/>
        <v>1.8744037053212446</v>
      </c>
      <c r="G334" s="503">
        <v>533.50300000000004</v>
      </c>
      <c r="H334" s="505" t="s">
        <v>315</v>
      </c>
      <c r="I334" s="505" t="s">
        <v>4288</v>
      </c>
      <c r="J334" s="505" t="s">
        <v>96</v>
      </c>
      <c r="K334" s="505" t="s">
        <v>2102</v>
      </c>
      <c r="L334" s="505" t="s">
        <v>153</v>
      </c>
      <c r="M334" s="125"/>
      <c r="N334" s="125"/>
      <c r="O334" s="125"/>
    </row>
    <row r="335" spans="1:15" s="399" customFormat="1" ht="15">
      <c r="A335" s="515">
        <v>45974</v>
      </c>
      <c r="B335" s="505" t="s">
        <v>4876</v>
      </c>
      <c r="C335" s="505" t="s">
        <v>172</v>
      </c>
      <c r="D335" s="510" t="s">
        <v>119</v>
      </c>
      <c r="E335" s="505">
        <v>2000</v>
      </c>
      <c r="F335" s="502">
        <f t="shared" si="6"/>
        <v>3.7488074106424891</v>
      </c>
      <c r="G335" s="503">
        <v>533.50300000000004</v>
      </c>
      <c r="H335" s="505" t="s">
        <v>315</v>
      </c>
      <c r="I335" s="505" t="s">
        <v>4288</v>
      </c>
      <c r="J335" s="505" t="s">
        <v>96</v>
      </c>
      <c r="K335" s="505" t="s">
        <v>2102</v>
      </c>
      <c r="L335" s="505" t="s">
        <v>153</v>
      </c>
      <c r="M335" s="327"/>
      <c r="N335" s="327"/>
      <c r="O335" s="327"/>
    </row>
    <row r="336" spans="1:15" s="399" customFormat="1" ht="15">
      <c r="A336" s="515">
        <v>45974</v>
      </c>
      <c r="B336" s="505" t="s">
        <v>4876</v>
      </c>
      <c r="C336" s="505" t="s">
        <v>172</v>
      </c>
      <c r="D336" s="510" t="s">
        <v>119</v>
      </c>
      <c r="E336" s="505">
        <v>1500</v>
      </c>
      <c r="F336" s="502">
        <f t="shared" si="6"/>
        <v>2.8116055579818666</v>
      </c>
      <c r="G336" s="503">
        <v>533.50300000000004</v>
      </c>
      <c r="H336" s="505" t="s">
        <v>315</v>
      </c>
      <c r="I336" s="505" t="s">
        <v>4288</v>
      </c>
      <c r="J336" s="505" t="s">
        <v>96</v>
      </c>
      <c r="K336" s="505" t="s">
        <v>2102</v>
      </c>
      <c r="L336" s="505" t="s">
        <v>153</v>
      </c>
      <c r="M336" s="327"/>
      <c r="N336" s="327"/>
      <c r="O336" s="327"/>
    </row>
    <row r="337" spans="1:15" s="399" customFormat="1" ht="15">
      <c r="A337" s="515">
        <v>45974</v>
      </c>
      <c r="B337" s="505" t="s">
        <v>4907</v>
      </c>
      <c r="C337" s="505" t="s">
        <v>172</v>
      </c>
      <c r="D337" s="510" t="s">
        <v>119</v>
      </c>
      <c r="E337" s="530">
        <v>1000</v>
      </c>
      <c r="F337" s="502">
        <f t="shared" si="6"/>
        <v>1.8744037053212446</v>
      </c>
      <c r="G337" s="503">
        <v>533.50300000000004</v>
      </c>
      <c r="H337" s="505" t="s">
        <v>321</v>
      </c>
      <c r="I337" s="505" t="s">
        <v>4314</v>
      </c>
      <c r="J337" s="505" t="s">
        <v>96</v>
      </c>
      <c r="K337" s="505" t="s">
        <v>2102</v>
      </c>
      <c r="L337" s="505" t="s">
        <v>153</v>
      </c>
      <c r="M337" s="125"/>
      <c r="N337" s="125"/>
      <c r="O337" s="125"/>
    </row>
    <row r="338" spans="1:15" s="399" customFormat="1" ht="15">
      <c r="A338" s="515">
        <v>45974</v>
      </c>
      <c r="B338" s="505" t="s">
        <v>4907</v>
      </c>
      <c r="C338" s="505" t="s">
        <v>172</v>
      </c>
      <c r="D338" s="510" t="s">
        <v>119</v>
      </c>
      <c r="E338" s="530">
        <v>1000</v>
      </c>
      <c r="F338" s="502">
        <f t="shared" si="6"/>
        <v>1.8744037053212446</v>
      </c>
      <c r="G338" s="503">
        <v>533.50300000000004</v>
      </c>
      <c r="H338" s="505" t="s">
        <v>321</v>
      </c>
      <c r="I338" s="505" t="s">
        <v>4314</v>
      </c>
      <c r="J338" s="505" t="s">
        <v>96</v>
      </c>
      <c r="K338" s="505" t="s">
        <v>2102</v>
      </c>
      <c r="L338" s="505" t="s">
        <v>153</v>
      </c>
      <c r="M338" s="125"/>
      <c r="N338" s="125"/>
      <c r="O338" s="125"/>
    </row>
    <row r="339" spans="1:15" s="399" customFormat="1" ht="15">
      <c r="A339" s="515">
        <v>45974</v>
      </c>
      <c r="B339" s="505" t="s">
        <v>4876</v>
      </c>
      <c r="C339" s="505" t="s">
        <v>172</v>
      </c>
      <c r="D339" s="510" t="s">
        <v>119</v>
      </c>
      <c r="E339" s="530">
        <v>1000</v>
      </c>
      <c r="F339" s="502">
        <f t="shared" si="6"/>
        <v>1.8744037053212446</v>
      </c>
      <c r="G339" s="503">
        <v>533.50300000000004</v>
      </c>
      <c r="H339" s="505" t="s">
        <v>321</v>
      </c>
      <c r="I339" s="505" t="s">
        <v>4314</v>
      </c>
      <c r="J339" s="505" t="s">
        <v>96</v>
      </c>
      <c r="K339" s="505" t="s">
        <v>2102</v>
      </c>
      <c r="L339" s="505" t="s">
        <v>153</v>
      </c>
      <c r="M339" s="125"/>
      <c r="N339" s="125"/>
      <c r="O339" s="125"/>
    </row>
    <row r="340" spans="1:15" s="399" customFormat="1" ht="15">
      <c r="A340" s="515">
        <v>45974</v>
      </c>
      <c r="B340" s="505" t="s">
        <v>4745</v>
      </c>
      <c r="C340" s="505" t="s">
        <v>172</v>
      </c>
      <c r="D340" s="510" t="s">
        <v>119</v>
      </c>
      <c r="E340" s="530">
        <v>12000</v>
      </c>
      <c r="F340" s="502">
        <f t="shared" si="6"/>
        <v>22.492844463854933</v>
      </c>
      <c r="G340" s="503">
        <v>533.50300000000004</v>
      </c>
      <c r="H340" s="505" t="s">
        <v>321</v>
      </c>
      <c r="I340" s="505" t="s">
        <v>4317</v>
      </c>
      <c r="J340" s="505" t="s">
        <v>96</v>
      </c>
      <c r="K340" s="505" t="s">
        <v>2102</v>
      </c>
      <c r="L340" s="505" t="s">
        <v>153</v>
      </c>
      <c r="M340" s="125"/>
      <c r="N340" s="125"/>
      <c r="O340" s="125"/>
    </row>
    <row r="341" spans="1:15" s="399" customFormat="1" ht="15">
      <c r="A341" s="515">
        <v>45974</v>
      </c>
      <c r="B341" s="505" t="s">
        <v>4353</v>
      </c>
      <c r="C341" s="505" t="s">
        <v>2394</v>
      </c>
      <c r="D341" s="505" t="s">
        <v>115</v>
      </c>
      <c r="E341" s="518">
        <v>30000</v>
      </c>
      <c r="F341" s="502">
        <f t="shared" si="6"/>
        <v>56.232111159637334</v>
      </c>
      <c r="G341" s="503">
        <v>533.50300000000004</v>
      </c>
      <c r="H341" s="505" t="s">
        <v>188</v>
      </c>
      <c r="I341" s="505" t="s">
        <v>4372</v>
      </c>
      <c r="J341" s="505" t="s">
        <v>96</v>
      </c>
      <c r="K341" s="505" t="s">
        <v>2102</v>
      </c>
      <c r="L341" s="505" t="s">
        <v>153</v>
      </c>
      <c r="M341" s="327"/>
      <c r="N341" s="327"/>
      <c r="O341" s="327"/>
    </row>
    <row r="342" spans="1:15" s="399" customFormat="1" ht="15">
      <c r="A342" s="515">
        <v>45974</v>
      </c>
      <c r="B342" s="505" t="s">
        <v>4354</v>
      </c>
      <c r="C342" s="505" t="s">
        <v>172</v>
      </c>
      <c r="D342" s="505" t="s">
        <v>115</v>
      </c>
      <c r="E342" s="518">
        <v>500</v>
      </c>
      <c r="F342" s="502">
        <f t="shared" si="6"/>
        <v>0.93720185266062228</v>
      </c>
      <c r="G342" s="503">
        <v>533.50300000000004</v>
      </c>
      <c r="H342" s="505" t="s">
        <v>188</v>
      </c>
      <c r="I342" s="505" t="s">
        <v>4359</v>
      </c>
      <c r="J342" s="505" t="s">
        <v>96</v>
      </c>
      <c r="K342" s="505" t="s">
        <v>2102</v>
      </c>
      <c r="L342" s="505" t="s">
        <v>153</v>
      </c>
      <c r="M342" s="327"/>
      <c r="N342" s="327"/>
      <c r="O342" s="327"/>
    </row>
    <row r="343" spans="1:15" s="399" customFormat="1" ht="15">
      <c r="A343" s="515">
        <v>45974</v>
      </c>
      <c r="B343" s="505" t="s">
        <v>4355</v>
      </c>
      <c r="C343" s="505" t="s">
        <v>172</v>
      </c>
      <c r="D343" s="505" t="s">
        <v>115</v>
      </c>
      <c r="E343" s="518">
        <v>1000</v>
      </c>
      <c r="F343" s="502">
        <f t="shared" si="6"/>
        <v>1.8744037053212446</v>
      </c>
      <c r="G343" s="503">
        <v>533.50300000000004</v>
      </c>
      <c r="H343" s="505" t="s">
        <v>188</v>
      </c>
      <c r="I343" s="505" t="s">
        <v>4359</v>
      </c>
      <c r="J343" s="505" t="s">
        <v>96</v>
      </c>
      <c r="K343" s="505" t="s">
        <v>2102</v>
      </c>
      <c r="L343" s="505" t="s">
        <v>153</v>
      </c>
      <c r="M343" s="327"/>
      <c r="N343" s="327"/>
      <c r="O343" s="327"/>
    </row>
    <row r="344" spans="1:15" s="399" customFormat="1" ht="15">
      <c r="A344" s="515">
        <v>45974</v>
      </c>
      <c r="B344" s="505" t="s">
        <v>4602</v>
      </c>
      <c r="C344" s="505" t="s">
        <v>172</v>
      </c>
      <c r="D344" s="505" t="s">
        <v>115</v>
      </c>
      <c r="E344" s="505">
        <v>1000</v>
      </c>
      <c r="F344" s="502">
        <f t="shared" si="6"/>
        <v>1.8744037053212446</v>
      </c>
      <c r="G344" s="503">
        <v>533.50300000000004</v>
      </c>
      <c r="H344" s="505" t="s">
        <v>185</v>
      </c>
      <c r="I344" s="505" t="s">
        <v>4631</v>
      </c>
      <c r="J344" s="505" t="s">
        <v>96</v>
      </c>
      <c r="K344" s="505" t="s">
        <v>2102</v>
      </c>
      <c r="L344" s="505" t="s">
        <v>153</v>
      </c>
      <c r="M344" s="327"/>
      <c r="N344" s="327"/>
      <c r="O344" s="327"/>
    </row>
    <row r="345" spans="1:15" s="399" customFormat="1" ht="15">
      <c r="A345" s="515">
        <v>45974</v>
      </c>
      <c r="B345" s="505" t="s">
        <v>4603</v>
      </c>
      <c r="C345" s="505" t="s">
        <v>172</v>
      </c>
      <c r="D345" s="505" t="s">
        <v>115</v>
      </c>
      <c r="E345" s="505">
        <v>1000</v>
      </c>
      <c r="F345" s="502">
        <f t="shared" si="6"/>
        <v>1.8744037053212446</v>
      </c>
      <c r="G345" s="503">
        <v>533.50300000000004</v>
      </c>
      <c r="H345" s="505" t="s">
        <v>185</v>
      </c>
      <c r="I345" s="505" t="s">
        <v>4631</v>
      </c>
      <c r="J345" s="505" t="s">
        <v>96</v>
      </c>
      <c r="K345" s="505" t="s">
        <v>2102</v>
      </c>
      <c r="L345" s="505" t="s">
        <v>153</v>
      </c>
      <c r="M345" s="327"/>
      <c r="N345" s="327"/>
      <c r="O345" s="327"/>
    </row>
    <row r="346" spans="1:15" s="399" customFormat="1" ht="15">
      <c r="A346" s="543">
        <v>45974</v>
      </c>
      <c r="B346" s="544" t="s">
        <v>4703</v>
      </c>
      <c r="C346" s="546" t="s">
        <v>121</v>
      </c>
      <c r="D346" s="547" t="s">
        <v>115</v>
      </c>
      <c r="E346" s="518">
        <v>150000</v>
      </c>
      <c r="F346" s="502">
        <f t="shared" si="6"/>
        <v>281.16055579818669</v>
      </c>
      <c r="G346" s="503">
        <v>533.50300000000004</v>
      </c>
      <c r="H346" s="125" t="s">
        <v>146</v>
      </c>
      <c r="I346" s="125" t="s">
        <v>4711</v>
      </c>
      <c r="J346" s="505" t="s">
        <v>96</v>
      </c>
      <c r="K346" s="505" t="s">
        <v>2102</v>
      </c>
      <c r="L346" s="505" t="s">
        <v>153</v>
      </c>
      <c r="M346" s="125"/>
      <c r="N346" s="125"/>
      <c r="O346" s="125"/>
    </row>
    <row r="347" spans="1:15" s="399" customFormat="1" ht="15">
      <c r="A347" s="629">
        <v>45975</v>
      </c>
      <c r="B347" s="298" t="s">
        <v>2103</v>
      </c>
      <c r="C347" s="298" t="s">
        <v>172</v>
      </c>
      <c r="D347" s="506" t="s">
        <v>117</v>
      </c>
      <c r="E347" s="630">
        <v>1000</v>
      </c>
      <c r="F347" s="502">
        <f t="shared" si="6"/>
        <v>1.8744037053212446</v>
      </c>
      <c r="G347" s="503">
        <v>533.50300000000004</v>
      </c>
      <c r="H347" s="631" t="s">
        <v>151</v>
      </c>
      <c r="I347" s="298" t="s">
        <v>4133</v>
      </c>
      <c r="J347" s="505" t="s">
        <v>96</v>
      </c>
      <c r="K347" s="505" t="s">
        <v>2102</v>
      </c>
      <c r="L347" s="505" t="s">
        <v>153</v>
      </c>
      <c r="M347" s="327"/>
      <c r="N347" s="327"/>
      <c r="O347" s="327"/>
    </row>
    <row r="348" spans="1:15" s="399" customFormat="1" ht="15">
      <c r="A348" s="629">
        <v>45975</v>
      </c>
      <c r="B348" s="298" t="s">
        <v>2104</v>
      </c>
      <c r="C348" s="298" t="s">
        <v>172</v>
      </c>
      <c r="D348" s="506" t="s">
        <v>117</v>
      </c>
      <c r="E348" s="630">
        <v>1000</v>
      </c>
      <c r="F348" s="502">
        <f t="shared" si="6"/>
        <v>1.8744037053212446</v>
      </c>
      <c r="G348" s="503">
        <v>533.50300000000004</v>
      </c>
      <c r="H348" s="631" t="s">
        <v>151</v>
      </c>
      <c r="I348" s="298" t="s">
        <v>4133</v>
      </c>
      <c r="J348" s="505" t="s">
        <v>96</v>
      </c>
      <c r="K348" s="505" t="s">
        <v>2102</v>
      </c>
      <c r="L348" s="505" t="s">
        <v>153</v>
      </c>
      <c r="M348" s="327"/>
      <c r="N348" s="327"/>
      <c r="O348" s="327"/>
    </row>
    <row r="349" spans="1:15" s="399" customFormat="1" ht="15">
      <c r="A349" s="523">
        <v>45975</v>
      </c>
      <c r="B349" s="510" t="s">
        <v>4917</v>
      </c>
      <c r="C349" s="510" t="s">
        <v>172</v>
      </c>
      <c r="D349" s="510" t="s">
        <v>119</v>
      </c>
      <c r="E349" s="510">
        <v>2000</v>
      </c>
      <c r="F349" s="502">
        <f t="shared" si="6"/>
        <v>3.7488074106424891</v>
      </c>
      <c r="G349" s="503">
        <v>533.50300000000004</v>
      </c>
      <c r="H349" s="510" t="s">
        <v>182</v>
      </c>
      <c r="I349" s="510" t="s">
        <v>4237</v>
      </c>
      <c r="J349" s="505" t="s">
        <v>96</v>
      </c>
      <c r="K349" s="505" t="s">
        <v>2102</v>
      </c>
      <c r="L349" s="505" t="s">
        <v>153</v>
      </c>
      <c r="M349" s="327"/>
      <c r="N349" s="327"/>
      <c r="O349" s="327"/>
    </row>
    <row r="350" spans="1:15" s="399" customFormat="1" ht="15">
      <c r="A350" s="523">
        <v>45975</v>
      </c>
      <c r="B350" s="510" t="s">
        <v>4992</v>
      </c>
      <c r="C350" s="510" t="s">
        <v>172</v>
      </c>
      <c r="D350" s="510" t="s">
        <v>119</v>
      </c>
      <c r="E350" s="510">
        <v>1000</v>
      </c>
      <c r="F350" s="502">
        <f t="shared" si="6"/>
        <v>1.8744037053212446</v>
      </c>
      <c r="G350" s="503">
        <v>533.50300000000004</v>
      </c>
      <c r="H350" s="510" t="s">
        <v>182</v>
      </c>
      <c r="I350" s="510" t="s">
        <v>4237</v>
      </c>
      <c r="J350" s="505" t="s">
        <v>96</v>
      </c>
      <c r="K350" s="505" t="s">
        <v>2102</v>
      </c>
      <c r="L350" s="505" t="s">
        <v>153</v>
      </c>
      <c r="M350" s="327"/>
      <c r="N350" s="327"/>
      <c r="O350" s="327"/>
    </row>
    <row r="351" spans="1:15" s="399" customFormat="1" ht="15">
      <c r="A351" s="523">
        <v>45975</v>
      </c>
      <c r="B351" s="510" t="s">
        <v>4917</v>
      </c>
      <c r="C351" s="510" t="s">
        <v>172</v>
      </c>
      <c r="D351" s="510" t="s">
        <v>119</v>
      </c>
      <c r="E351" s="510">
        <v>1000</v>
      </c>
      <c r="F351" s="502">
        <f t="shared" si="6"/>
        <v>1.8744037053212446</v>
      </c>
      <c r="G351" s="503">
        <v>533.50300000000004</v>
      </c>
      <c r="H351" s="510" t="s">
        <v>182</v>
      </c>
      <c r="I351" s="510" t="s">
        <v>4237</v>
      </c>
      <c r="J351" s="505" t="s">
        <v>96</v>
      </c>
      <c r="K351" s="505" t="s">
        <v>2102</v>
      </c>
      <c r="L351" s="505" t="s">
        <v>153</v>
      </c>
      <c r="M351" s="327"/>
      <c r="N351" s="125"/>
      <c r="O351" s="125"/>
    </row>
    <row r="352" spans="1:15" s="399" customFormat="1" ht="15">
      <c r="A352" s="523">
        <v>45975</v>
      </c>
      <c r="B352" s="510" t="s">
        <v>4746</v>
      </c>
      <c r="C352" s="510" t="s">
        <v>175</v>
      </c>
      <c r="D352" s="510" t="s">
        <v>119</v>
      </c>
      <c r="E352" s="510">
        <v>100000</v>
      </c>
      <c r="F352" s="502">
        <f t="shared" si="6"/>
        <v>187.44037053212446</v>
      </c>
      <c r="G352" s="503">
        <v>533.50300000000004</v>
      </c>
      <c r="H352" s="510" t="s">
        <v>182</v>
      </c>
      <c r="I352" s="510" t="s">
        <v>4244</v>
      </c>
      <c r="J352" s="505" t="s">
        <v>96</v>
      </c>
      <c r="K352" s="505" t="s">
        <v>2102</v>
      </c>
      <c r="L352" s="505" t="s">
        <v>153</v>
      </c>
      <c r="M352" s="327"/>
      <c r="N352" s="125"/>
      <c r="O352" s="125"/>
    </row>
    <row r="353" spans="1:15" s="399" customFormat="1" ht="15">
      <c r="A353" s="515">
        <v>45975</v>
      </c>
      <c r="B353" s="505" t="s">
        <v>4747</v>
      </c>
      <c r="C353" s="505" t="s">
        <v>2394</v>
      </c>
      <c r="D353" s="510" t="s">
        <v>119</v>
      </c>
      <c r="E353" s="505">
        <v>40000</v>
      </c>
      <c r="F353" s="502">
        <f t="shared" si="6"/>
        <v>74.976148212849779</v>
      </c>
      <c r="G353" s="503">
        <v>533.50300000000004</v>
      </c>
      <c r="H353" s="505" t="s">
        <v>173</v>
      </c>
      <c r="I353" s="505" t="s">
        <v>4269</v>
      </c>
      <c r="J353" s="505" t="s">
        <v>96</v>
      </c>
      <c r="K353" s="505" t="s">
        <v>2102</v>
      </c>
      <c r="L353" s="505" t="s">
        <v>153</v>
      </c>
      <c r="M353" s="327"/>
      <c r="N353" s="327"/>
      <c r="O353" s="327"/>
    </row>
    <row r="354" spans="1:15" s="399" customFormat="1" ht="15">
      <c r="A354" s="515">
        <v>45975</v>
      </c>
      <c r="B354" s="505" t="s">
        <v>4876</v>
      </c>
      <c r="C354" s="505" t="s">
        <v>172</v>
      </c>
      <c r="D354" s="510" t="s">
        <v>119</v>
      </c>
      <c r="E354" s="505">
        <v>1000</v>
      </c>
      <c r="F354" s="502">
        <f t="shared" si="6"/>
        <v>1.8744037053212446</v>
      </c>
      <c r="G354" s="503">
        <v>533.50300000000004</v>
      </c>
      <c r="H354" s="505" t="s">
        <v>173</v>
      </c>
      <c r="I354" s="505" t="s">
        <v>4263</v>
      </c>
      <c r="J354" s="505" t="s">
        <v>96</v>
      </c>
      <c r="K354" s="505" t="s">
        <v>2102</v>
      </c>
      <c r="L354" s="505" t="s">
        <v>153</v>
      </c>
      <c r="M354" s="327"/>
      <c r="N354" s="327"/>
      <c r="O354" s="327"/>
    </row>
    <row r="355" spans="1:15" s="399" customFormat="1" ht="15">
      <c r="A355" s="515">
        <v>45975</v>
      </c>
      <c r="B355" s="505" t="s">
        <v>4876</v>
      </c>
      <c r="C355" s="505" t="s">
        <v>172</v>
      </c>
      <c r="D355" s="510" t="s">
        <v>119</v>
      </c>
      <c r="E355" s="505">
        <v>1000</v>
      </c>
      <c r="F355" s="502">
        <f t="shared" si="6"/>
        <v>1.8744037053212446</v>
      </c>
      <c r="G355" s="503">
        <v>533.50300000000004</v>
      </c>
      <c r="H355" s="505" t="s">
        <v>173</v>
      </c>
      <c r="I355" s="505" t="s">
        <v>4263</v>
      </c>
      <c r="J355" s="505" t="s">
        <v>96</v>
      </c>
      <c r="K355" s="505" t="s">
        <v>2102</v>
      </c>
      <c r="L355" s="505" t="s">
        <v>153</v>
      </c>
      <c r="M355" s="327"/>
      <c r="N355" s="125"/>
      <c r="O355" s="125"/>
    </row>
    <row r="356" spans="1:15" s="399" customFormat="1" ht="15">
      <c r="A356" s="515">
        <v>45975</v>
      </c>
      <c r="B356" s="505" t="s">
        <v>4748</v>
      </c>
      <c r="C356" s="505" t="s">
        <v>175</v>
      </c>
      <c r="D356" s="510" t="s">
        <v>119</v>
      </c>
      <c r="E356" s="505">
        <v>100000</v>
      </c>
      <c r="F356" s="502">
        <f t="shared" si="6"/>
        <v>187.44037053212446</v>
      </c>
      <c r="G356" s="503">
        <v>533.50300000000004</v>
      </c>
      <c r="H356" s="505" t="s">
        <v>315</v>
      </c>
      <c r="I356" s="505" t="s">
        <v>4294</v>
      </c>
      <c r="J356" s="505" t="s">
        <v>96</v>
      </c>
      <c r="K356" s="505" t="s">
        <v>2102</v>
      </c>
      <c r="L356" s="505" t="s">
        <v>153</v>
      </c>
      <c r="M356" s="327"/>
      <c r="N356" s="327"/>
      <c r="O356" s="327"/>
    </row>
    <row r="357" spans="1:15" s="399" customFormat="1" ht="15">
      <c r="A357" s="515">
        <v>45975</v>
      </c>
      <c r="B357" s="505" t="s">
        <v>4876</v>
      </c>
      <c r="C357" s="505" t="s">
        <v>172</v>
      </c>
      <c r="D357" s="510" t="s">
        <v>119</v>
      </c>
      <c r="E357" s="505">
        <v>2000</v>
      </c>
      <c r="F357" s="502">
        <f t="shared" si="6"/>
        <v>3.7488074106424891</v>
      </c>
      <c r="G357" s="503">
        <v>533.50300000000004</v>
      </c>
      <c r="H357" s="505" t="s">
        <v>315</v>
      </c>
      <c r="I357" s="505" t="s">
        <v>4288</v>
      </c>
      <c r="J357" s="505" t="s">
        <v>96</v>
      </c>
      <c r="K357" s="505" t="s">
        <v>2102</v>
      </c>
      <c r="L357" s="505" t="s">
        <v>153</v>
      </c>
      <c r="M357" s="327"/>
      <c r="N357" s="327"/>
      <c r="O357" s="327"/>
    </row>
    <row r="358" spans="1:15" s="399" customFormat="1" ht="15">
      <c r="A358" s="515">
        <v>45975</v>
      </c>
      <c r="B358" s="505" t="s">
        <v>4749</v>
      </c>
      <c r="C358" s="505" t="s">
        <v>172</v>
      </c>
      <c r="D358" s="510" t="s">
        <v>119</v>
      </c>
      <c r="E358" s="514">
        <v>9000</v>
      </c>
      <c r="F358" s="502">
        <f t="shared" si="6"/>
        <v>16.869633347891202</v>
      </c>
      <c r="G358" s="503">
        <v>533.50300000000004</v>
      </c>
      <c r="H358" s="505" t="s">
        <v>315</v>
      </c>
      <c r="I358" s="505" t="s">
        <v>4295</v>
      </c>
      <c r="J358" s="505" t="s">
        <v>96</v>
      </c>
      <c r="K358" s="505" t="s">
        <v>2102</v>
      </c>
      <c r="L358" s="505" t="s">
        <v>153</v>
      </c>
      <c r="M358" s="327"/>
      <c r="N358" s="327"/>
      <c r="O358" s="327"/>
    </row>
    <row r="359" spans="1:15" s="399" customFormat="1" ht="15">
      <c r="A359" s="515">
        <v>45975</v>
      </c>
      <c r="B359" s="505" t="s">
        <v>4876</v>
      </c>
      <c r="C359" s="505" t="s">
        <v>172</v>
      </c>
      <c r="D359" s="510" t="s">
        <v>119</v>
      </c>
      <c r="E359" s="505">
        <v>1000</v>
      </c>
      <c r="F359" s="502">
        <f t="shared" si="6"/>
        <v>1.8744037053212446</v>
      </c>
      <c r="G359" s="503">
        <v>533.50300000000004</v>
      </c>
      <c r="H359" s="505" t="s">
        <v>315</v>
      </c>
      <c r="I359" s="505" t="s">
        <v>4288</v>
      </c>
      <c r="J359" s="505" t="s">
        <v>96</v>
      </c>
      <c r="K359" s="505" t="s">
        <v>2102</v>
      </c>
      <c r="L359" s="505" t="s">
        <v>153</v>
      </c>
      <c r="M359" s="327"/>
      <c r="N359" s="327"/>
      <c r="O359" s="327"/>
    </row>
    <row r="360" spans="1:15" s="399" customFormat="1" ht="15">
      <c r="A360" s="515">
        <v>45975</v>
      </c>
      <c r="B360" s="505" t="s">
        <v>4750</v>
      </c>
      <c r="C360" s="505" t="s">
        <v>4309</v>
      </c>
      <c r="D360" s="510" t="s">
        <v>119</v>
      </c>
      <c r="E360" s="530">
        <v>50000</v>
      </c>
      <c r="F360" s="502">
        <f t="shared" si="6"/>
        <v>93.720185266062231</v>
      </c>
      <c r="G360" s="503">
        <v>533.50300000000004</v>
      </c>
      <c r="H360" s="505" t="s">
        <v>321</v>
      </c>
      <c r="I360" s="505" t="s">
        <v>4318</v>
      </c>
      <c r="J360" s="505" t="s">
        <v>96</v>
      </c>
      <c r="K360" s="505" t="s">
        <v>2102</v>
      </c>
      <c r="L360" s="505" t="s">
        <v>153</v>
      </c>
      <c r="M360" s="327"/>
      <c r="N360" s="327"/>
      <c r="O360" s="327"/>
    </row>
    <row r="361" spans="1:15" s="399" customFormat="1" ht="15">
      <c r="A361" s="515">
        <v>45975</v>
      </c>
      <c r="B361" s="505" t="s">
        <v>4917</v>
      </c>
      <c r="C361" s="505" t="s">
        <v>172</v>
      </c>
      <c r="D361" s="510" t="s">
        <v>119</v>
      </c>
      <c r="E361" s="530">
        <v>1000</v>
      </c>
      <c r="F361" s="502">
        <f t="shared" si="6"/>
        <v>1.8744037053212446</v>
      </c>
      <c r="G361" s="503">
        <v>533.50300000000004</v>
      </c>
      <c r="H361" s="505" t="s">
        <v>321</v>
      </c>
      <c r="I361" s="505" t="s">
        <v>4314</v>
      </c>
      <c r="J361" s="505" t="s">
        <v>96</v>
      </c>
      <c r="K361" s="505" t="s">
        <v>2102</v>
      </c>
      <c r="L361" s="505" t="s">
        <v>153</v>
      </c>
      <c r="M361" s="125"/>
      <c r="N361" s="125"/>
      <c r="O361" s="125"/>
    </row>
    <row r="362" spans="1:15" s="399" customFormat="1" ht="15">
      <c r="A362" s="515">
        <v>45975</v>
      </c>
      <c r="B362" s="505" t="s">
        <v>4876</v>
      </c>
      <c r="C362" s="505" t="s">
        <v>172</v>
      </c>
      <c r="D362" s="510" t="s">
        <v>119</v>
      </c>
      <c r="E362" s="530">
        <v>500</v>
      </c>
      <c r="F362" s="502">
        <f t="shared" si="6"/>
        <v>0.93720185266062228</v>
      </c>
      <c r="G362" s="503">
        <v>533.50300000000004</v>
      </c>
      <c r="H362" s="505" t="s">
        <v>321</v>
      </c>
      <c r="I362" s="505" t="s">
        <v>4314</v>
      </c>
      <c r="J362" s="505" t="s">
        <v>96</v>
      </c>
      <c r="K362" s="505" t="s">
        <v>2102</v>
      </c>
      <c r="L362" s="505" t="s">
        <v>153</v>
      </c>
      <c r="M362" s="125"/>
      <c r="N362" s="125"/>
      <c r="O362" s="125"/>
    </row>
    <row r="363" spans="1:15" s="399" customFormat="1" ht="15">
      <c r="A363" s="531">
        <v>45975</v>
      </c>
      <c r="B363" s="514" t="s">
        <v>4497</v>
      </c>
      <c r="C363" s="514" t="s">
        <v>172</v>
      </c>
      <c r="D363" s="514" t="s">
        <v>118</v>
      </c>
      <c r="E363" s="518">
        <v>1000</v>
      </c>
      <c r="F363" s="502">
        <f t="shared" si="6"/>
        <v>1.8744037053212446</v>
      </c>
      <c r="G363" s="503">
        <v>533.50300000000004</v>
      </c>
      <c r="H363" s="514" t="s">
        <v>211</v>
      </c>
      <c r="I363" s="514" t="s">
        <v>4559</v>
      </c>
      <c r="J363" s="505" t="s">
        <v>96</v>
      </c>
      <c r="K363" s="505" t="s">
        <v>2102</v>
      </c>
      <c r="L363" s="505" t="s">
        <v>153</v>
      </c>
      <c r="M363" s="125"/>
      <c r="N363" s="125"/>
      <c r="O363" s="125"/>
    </row>
    <row r="364" spans="1:15" s="399" customFormat="1" ht="15">
      <c r="A364" s="531">
        <v>45975</v>
      </c>
      <c r="B364" s="514" t="s">
        <v>4498</v>
      </c>
      <c r="C364" s="514" t="s">
        <v>172</v>
      </c>
      <c r="D364" s="514" t="s">
        <v>118</v>
      </c>
      <c r="E364" s="518">
        <v>1000</v>
      </c>
      <c r="F364" s="502">
        <f t="shared" si="6"/>
        <v>1.8744037053212446</v>
      </c>
      <c r="G364" s="503">
        <v>533.50300000000004</v>
      </c>
      <c r="H364" s="514" t="s">
        <v>211</v>
      </c>
      <c r="I364" s="514" t="s">
        <v>4559</v>
      </c>
      <c r="J364" s="505" t="s">
        <v>96</v>
      </c>
      <c r="K364" s="505" t="s">
        <v>2102</v>
      </c>
      <c r="L364" s="505" t="s">
        <v>153</v>
      </c>
      <c r="M364" s="125"/>
      <c r="N364" s="125"/>
      <c r="O364" s="125"/>
    </row>
    <row r="365" spans="1:15" s="399" customFormat="1" ht="15">
      <c r="A365" s="531">
        <v>45975</v>
      </c>
      <c r="B365" s="514" t="s">
        <v>4499</v>
      </c>
      <c r="C365" s="514" t="s">
        <v>172</v>
      </c>
      <c r="D365" s="514" t="s">
        <v>118</v>
      </c>
      <c r="E365" s="518">
        <v>1000</v>
      </c>
      <c r="F365" s="502">
        <f t="shared" ref="F365:F428" si="7">E365/G365</f>
        <v>1.8744037053212446</v>
      </c>
      <c r="G365" s="503">
        <v>533.50300000000004</v>
      </c>
      <c r="H365" s="514" t="s">
        <v>211</v>
      </c>
      <c r="I365" s="514" t="s">
        <v>4559</v>
      </c>
      <c r="J365" s="505" t="s">
        <v>96</v>
      </c>
      <c r="K365" s="505" t="s">
        <v>2102</v>
      </c>
      <c r="L365" s="505" t="s">
        <v>153</v>
      </c>
      <c r="M365" s="125"/>
      <c r="N365" s="125"/>
      <c r="O365" s="125"/>
    </row>
    <row r="366" spans="1:15" s="399" customFormat="1" ht="15">
      <c r="A366" s="515">
        <v>45975</v>
      </c>
      <c r="B366" s="505" t="s">
        <v>4500</v>
      </c>
      <c r="C366" s="505" t="s">
        <v>2092</v>
      </c>
      <c r="D366" s="514" t="s">
        <v>118</v>
      </c>
      <c r="E366" s="518">
        <v>6000</v>
      </c>
      <c r="F366" s="502">
        <f t="shared" si="7"/>
        <v>11.246422231927466</v>
      </c>
      <c r="G366" s="503">
        <v>533.50300000000004</v>
      </c>
      <c r="H366" s="505" t="s">
        <v>211</v>
      </c>
      <c r="I366" s="505" t="s">
        <v>4567</v>
      </c>
      <c r="J366" s="505" t="s">
        <v>96</v>
      </c>
      <c r="K366" s="505" t="s">
        <v>2102</v>
      </c>
      <c r="L366" s="505" t="s">
        <v>153</v>
      </c>
      <c r="M366" s="125"/>
      <c r="N366" s="125"/>
      <c r="O366" s="125"/>
    </row>
    <row r="367" spans="1:15" s="399" customFormat="1" ht="15">
      <c r="A367" s="515">
        <v>45975</v>
      </c>
      <c r="B367" s="505" t="s">
        <v>4501</v>
      </c>
      <c r="C367" s="505" t="s">
        <v>2092</v>
      </c>
      <c r="D367" s="514" t="s">
        <v>118</v>
      </c>
      <c r="E367" s="518">
        <v>6000</v>
      </c>
      <c r="F367" s="502">
        <f t="shared" si="7"/>
        <v>11.246422231927466</v>
      </c>
      <c r="G367" s="503">
        <v>533.50300000000004</v>
      </c>
      <c r="H367" s="505" t="s">
        <v>211</v>
      </c>
      <c r="I367" s="505" t="s">
        <v>4567</v>
      </c>
      <c r="J367" s="505" t="s">
        <v>96</v>
      </c>
      <c r="K367" s="505" t="s">
        <v>2102</v>
      </c>
      <c r="L367" s="505" t="s">
        <v>153</v>
      </c>
      <c r="M367" s="125"/>
      <c r="N367" s="125"/>
      <c r="O367" s="125"/>
    </row>
    <row r="368" spans="1:15" s="399" customFormat="1" ht="15">
      <c r="A368" s="515">
        <v>45975</v>
      </c>
      <c r="B368" s="505" t="s">
        <v>4502</v>
      </c>
      <c r="C368" s="505" t="s">
        <v>2092</v>
      </c>
      <c r="D368" s="514" t="s">
        <v>118</v>
      </c>
      <c r="E368" s="518">
        <v>6000</v>
      </c>
      <c r="F368" s="502">
        <f t="shared" si="7"/>
        <v>11.246422231927466</v>
      </c>
      <c r="G368" s="503">
        <v>533.50300000000004</v>
      </c>
      <c r="H368" s="505" t="s">
        <v>211</v>
      </c>
      <c r="I368" s="505" t="s">
        <v>4567</v>
      </c>
      <c r="J368" s="505" t="s">
        <v>96</v>
      </c>
      <c r="K368" s="505" t="s">
        <v>2102</v>
      </c>
      <c r="L368" s="505" t="s">
        <v>153</v>
      </c>
      <c r="M368" s="125"/>
      <c r="N368" s="125"/>
      <c r="O368" s="125"/>
    </row>
    <row r="369" spans="1:15" s="399" customFormat="1" ht="15">
      <c r="A369" s="515">
        <v>45975</v>
      </c>
      <c r="B369" s="505" t="s">
        <v>4503</v>
      </c>
      <c r="C369" s="505" t="s">
        <v>2092</v>
      </c>
      <c r="D369" s="514" t="s">
        <v>118</v>
      </c>
      <c r="E369" s="518">
        <v>6000</v>
      </c>
      <c r="F369" s="502">
        <f t="shared" si="7"/>
        <v>11.246422231927466</v>
      </c>
      <c r="G369" s="503">
        <v>533.50300000000004</v>
      </c>
      <c r="H369" s="505" t="s">
        <v>211</v>
      </c>
      <c r="I369" s="505" t="s">
        <v>4567</v>
      </c>
      <c r="J369" s="505" t="s">
        <v>96</v>
      </c>
      <c r="K369" s="505" t="s">
        <v>2102</v>
      </c>
      <c r="L369" s="505" t="s">
        <v>153</v>
      </c>
      <c r="M369" s="125"/>
      <c r="N369" s="125"/>
      <c r="O369" s="125"/>
    </row>
    <row r="370" spans="1:15" s="399" customFormat="1" ht="15">
      <c r="A370" s="515">
        <v>45975</v>
      </c>
      <c r="B370" s="505" t="s">
        <v>4504</v>
      </c>
      <c r="C370" s="505" t="s">
        <v>2092</v>
      </c>
      <c r="D370" s="514" t="s">
        <v>118</v>
      </c>
      <c r="E370" s="518">
        <v>6000</v>
      </c>
      <c r="F370" s="502">
        <f t="shared" si="7"/>
        <v>11.246422231927466</v>
      </c>
      <c r="G370" s="503">
        <v>533.50300000000004</v>
      </c>
      <c r="H370" s="505" t="s">
        <v>211</v>
      </c>
      <c r="I370" s="505" t="s">
        <v>4567</v>
      </c>
      <c r="J370" s="505" t="s">
        <v>96</v>
      </c>
      <c r="K370" s="505" t="s">
        <v>2102</v>
      </c>
      <c r="L370" s="505" t="s">
        <v>153</v>
      </c>
      <c r="M370" s="125"/>
      <c r="N370" s="125"/>
      <c r="O370" s="125"/>
    </row>
    <row r="371" spans="1:15" s="399" customFormat="1" ht="15">
      <c r="A371" s="515">
        <v>45975</v>
      </c>
      <c r="B371" s="505" t="s">
        <v>4505</v>
      </c>
      <c r="C371" s="505" t="s">
        <v>2092</v>
      </c>
      <c r="D371" s="514" t="s">
        <v>118</v>
      </c>
      <c r="E371" s="518">
        <v>6000</v>
      </c>
      <c r="F371" s="502">
        <f t="shared" si="7"/>
        <v>11.246422231927466</v>
      </c>
      <c r="G371" s="503">
        <v>533.50300000000004</v>
      </c>
      <c r="H371" s="505" t="s">
        <v>211</v>
      </c>
      <c r="I371" s="505" t="s">
        <v>4567</v>
      </c>
      <c r="J371" s="505" t="s">
        <v>96</v>
      </c>
      <c r="K371" s="505" t="s">
        <v>2102</v>
      </c>
      <c r="L371" s="505" t="s">
        <v>153</v>
      </c>
      <c r="M371" s="125"/>
      <c r="N371" s="125"/>
      <c r="O371" s="125"/>
    </row>
    <row r="372" spans="1:15" s="399" customFormat="1" ht="15">
      <c r="A372" s="515">
        <v>45975</v>
      </c>
      <c r="B372" s="505" t="s">
        <v>4506</v>
      </c>
      <c r="C372" s="505" t="s">
        <v>2092</v>
      </c>
      <c r="D372" s="514" t="s">
        <v>118</v>
      </c>
      <c r="E372" s="518">
        <v>6000</v>
      </c>
      <c r="F372" s="502">
        <f t="shared" si="7"/>
        <v>11.246422231927466</v>
      </c>
      <c r="G372" s="503">
        <v>533.50300000000004</v>
      </c>
      <c r="H372" s="505" t="s">
        <v>211</v>
      </c>
      <c r="I372" s="505" t="s">
        <v>4567</v>
      </c>
      <c r="J372" s="505" t="s">
        <v>96</v>
      </c>
      <c r="K372" s="505" t="s">
        <v>2102</v>
      </c>
      <c r="L372" s="505" t="s">
        <v>153</v>
      </c>
      <c r="M372" s="125"/>
      <c r="N372" s="125"/>
      <c r="O372" s="125"/>
    </row>
    <row r="373" spans="1:15" s="325" customFormat="1" ht="15">
      <c r="A373" s="515">
        <v>45975</v>
      </c>
      <c r="B373" s="505" t="s">
        <v>4507</v>
      </c>
      <c r="C373" s="505" t="s">
        <v>2092</v>
      </c>
      <c r="D373" s="514" t="s">
        <v>118</v>
      </c>
      <c r="E373" s="518">
        <v>6000</v>
      </c>
      <c r="F373" s="502">
        <f t="shared" si="7"/>
        <v>11.246422231927466</v>
      </c>
      <c r="G373" s="503">
        <v>533.50300000000004</v>
      </c>
      <c r="H373" s="505" t="s">
        <v>211</v>
      </c>
      <c r="I373" s="505" t="s">
        <v>4567</v>
      </c>
      <c r="J373" s="505" t="s">
        <v>96</v>
      </c>
      <c r="K373" s="505" t="s">
        <v>2102</v>
      </c>
      <c r="L373" s="505" t="s">
        <v>153</v>
      </c>
      <c r="M373" s="125"/>
      <c r="N373" s="125"/>
      <c r="O373" s="125"/>
    </row>
    <row r="374" spans="1:15" s="325" customFormat="1" ht="15">
      <c r="A374" s="515">
        <v>45975</v>
      </c>
      <c r="B374" s="505" t="s">
        <v>4508</v>
      </c>
      <c r="C374" s="505" t="s">
        <v>2092</v>
      </c>
      <c r="D374" s="514" t="s">
        <v>118</v>
      </c>
      <c r="E374" s="518">
        <v>6000</v>
      </c>
      <c r="F374" s="502">
        <f t="shared" si="7"/>
        <v>11.246422231927466</v>
      </c>
      <c r="G374" s="503">
        <v>533.50300000000004</v>
      </c>
      <c r="H374" s="505" t="s">
        <v>211</v>
      </c>
      <c r="I374" s="505" t="s">
        <v>4567</v>
      </c>
      <c r="J374" s="505" t="s">
        <v>96</v>
      </c>
      <c r="K374" s="505" t="s">
        <v>2102</v>
      </c>
      <c r="L374" s="505" t="s">
        <v>153</v>
      </c>
      <c r="M374" s="125"/>
      <c r="N374" s="125"/>
      <c r="O374" s="125"/>
    </row>
    <row r="375" spans="1:15" s="325" customFormat="1" ht="15">
      <c r="A375" s="515">
        <v>45975</v>
      </c>
      <c r="B375" s="505" t="s">
        <v>4509</v>
      </c>
      <c r="C375" s="505" t="s">
        <v>2092</v>
      </c>
      <c r="D375" s="514" t="s">
        <v>118</v>
      </c>
      <c r="E375" s="518">
        <v>6000</v>
      </c>
      <c r="F375" s="502">
        <f t="shared" si="7"/>
        <v>11.246422231927466</v>
      </c>
      <c r="G375" s="503">
        <v>533.50300000000004</v>
      </c>
      <c r="H375" s="505" t="s">
        <v>211</v>
      </c>
      <c r="I375" s="505" t="s">
        <v>4567</v>
      </c>
      <c r="J375" s="505" t="s">
        <v>96</v>
      </c>
      <c r="K375" s="505" t="s">
        <v>2102</v>
      </c>
      <c r="L375" s="505" t="s">
        <v>153</v>
      </c>
      <c r="M375" s="125"/>
      <c r="N375" s="125"/>
      <c r="O375" s="125"/>
    </row>
    <row r="376" spans="1:15" s="325" customFormat="1" ht="15">
      <c r="A376" s="515">
        <v>45975</v>
      </c>
      <c r="B376" s="505" t="s">
        <v>4510</v>
      </c>
      <c r="C376" s="505" t="s">
        <v>2092</v>
      </c>
      <c r="D376" s="514" t="s">
        <v>118</v>
      </c>
      <c r="E376" s="518">
        <v>6000</v>
      </c>
      <c r="F376" s="502">
        <f t="shared" si="7"/>
        <v>11.246422231927466</v>
      </c>
      <c r="G376" s="503">
        <v>533.50300000000004</v>
      </c>
      <c r="H376" s="505" t="s">
        <v>211</v>
      </c>
      <c r="I376" s="505" t="s">
        <v>4567</v>
      </c>
      <c r="J376" s="505" t="s">
        <v>96</v>
      </c>
      <c r="K376" s="505" t="s">
        <v>2102</v>
      </c>
      <c r="L376" s="505" t="s">
        <v>153</v>
      </c>
      <c r="M376" s="125"/>
      <c r="N376" s="125"/>
      <c r="O376" s="125"/>
    </row>
    <row r="377" spans="1:15" s="325" customFormat="1" ht="15">
      <c r="A377" s="515">
        <v>45975</v>
      </c>
      <c r="B377" s="505" t="s">
        <v>4511</v>
      </c>
      <c r="C377" s="505" t="s">
        <v>2092</v>
      </c>
      <c r="D377" s="514" t="s">
        <v>118</v>
      </c>
      <c r="E377" s="518">
        <v>6000</v>
      </c>
      <c r="F377" s="502">
        <f t="shared" si="7"/>
        <v>11.246422231927466</v>
      </c>
      <c r="G377" s="503">
        <v>533.50300000000004</v>
      </c>
      <c r="H377" s="505" t="s">
        <v>211</v>
      </c>
      <c r="I377" s="505" t="s">
        <v>4567</v>
      </c>
      <c r="J377" s="505" t="s">
        <v>96</v>
      </c>
      <c r="K377" s="505" t="s">
        <v>2102</v>
      </c>
      <c r="L377" s="505" t="s">
        <v>153</v>
      </c>
      <c r="M377" s="125"/>
      <c r="N377" s="125"/>
      <c r="O377" s="125"/>
    </row>
    <row r="378" spans="1:15" s="325" customFormat="1" ht="15">
      <c r="A378" s="515">
        <v>45975</v>
      </c>
      <c r="B378" s="505" t="s">
        <v>4512</v>
      </c>
      <c r="C378" s="505" t="s">
        <v>2092</v>
      </c>
      <c r="D378" s="514" t="s">
        <v>118</v>
      </c>
      <c r="E378" s="518">
        <v>6000</v>
      </c>
      <c r="F378" s="502">
        <f t="shared" si="7"/>
        <v>11.246422231927466</v>
      </c>
      <c r="G378" s="503">
        <v>533.50300000000004</v>
      </c>
      <c r="H378" s="505" t="s">
        <v>211</v>
      </c>
      <c r="I378" s="505" t="s">
        <v>4567</v>
      </c>
      <c r="J378" s="505" t="s">
        <v>96</v>
      </c>
      <c r="K378" s="505" t="s">
        <v>2102</v>
      </c>
      <c r="L378" s="505" t="s">
        <v>153</v>
      </c>
      <c r="M378" s="125"/>
      <c r="N378" s="125"/>
      <c r="O378" s="125"/>
    </row>
    <row r="379" spans="1:15" s="325" customFormat="1" ht="15">
      <c r="A379" s="515">
        <v>45975</v>
      </c>
      <c r="B379" s="505" t="s">
        <v>4513</v>
      </c>
      <c r="C379" s="505" t="s">
        <v>2092</v>
      </c>
      <c r="D379" s="514" t="s">
        <v>118</v>
      </c>
      <c r="E379" s="518">
        <v>6000</v>
      </c>
      <c r="F379" s="502">
        <f t="shared" si="7"/>
        <v>11.246422231927466</v>
      </c>
      <c r="G379" s="503">
        <v>533.50300000000004</v>
      </c>
      <c r="H379" s="505" t="s">
        <v>211</v>
      </c>
      <c r="I379" s="505" t="s">
        <v>4567</v>
      </c>
      <c r="J379" s="505" t="s">
        <v>96</v>
      </c>
      <c r="K379" s="505" t="s">
        <v>2102</v>
      </c>
      <c r="L379" s="505" t="s">
        <v>153</v>
      </c>
      <c r="M379" s="125"/>
      <c r="N379" s="125"/>
      <c r="O379" s="125"/>
    </row>
    <row r="380" spans="1:15" s="325" customFormat="1" ht="15">
      <c r="A380" s="515">
        <v>45975</v>
      </c>
      <c r="B380" s="505" t="s">
        <v>4514</v>
      </c>
      <c r="C380" s="505" t="s">
        <v>2092</v>
      </c>
      <c r="D380" s="514" t="s">
        <v>118</v>
      </c>
      <c r="E380" s="518">
        <v>10000</v>
      </c>
      <c r="F380" s="502">
        <f t="shared" si="7"/>
        <v>18.744037053212445</v>
      </c>
      <c r="G380" s="503">
        <v>533.50300000000004</v>
      </c>
      <c r="H380" s="505" t="s">
        <v>211</v>
      </c>
      <c r="I380" s="505" t="s">
        <v>4568</v>
      </c>
      <c r="J380" s="505" t="s">
        <v>96</v>
      </c>
      <c r="K380" s="505" t="s">
        <v>2102</v>
      </c>
      <c r="L380" s="505" t="s">
        <v>153</v>
      </c>
      <c r="M380" s="125"/>
      <c r="N380" s="125"/>
      <c r="O380" s="125"/>
    </row>
    <row r="381" spans="1:15" s="325" customFormat="1" ht="15">
      <c r="A381" s="515">
        <v>45975</v>
      </c>
      <c r="B381" s="505" t="s">
        <v>4515</v>
      </c>
      <c r="C381" s="505" t="s">
        <v>2092</v>
      </c>
      <c r="D381" s="514" t="s">
        <v>118</v>
      </c>
      <c r="E381" s="518">
        <v>10000</v>
      </c>
      <c r="F381" s="502">
        <f t="shared" si="7"/>
        <v>18.744037053212445</v>
      </c>
      <c r="G381" s="503">
        <v>533.50300000000004</v>
      </c>
      <c r="H381" s="505" t="s">
        <v>211</v>
      </c>
      <c r="I381" s="505" t="s">
        <v>4568</v>
      </c>
      <c r="J381" s="505" t="s">
        <v>96</v>
      </c>
      <c r="K381" s="505" t="s">
        <v>2102</v>
      </c>
      <c r="L381" s="505" t="s">
        <v>153</v>
      </c>
      <c r="M381" s="125"/>
      <c r="N381" s="125"/>
      <c r="O381" s="125"/>
    </row>
    <row r="382" spans="1:15" s="325" customFormat="1" ht="15">
      <c r="A382" s="515">
        <v>45975</v>
      </c>
      <c r="B382" s="505" t="s">
        <v>4516</v>
      </c>
      <c r="C382" s="505" t="s">
        <v>2092</v>
      </c>
      <c r="D382" s="514" t="s">
        <v>118</v>
      </c>
      <c r="E382" s="518">
        <v>10000</v>
      </c>
      <c r="F382" s="502">
        <f t="shared" si="7"/>
        <v>18.744037053212445</v>
      </c>
      <c r="G382" s="503">
        <v>533.50300000000004</v>
      </c>
      <c r="H382" s="505" t="s">
        <v>211</v>
      </c>
      <c r="I382" s="505" t="s">
        <v>4568</v>
      </c>
      <c r="J382" s="505" t="s">
        <v>96</v>
      </c>
      <c r="K382" s="505" t="s">
        <v>2102</v>
      </c>
      <c r="L382" s="505" t="s">
        <v>153</v>
      </c>
      <c r="M382" s="125"/>
      <c r="N382" s="125"/>
      <c r="O382" s="125"/>
    </row>
    <row r="383" spans="1:15" s="325" customFormat="1" ht="15">
      <c r="A383" s="515">
        <v>45975</v>
      </c>
      <c r="B383" s="505" t="s">
        <v>4517</v>
      </c>
      <c r="C383" s="505" t="s">
        <v>2092</v>
      </c>
      <c r="D383" s="514" t="s">
        <v>118</v>
      </c>
      <c r="E383" s="518">
        <v>10000</v>
      </c>
      <c r="F383" s="502">
        <f t="shared" si="7"/>
        <v>18.744037053212445</v>
      </c>
      <c r="G383" s="503">
        <v>533.50300000000004</v>
      </c>
      <c r="H383" s="505" t="s">
        <v>211</v>
      </c>
      <c r="I383" s="505" t="s">
        <v>4568</v>
      </c>
      <c r="J383" s="505" t="s">
        <v>96</v>
      </c>
      <c r="K383" s="505" t="s">
        <v>2102</v>
      </c>
      <c r="L383" s="505" t="s">
        <v>153</v>
      </c>
      <c r="M383" s="327"/>
      <c r="N383" s="125"/>
      <c r="O383" s="125"/>
    </row>
    <row r="384" spans="1:15" s="325" customFormat="1" ht="15">
      <c r="A384" s="515">
        <v>45975</v>
      </c>
      <c r="B384" s="505" t="s">
        <v>4518</v>
      </c>
      <c r="C384" s="505" t="s">
        <v>2092</v>
      </c>
      <c r="D384" s="514" t="s">
        <v>118</v>
      </c>
      <c r="E384" s="518">
        <v>10000</v>
      </c>
      <c r="F384" s="502">
        <f t="shared" si="7"/>
        <v>18.744037053212445</v>
      </c>
      <c r="G384" s="503">
        <v>533.50300000000004</v>
      </c>
      <c r="H384" s="505" t="s">
        <v>211</v>
      </c>
      <c r="I384" s="505" t="s">
        <v>4568</v>
      </c>
      <c r="J384" s="505" t="s">
        <v>96</v>
      </c>
      <c r="K384" s="505" t="s">
        <v>2102</v>
      </c>
      <c r="L384" s="505" t="s">
        <v>153</v>
      </c>
      <c r="M384" s="327"/>
      <c r="N384" s="125"/>
      <c r="O384" s="125"/>
    </row>
    <row r="385" spans="1:15" s="325" customFormat="1" ht="15">
      <c r="A385" s="515">
        <v>45975</v>
      </c>
      <c r="B385" s="505" t="s">
        <v>4519</v>
      </c>
      <c r="C385" s="505" t="s">
        <v>2092</v>
      </c>
      <c r="D385" s="514" t="s">
        <v>118</v>
      </c>
      <c r="E385" s="518">
        <v>6000</v>
      </c>
      <c r="F385" s="502">
        <f t="shared" si="7"/>
        <v>11.246422231927466</v>
      </c>
      <c r="G385" s="503">
        <v>533.50300000000004</v>
      </c>
      <c r="H385" s="505" t="s">
        <v>211</v>
      </c>
      <c r="I385" s="505" t="s">
        <v>4569</v>
      </c>
      <c r="J385" s="505" t="s">
        <v>96</v>
      </c>
      <c r="K385" s="505" t="s">
        <v>2102</v>
      </c>
      <c r="L385" s="505" t="s">
        <v>153</v>
      </c>
      <c r="M385" s="327"/>
      <c r="N385" s="125"/>
      <c r="O385" s="125"/>
    </row>
    <row r="386" spans="1:15" s="325" customFormat="1" ht="15">
      <c r="A386" s="515">
        <v>45975</v>
      </c>
      <c r="B386" s="505" t="s">
        <v>4520</v>
      </c>
      <c r="C386" s="505" t="s">
        <v>2092</v>
      </c>
      <c r="D386" s="514" t="s">
        <v>118</v>
      </c>
      <c r="E386" s="518">
        <v>6000</v>
      </c>
      <c r="F386" s="502">
        <f t="shared" si="7"/>
        <v>11.246422231927466</v>
      </c>
      <c r="G386" s="503">
        <v>533.50300000000004</v>
      </c>
      <c r="H386" s="505" t="s">
        <v>211</v>
      </c>
      <c r="I386" s="505" t="s">
        <v>4569</v>
      </c>
      <c r="J386" s="505" t="s">
        <v>96</v>
      </c>
      <c r="K386" s="505" t="s">
        <v>2102</v>
      </c>
      <c r="L386" s="505" t="s">
        <v>153</v>
      </c>
      <c r="M386" s="327"/>
      <c r="N386" s="327"/>
      <c r="O386" s="327"/>
    </row>
    <row r="387" spans="1:15" s="325" customFormat="1" ht="15">
      <c r="A387" s="515">
        <v>45975</v>
      </c>
      <c r="B387" s="505" t="s">
        <v>4521</v>
      </c>
      <c r="C387" s="505" t="s">
        <v>2092</v>
      </c>
      <c r="D387" s="514" t="s">
        <v>118</v>
      </c>
      <c r="E387" s="518">
        <v>6000</v>
      </c>
      <c r="F387" s="502">
        <f t="shared" si="7"/>
        <v>11.246422231927466</v>
      </c>
      <c r="G387" s="503">
        <v>533.50300000000004</v>
      </c>
      <c r="H387" s="505" t="s">
        <v>211</v>
      </c>
      <c r="I387" s="505" t="s">
        <v>4569</v>
      </c>
      <c r="J387" s="505" t="s">
        <v>96</v>
      </c>
      <c r="K387" s="505" t="s">
        <v>2102</v>
      </c>
      <c r="L387" s="505" t="s">
        <v>153</v>
      </c>
      <c r="M387" s="327"/>
      <c r="N387" s="327"/>
      <c r="O387" s="327"/>
    </row>
    <row r="388" spans="1:15" s="325" customFormat="1" ht="15">
      <c r="A388" s="515">
        <v>45975</v>
      </c>
      <c r="B388" s="505" t="s">
        <v>4522</v>
      </c>
      <c r="C388" s="505" t="s">
        <v>2092</v>
      </c>
      <c r="D388" s="514" t="s">
        <v>118</v>
      </c>
      <c r="E388" s="518">
        <v>6000</v>
      </c>
      <c r="F388" s="502">
        <f t="shared" si="7"/>
        <v>11.246422231927466</v>
      </c>
      <c r="G388" s="503">
        <v>533.50300000000004</v>
      </c>
      <c r="H388" s="505" t="s">
        <v>211</v>
      </c>
      <c r="I388" s="505" t="s">
        <v>4569</v>
      </c>
      <c r="J388" s="505" t="s">
        <v>96</v>
      </c>
      <c r="K388" s="505" t="s">
        <v>2102</v>
      </c>
      <c r="L388" s="505" t="s">
        <v>153</v>
      </c>
      <c r="M388" s="327"/>
      <c r="N388" s="327"/>
      <c r="O388" s="327"/>
    </row>
    <row r="389" spans="1:15" s="325" customFormat="1" ht="15">
      <c r="A389" s="523">
        <v>45976</v>
      </c>
      <c r="B389" s="510" t="s">
        <v>4917</v>
      </c>
      <c r="C389" s="510" t="s">
        <v>172</v>
      </c>
      <c r="D389" s="510" t="s">
        <v>119</v>
      </c>
      <c r="E389" s="510">
        <v>1000</v>
      </c>
      <c r="F389" s="502">
        <f t="shared" si="7"/>
        <v>1.8744037053212446</v>
      </c>
      <c r="G389" s="503">
        <v>533.50300000000004</v>
      </c>
      <c r="H389" s="510" t="s">
        <v>182</v>
      </c>
      <c r="I389" s="510" t="s">
        <v>4237</v>
      </c>
      <c r="J389" s="505" t="s">
        <v>96</v>
      </c>
      <c r="K389" s="505" t="s">
        <v>2102</v>
      </c>
      <c r="L389" s="505" t="s">
        <v>153</v>
      </c>
      <c r="M389" s="327"/>
      <c r="N389" s="125"/>
      <c r="O389" s="125"/>
    </row>
    <row r="390" spans="1:15" s="325" customFormat="1" ht="15">
      <c r="A390" s="523">
        <v>45976</v>
      </c>
      <c r="B390" s="510" t="s">
        <v>4917</v>
      </c>
      <c r="C390" s="510" t="s">
        <v>172</v>
      </c>
      <c r="D390" s="510" t="s">
        <v>119</v>
      </c>
      <c r="E390" s="510">
        <v>1000</v>
      </c>
      <c r="F390" s="502">
        <f t="shared" si="7"/>
        <v>1.8744037053212446</v>
      </c>
      <c r="G390" s="503">
        <v>533.50300000000004</v>
      </c>
      <c r="H390" s="510" t="s">
        <v>182</v>
      </c>
      <c r="I390" s="510" t="s">
        <v>4237</v>
      </c>
      <c r="J390" s="505" t="s">
        <v>96</v>
      </c>
      <c r="K390" s="505" t="s">
        <v>2102</v>
      </c>
      <c r="L390" s="505" t="s">
        <v>153</v>
      </c>
      <c r="M390" s="327"/>
      <c r="N390" s="125"/>
      <c r="O390" s="125"/>
    </row>
    <row r="391" spans="1:15" s="325" customFormat="1" ht="15">
      <c r="A391" s="523">
        <v>45976</v>
      </c>
      <c r="B391" s="510" t="s">
        <v>4917</v>
      </c>
      <c r="C391" s="510" t="s">
        <v>172</v>
      </c>
      <c r="D391" s="510" t="s">
        <v>119</v>
      </c>
      <c r="E391" s="510">
        <v>1000</v>
      </c>
      <c r="F391" s="502">
        <f t="shared" si="7"/>
        <v>1.8744037053212446</v>
      </c>
      <c r="G391" s="503">
        <v>533.50300000000004</v>
      </c>
      <c r="H391" s="510" t="s">
        <v>182</v>
      </c>
      <c r="I391" s="510" t="s">
        <v>4237</v>
      </c>
      <c r="J391" s="505" t="s">
        <v>96</v>
      </c>
      <c r="K391" s="505" t="s">
        <v>2102</v>
      </c>
      <c r="L391" s="505" t="s">
        <v>153</v>
      </c>
      <c r="M391" s="125"/>
      <c r="N391" s="125"/>
      <c r="O391" s="125"/>
    </row>
    <row r="392" spans="1:15" s="325" customFormat="1" ht="15">
      <c r="A392" s="523">
        <v>45976</v>
      </c>
      <c r="B392" s="510" t="s">
        <v>4917</v>
      </c>
      <c r="C392" s="510" t="s">
        <v>172</v>
      </c>
      <c r="D392" s="510" t="s">
        <v>119</v>
      </c>
      <c r="E392" s="510">
        <v>1000</v>
      </c>
      <c r="F392" s="502">
        <f t="shared" si="7"/>
        <v>1.8744037053212446</v>
      </c>
      <c r="G392" s="503">
        <v>533.50300000000004</v>
      </c>
      <c r="H392" s="510" t="s">
        <v>182</v>
      </c>
      <c r="I392" s="510" t="s">
        <v>4237</v>
      </c>
      <c r="J392" s="505" t="s">
        <v>96</v>
      </c>
      <c r="K392" s="505" t="s">
        <v>2102</v>
      </c>
      <c r="L392" s="505" t="s">
        <v>153</v>
      </c>
      <c r="M392" s="125"/>
      <c r="N392" s="125"/>
      <c r="O392" s="125"/>
    </row>
    <row r="393" spans="1:15" s="325" customFormat="1" ht="15">
      <c r="A393" s="523">
        <v>45976</v>
      </c>
      <c r="B393" s="510" t="s">
        <v>4917</v>
      </c>
      <c r="C393" s="510" t="s">
        <v>172</v>
      </c>
      <c r="D393" s="510" t="s">
        <v>119</v>
      </c>
      <c r="E393" s="510">
        <v>1000</v>
      </c>
      <c r="F393" s="502">
        <f t="shared" si="7"/>
        <v>1.8744037053212446</v>
      </c>
      <c r="G393" s="503">
        <v>533.50300000000004</v>
      </c>
      <c r="H393" s="510" t="s">
        <v>182</v>
      </c>
      <c r="I393" s="510" t="s">
        <v>4237</v>
      </c>
      <c r="J393" s="505" t="s">
        <v>96</v>
      </c>
      <c r="K393" s="505" t="s">
        <v>2102</v>
      </c>
      <c r="L393" s="505" t="s">
        <v>153</v>
      </c>
      <c r="M393" s="125"/>
      <c r="N393" s="125"/>
      <c r="O393" s="125"/>
    </row>
    <row r="394" spans="1:15" s="325" customFormat="1" ht="15">
      <c r="A394" s="515">
        <v>45976</v>
      </c>
      <c r="B394" s="505" t="s">
        <v>4876</v>
      </c>
      <c r="C394" s="505" t="s">
        <v>172</v>
      </c>
      <c r="D394" s="510" t="s">
        <v>119</v>
      </c>
      <c r="E394" s="505">
        <v>1000</v>
      </c>
      <c r="F394" s="502">
        <f t="shared" si="7"/>
        <v>1.8744037053212446</v>
      </c>
      <c r="G394" s="503">
        <v>533.50300000000004</v>
      </c>
      <c r="H394" s="505" t="s">
        <v>173</v>
      </c>
      <c r="I394" s="505" t="s">
        <v>4263</v>
      </c>
      <c r="J394" s="505" t="s">
        <v>96</v>
      </c>
      <c r="K394" s="505" t="s">
        <v>2102</v>
      </c>
      <c r="L394" s="505" t="s">
        <v>153</v>
      </c>
      <c r="M394" s="327"/>
      <c r="N394" s="327"/>
      <c r="O394" s="327"/>
    </row>
    <row r="395" spans="1:15" s="325" customFormat="1" ht="15">
      <c r="A395" s="515">
        <v>45976</v>
      </c>
      <c r="B395" s="505" t="s">
        <v>4876</v>
      </c>
      <c r="C395" s="505" t="s">
        <v>172</v>
      </c>
      <c r="D395" s="510" t="s">
        <v>119</v>
      </c>
      <c r="E395" s="505">
        <v>1000</v>
      </c>
      <c r="F395" s="502">
        <f t="shared" si="7"/>
        <v>1.8744037053212446</v>
      </c>
      <c r="G395" s="503">
        <v>533.50300000000004</v>
      </c>
      <c r="H395" s="505" t="s">
        <v>173</v>
      </c>
      <c r="I395" s="505" t="s">
        <v>4263</v>
      </c>
      <c r="J395" s="505" t="s">
        <v>96</v>
      </c>
      <c r="K395" s="505" t="s">
        <v>2102</v>
      </c>
      <c r="L395" s="505" t="s">
        <v>153</v>
      </c>
      <c r="M395" s="327"/>
      <c r="N395" s="327"/>
      <c r="O395" s="327"/>
    </row>
    <row r="396" spans="1:15" s="325" customFormat="1" ht="15">
      <c r="A396" s="515">
        <v>45976</v>
      </c>
      <c r="B396" s="505" t="s">
        <v>4876</v>
      </c>
      <c r="C396" s="505" t="s">
        <v>172</v>
      </c>
      <c r="D396" s="510" t="s">
        <v>119</v>
      </c>
      <c r="E396" s="505">
        <v>2000</v>
      </c>
      <c r="F396" s="502">
        <f t="shared" si="7"/>
        <v>3.7488074106424891</v>
      </c>
      <c r="G396" s="503">
        <v>533.50300000000004</v>
      </c>
      <c r="H396" s="505" t="s">
        <v>173</v>
      </c>
      <c r="I396" s="505" t="s">
        <v>4263</v>
      </c>
      <c r="J396" s="505" t="s">
        <v>96</v>
      </c>
      <c r="K396" s="505" t="s">
        <v>2102</v>
      </c>
      <c r="L396" s="505" t="s">
        <v>153</v>
      </c>
      <c r="M396" s="327"/>
      <c r="N396" s="327"/>
      <c r="O396" s="327"/>
    </row>
    <row r="397" spans="1:15" s="325" customFormat="1" ht="15">
      <c r="A397" s="515">
        <v>45976</v>
      </c>
      <c r="B397" s="505" t="s">
        <v>4917</v>
      </c>
      <c r="C397" s="505" t="s">
        <v>172</v>
      </c>
      <c r="D397" s="510" t="s">
        <v>119</v>
      </c>
      <c r="E397" s="505">
        <v>2000</v>
      </c>
      <c r="F397" s="502">
        <f t="shared" si="7"/>
        <v>3.7488074106424891</v>
      </c>
      <c r="G397" s="503">
        <v>533.50300000000004</v>
      </c>
      <c r="H397" s="505" t="s">
        <v>173</v>
      </c>
      <c r="I397" s="505" t="s">
        <v>4263</v>
      </c>
      <c r="J397" s="505" t="s">
        <v>96</v>
      </c>
      <c r="K397" s="505" t="s">
        <v>2102</v>
      </c>
      <c r="L397" s="505" t="s">
        <v>153</v>
      </c>
      <c r="M397" s="327"/>
      <c r="N397" s="327"/>
      <c r="O397" s="327"/>
    </row>
    <row r="398" spans="1:15" s="325" customFormat="1" ht="15">
      <c r="A398" s="515">
        <v>45976</v>
      </c>
      <c r="B398" s="505" t="s">
        <v>4258</v>
      </c>
      <c r="C398" s="505" t="s">
        <v>366</v>
      </c>
      <c r="D398" s="510" t="s">
        <v>119</v>
      </c>
      <c r="E398" s="505">
        <v>2000</v>
      </c>
      <c r="F398" s="502">
        <f t="shared" si="7"/>
        <v>3.6802726345967711</v>
      </c>
      <c r="G398" s="503">
        <v>543.43799999999999</v>
      </c>
      <c r="H398" s="505" t="s">
        <v>173</v>
      </c>
      <c r="I398" s="505" t="s">
        <v>4264</v>
      </c>
      <c r="J398" s="505" t="s">
        <v>96</v>
      </c>
      <c r="K398" s="505" t="s">
        <v>4104</v>
      </c>
      <c r="L398" s="505" t="s">
        <v>153</v>
      </c>
      <c r="M398" s="327"/>
      <c r="N398" s="327"/>
      <c r="O398" s="327"/>
    </row>
    <row r="399" spans="1:15" s="325" customFormat="1" ht="15">
      <c r="A399" s="515">
        <v>45976</v>
      </c>
      <c r="B399" s="505" t="s">
        <v>4751</v>
      </c>
      <c r="C399" s="505" t="s">
        <v>4309</v>
      </c>
      <c r="D399" s="510" t="s">
        <v>119</v>
      </c>
      <c r="E399" s="530">
        <v>15000</v>
      </c>
      <c r="F399" s="502">
        <f t="shared" si="7"/>
        <v>28.116055579818667</v>
      </c>
      <c r="G399" s="503">
        <v>533.50300000000004</v>
      </c>
      <c r="H399" s="505" t="s">
        <v>321</v>
      </c>
      <c r="I399" s="505" t="s">
        <v>4319</v>
      </c>
      <c r="J399" s="505" t="s">
        <v>96</v>
      </c>
      <c r="K399" s="505" t="s">
        <v>2102</v>
      </c>
      <c r="L399" s="505" t="s">
        <v>153</v>
      </c>
      <c r="M399" s="125"/>
      <c r="N399" s="125"/>
      <c r="O399" s="125"/>
    </row>
    <row r="400" spans="1:15" s="325" customFormat="1" ht="15">
      <c r="A400" s="515">
        <v>45976</v>
      </c>
      <c r="B400" s="505" t="s">
        <v>4752</v>
      </c>
      <c r="C400" s="505" t="s">
        <v>172</v>
      </c>
      <c r="D400" s="510" t="s">
        <v>119</v>
      </c>
      <c r="E400" s="530">
        <v>5000</v>
      </c>
      <c r="F400" s="502">
        <f t="shared" si="7"/>
        <v>9.3720185266062224</v>
      </c>
      <c r="G400" s="503">
        <v>533.50300000000004</v>
      </c>
      <c r="H400" s="505" t="s">
        <v>321</v>
      </c>
      <c r="I400" s="505" t="s">
        <v>4320</v>
      </c>
      <c r="J400" s="505" t="s">
        <v>96</v>
      </c>
      <c r="K400" s="505" t="s">
        <v>2102</v>
      </c>
      <c r="L400" s="505" t="s">
        <v>153</v>
      </c>
      <c r="M400" s="327"/>
      <c r="N400" s="125"/>
      <c r="O400" s="125"/>
    </row>
    <row r="401" spans="1:15" s="325" customFormat="1" ht="15">
      <c r="A401" s="515">
        <v>45976</v>
      </c>
      <c r="B401" s="505" t="s">
        <v>4967</v>
      </c>
      <c r="C401" s="505" t="s">
        <v>172</v>
      </c>
      <c r="D401" s="510" t="s">
        <v>119</v>
      </c>
      <c r="E401" s="530">
        <v>500</v>
      </c>
      <c r="F401" s="502">
        <f t="shared" si="7"/>
        <v>0.93720185266062228</v>
      </c>
      <c r="G401" s="503">
        <v>533.50300000000004</v>
      </c>
      <c r="H401" s="505" t="s">
        <v>321</v>
      </c>
      <c r="I401" s="505" t="s">
        <v>4314</v>
      </c>
      <c r="J401" s="505" t="s">
        <v>96</v>
      </c>
      <c r="K401" s="505" t="s">
        <v>2102</v>
      </c>
      <c r="L401" s="505" t="s">
        <v>153</v>
      </c>
      <c r="M401" s="125"/>
      <c r="N401" s="125"/>
      <c r="O401" s="125"/>
    </row>
    <row r="402" spans="1:15" s="325" customFormat="1" ht="15">
      <c r="A402" s="515">
        <v>45976</v>
      </c>
      <c r="B402" s="505" t="s">
        <v>4888</v>
      </c>
      <c r="C402" s="505" t="s">
        <v>172</v>
      </c>
      <c r="D402" s="510" t="s">
        <v>119</v>
      </c>
      <c r="E402" s="530">
        <v>500</v>
      </c>
      <c r="F402" s="502">
        <f t="shared" si="7"/>
        <v>0.93720185266062228</v>
      </c>
      <c r="G402" s="503">
        <v>533.50300000000004</v>
      </c>
      <c r="H402" s="505" t="s">
        <v>321</v>
      </c>
      <c r="I402" s="505" t="s">
        <v>4314</v>
      </c>
      <c r="J402" s="505" t="s">
        <v>96</v>
      </c>
      <c r="K402" s="505" t="s">
        <v>2102</v>
      </c>
      <c r="L402" s="505" t="s">
        <v>153</v>
      </c>
      <c r="M402" s="125"/>
      <c r="N402" s="125"/>
      <c r="O402" s="125"/>
    </row>
    <row r="403" spans="1:15" s="325" customFormat="1" ht="15">
      <c r="A403" s="515">
        <v>45976</v>
      </c>
      <c r="B403" s="505" t="s">
        <v>4310</v>
      </c>
      <c r="C403" s="505" t="s">
        <v>366</v>
      </c>
      <c r="D403" s="510" t="s">
        <v>119</v>
      </c>
      <c r="E403" s="530">
        <v>2000</v>
      </c>
      <c r="F403" s="502">
        <f t="shared" si="7"/>
        <v>3.6802726345967711</v>
      </c>
      <c r="G403" s="503">
        <v>543.43799999999999</v>
      </c>
      <c r="H403" s="505" t="s">
        <v>321</v>
      </c>
      <c r="I403" s="505" t="s">
        <v>4321</v>
      </c>
      <c r="J403" s="505" t="s">
        <v>96</v>
      </c>
      <c r="K403" s="505" t="s">
        <v>4104</v>
      </c>
      <c r="L403" s="505" t="s">
        <v>153</v>
      </c>
      <c r="M403" s="125"/>
      <c r="N403" s="125"/>
      <c r="O403" s="125"/>
    </row>
    <row r="404" spans="1:15" s="325" customFormat="1" ht="15">
      <c r="A404" s="515">
        <v>45976</v>
      </c>
      <c r="B404" s="505" t="s">
        <v>4967</v>
      </c>
      <c r="C404" s="505" t="s">
        <v>172</v>
      </c>
      <c r="D404" s="510" t="s">
        <v>119</v>
      </c>
      <c r="E404" s="530">
        <v>500</v>
      </c>
      <c r="F404" s="502">
        <f t="shared" si="7"/>
        <v>0.93720185266062228</v>
      </c>
      <c r="G404" s="503">
        <v>533.50300000000004</v>
      </c>
      <c r="H404" s="505" t="s">
        <v>321</v>
      </c>
      <c r="I404" s="505" t="s">
        <v>4314</v>
      </c>
      <c r="J404" s="505" t="s">
        <v>96</v>
      </c>
      <c r="K404" s="505" t="s">
        <v>2102</v>
      </c>
      <c r="L404" s="505" t="s">
        <v>153</v>
      </c>
      <c r="M404" s="125"/>
      <c r="N404" s="125"/>
      <c r="O404" s="125"/>
    </row>
    <row r="405" spans="1:15" s="325" customFormat="1" ht="15">
      <c r="A405" s="523">
        <v>45977</v>
      </c>
      <c r="B405" s="510" t="s">
        <v>4912</v>
      </c>
      <c r="C405" s="510" t="s">
        <v>172</v>
      </c>
      <c r="D405" s="510" t="s">
        <v>119</v>
      </c>
      <c r="E405" s="510">
        <v>1000</v>
      </c>
      <c r="F405" s="502">
        <f t="shared" si="7"/>
        <v>1.8744037053212446</v>
      </c>
      <c r="G405" s="503">
        <v>533.50300000000004</v>
      </c>
      <c r="H405" s="510" t="s">
        <v>182</v>
      </c>
      <c r="I405" s="510" t="s">
        <v>4237</v>
      </c>
      <c r="J405" s="505" t="s">
        <v>96</v>
      </c>
      <c r="K405" s="505" t="s">
        <v>2102</v>
      </c>
      <c r="L405" s="505" t="s">
        <v>153</v>
      </c>
      <c r="M405" s="125"/>
      <c r="N405" s="125"/>
      <c r="O405" s="125"/>
    </row>
    <row r="406" spans="1:15" s="325" customFormat="1" ht="15">
      <c r="A406" s="523">
        <v>45977</v>
      </c>
      <c r="B406" s="510" t="s">
        <v>4917</v>
      </c>
      <c r="C406" s="510" t="s">
        <v>172</v>
      </c>
      <c r="D406" s="510" t="s">
        <v>119</v>
      </c>
      <c r="E406" s="510">
        <v>1500</v>
      </c>
      <c r="F406" s="502">
        <f t="shared" si="7"/>
        <v>2.8116055579818666</v>
      </c>
      <c r="G406" s="503">
        <v>533.50300000000004</v>
      </c>
      <c r="H406" s="510" t="s">
        <v>182</v>
      </c>
      <c r="I406" s="510" t="s">
        <v>4237</v>
      </c>
      <c r="J406" s="505" t="s">
        <v>96</v>
      </c>
      <c r="K406" s="505" t="s">
        <v>2102</v>
      </c>
      <c r="L406" s="505" t="s">
        <v>153</v>
      </c>
      <c r="M406" s="125"/>
      <c r="N406" s="125"/>
      <c r="O406" s="125"/>
    </row>
    <row r="407" spans="1:15" s="325" customFormat="1" ht="15">
      <c r="A407" s="523">
        <v>45977</v>
      </c>
      <c r="B407" s="510" t="s">
        <v>4917</v>
      </c>
      <c r="C407" s="510" t="s">
        <v>172</v>
      </c>
      <c r="D407" s="510" t="s">
        <v>119</v>
      </c>
      <c r="E407" s="510">
        <v>1000</v>
      </c>
      <c r="F407" s="502">
        <f t="shared" si="7"/>
        <v>1.8744037053212446</v>
      </c>
      <c r="G407" s="503">
        <v>533.50300000000004</v>
      </c>
      <c r="H407" s="510" t="s">
        <v>182</v>
      </c>
      <c r="I407" s="510" t="s">
        <v>4237</v>
      </c>
      <c r="J407" s="505" t="s">
        <v>96</v>
      </c>
      <c r="K407" s="505" t="s">
        <v>2102</v>
      </c>
      <c r="L407" s="505" t="s">
        <v>153</v>
      </c>
      <c r="M407" s="125"/>
      <c r="N407" s="125"/>
      <c r="O407" s="125"/>
    </row>
    <row r="408" spans="1:15" s="325" customFormat="1" ht="15">
      <c r="A408" s="523">
        <v>45977</v>
      </c>
      <c r="B408" s="510" t="s">
        <v>4917</v>
      </c>
      <c r="C408" s="510" t="s">
        <v>172</v>
      </c>
      <c r="D408" s="510" t="s">
        <v>119</v>
      </c>
      <c r="E408" s="510">
        <v>1000</v>
      </c>
      <c r="F408" s="502">
        <f t="shared" si="7"/>
        <v>1.8744037053212446</v>
      </c>
      <c r="G408" s="503">
        <v>533.50300000000004</v>
      </c>
      <c r="H408" s="510" t="s">
        <v>182</v>
      </c>
      <c r="I408" s="510" t="s">
        <v>4237</v>
      </c>
      <c r="J408" s="505" t="s">
        <v>96</v>
      </c>
      <c r="K408" s="505" t="s">
        <v>2102</v>
      </c>
      <c r="L408" s="505" t="s">
        <v>153</v>
      </c>
      <c r="M408" s="125"/>
      <c r="N408" s="125"/>
      <c r="O408" s="125"/>
    </row>
    <row r="409" spans="1:15" s="325" customFormat="1" ht="15">
      <c r="A409" s="523">
        <v>45977</v>
      </c>
      <c r="B409" s="510" t="s">
        <v>4917</v>
      </c>
      <c r="C409" s="510" t="s">
        <v>172</v>
      </c>
      <c r="D409" s="510" t="s">
        <v>119</v>
      </c>
      <c r="E409" s="510">
        <v>1000</v>
      </c>
      <c r="F409" s="502">
        <f t="shared" si="7"/>
        <v>1.8744037053212446</v>
      </c>
      <c r="G409" s="503">
        <v>533.50300000000004</v>
      </c>
      <c r="H409" s="510" t="s">
        <v>182</v>
      </c>
      <c r="I409" s="510" t="s">
        <v>4237</v>
      </c>
      <c r="J409" s="505" t="s">
        <v>96</v>
      </c>
      <c r="K409" s="505" t="s">
        <v>2102</v>
      </c>
      <c r="L409" s="505" t="s">
        <v>153</v>
      </c>
      <c r="M409" s="125"/>
      <c r="N409" s="125"/>
      <c r="O409" s="125"/>
    </row>
    <row r="410" spans="1:15" s="325" customFormat="1" ht="15">
      <c r="A410" s="523">
        <v>45977</v>
      </c>
      <c r="B410" s="510" t="s">
        <v>4917</v>
      </c>
      <c r="C410" s="510" t="s">
        <v>172</v>
      </c>
      <c r="D410" s="510" t="s">
        <v>119</v>
      </c>
      <c r="E410" s="510">
        <v>1000</v>
      </c>
      <c r="F410" s="502">
        <f t="shared" si="7"/>
        <v>1.8744037053212446</v>
      </c>
      <c r="G410" s="503">
        <v>533.50300000000004</v>
      </c>
      <c r="H410" s="510" t="s">
        <v>182</v>
      </c>
      <c r="I410" s="510" t="s">
        <v>4237</v>
      </c>
      <c r="J410" s="505" t="s">
        <v>96</v>
      </c>
      <c r="K410" s="505" t="s">
        <v>2102</v>
      </c>
      <c r="L410" s="505" t="s">
        <v>153</v>
      </c>
      <c r="M410" s="125"/>
      <c r="N410" s="125"/>
      <c r="O410" s="125"/>
    </row>
    <row r="411" spans="1:15" s="325" customFormat="1" ht="15">
      <c r="A411" s="515">
        <v>45977</v>
      </c>
      <c r="B411" s="505" t="s">
        <v>4753</v>
      </c>
      <c r="C411" s="505" t="s">
        <v>2394</v>
      </c>
      <c r="D411" s="510" t="s">
        <v>119</v>
      </c>
      <c r="E411" s="505">
        <v>30000</v>
      </c>
      <c r="F411" s="502">
        <f t="shared" si="7"/>
        <v>56.232111159637334</v>
      </c>
      <c r="G411" s="503">
        <v>533.50300000000004</v>
      </c>
      <c r="H411" s="505" t="s">
        <v>173</v>
      </c>
      <c r="I411" s="505" t="s">
        <v>4270</v>
      </c>
      <c r="J411" s="505" t="s">
        <v>96</v>
      </c>
      <c r="K411" s="505" t="s">
        <v>2102</v>
      </c>
      <c r="L411" s="505" t="s">
        <v>153</v>
      </c>
      <c r="M411" s="327"/>
      <c r="N411" s="327"/>
      <c r="O411" s="327"/>
    </row>
    <row r="412" spans="1:15" s="325" customFormat="1" ht="15">
      <c r="A412" s="515">
        <v>45977</v>
      </c>
      <c r="B412" s="505" t="s">
        <v>4876</v>
      </c>
      <c r="C412" s="505" t="s">
        <v>172</v>
      </c>
      <c r="D412" s="510" t="s">
        <v>119</v>
      </c>
      <c r="E412" s="505">
        <v>1500</v>
      </c>
      <c r="F412" s="502">
        <f t="shared" si="7"/>
        <v>2.8116055579818666</v>
      </c>
      <c r="G412" s="503">
        <v>533.50300000000004</v>
      </c>
      <c r="H412" s="505" t="s">
        <v>173</v>
      </c>
      <c r="I412" s="505" t="s">
        <v>4263</v>
      </c>
      <c r="J412" s="505" t="s">
        <v>96</v>
      </c>
      <c r="K412" s="505" t="s">
        <v>2102</v>
      </c>
      <c r="L412" s="505" t="s">
        <v>153</v>
      </c>
      <c r="M412" s="327"/>
      <c r="N412" s="327"/>
      <c r="O412" s="327"/>
    </row>
    <row r="413" spans="1:15" s="325" customFormat="1" ht="15">
      <c r="A413" s="515">
        <v>45977</v>
      </c>
      <c r="B413" s="505" t="s">
        <v>4744</v>
      </c>
      <c r="C413" s="505" t="s">
        <v>172</v>
      </c>
      <c r="D413" s="510" t="s">
        <v>119</v>
      </c>
      <c r="E413" s="505">
        <v>7000</v>
      </c>
      <c r="F413" s="502">
        <f t="shared" si="7"/>
        <v>13.120825937248712</v>
      </c>
      <c r="G413" s="503">
        <v>533.50300000000004</v>
      </c>
      <c r="H413" s="505" t="s">
        <v>173</v>
      </c>
      <c r="I413" s="505" t="s">
        <v>4271</v>
      </c>
      <c r="J413" s="505" t="s">
        <v>96</v>
      </c>
      <c r="K413" s="505" t="s">
        <v>2102</v>
      </c>
      <c r="L413" s="505" t="s">
        <v>153</v>
      </c>
      <c r="M413" s="327"/>
      <c r="N413" s="327"/>
      <c r="O413" s="327"/>
    </row>
    <row r="414" spans="1:15" s="325" customFormat="1" ht="15">
      <c r="A414" s="515">
        <v>45977</v>
      </c>
      <c r="B414" s="505" t="s">
        <v>4896</v>
      </c>
      <c r="C414" s="505" t="s">
        <v>172</v>
      </c>
      <c r="D414" s="510" t="s">
        <v>119</v>
      </c>
      <c r="E414" s="505">
        <v>500</v>
      </c>
      <c r="F414" s="502">
        <f t="shared" si="7"/>
        <v>0.93720185266062228</v>
      </c>
      <c r="G414" s="503">
        <v>533.50300000000004</v>
      </c>
      <c r="H414" s="505" t="s">
        <v>173</v>
      </c>
      <c r="I414" s="505" t="s">
        <v>4263</v>
      </c>
      <c r="J414" s="505" t="s">
        <v>96</v>
      </c>
      <c r="K414" s="505" t="s">
        <v>2102</v>
      </c>
      <c r="L414" s="505" t="s">
        <v>153</v>
      </c>
      <c r="M414" s="327"/>
      <c r="N414" s="327"/>
      <c r="O414" s="327"/>
    </row>
    <row r="415" spans="1:15" s="325" customFormat="1" ht="15">
      <c r="A415" s="515">
        <v>45977</v>
      </c>
      <c r="B415" s="505" t="s">
        <v>4888</v>
      </c>
      <c r="C415" s="505" t="s">
        <v>172</v>
      </c>
      <c r="D415" s="510" t="s">
        <v>119</v>
      </c>
      <c r="E415" s="505">
        <v>500</v>
      </c>
      <c r="F415" s="502">
        <f t="shared" si="7"/>
        <v>0.93720185266062228</v>
      </c>
      <c r="G415" s="503">
        <v>533.50300000000004</v>
      </c>
      <c r="H415" s="505" t="s">
        <v>173</v>
      </c>
      <c r="I415" s="505" t="s">
        <v>4263</v>
      </c>
      <c r="J415" s="505" t="s">
        <v>96</v>
      </c>
      <c r="K415" s="505" t="s">
        <v>2102</v>
      </c>
      <c r="L415" s="505" t="s">
        <v>153</v>
      </c>
      <c r="M415" s="327"/>
      <c r="N415" s="327"/>
      <c r="O415" s="327"/>
    </row>
    <row r="416" spans="1:15" s="325" customFormat="1" ht="15">
      <c r="A416" s="515">
        <v>45977</v>
      </c>
      <c r="B416" s="505" t="s">
        <v>4888</v>
      </c>
      <c r="C416" s="505" t="s">
        <v>172</v>
      </c>
      <c r="D416" s="510" t="s">
        <v>119</v>
      </c>
      <c r="E416" s="505">
        <v>500</v>
      </c>
      <c r="F416" s="502">
        <f t="shared" si="7"/>
        <v>0.93720185266062228</v>
      </c>
      <c r="G416" s="503">
        <v>533.50300000000004</v>
      </c>
      <c r="H416" s="505" t="s">
        <v>173</v>
      </c>
      <c r="I416" s="505" t="s">
        <v>4263</v>
      </c>
      <c r="J416" s="505" t="s">
        <v>96</v>
      </c>
      <c r="K416" s="505" t="s">
        <v>2102</v>
      </c>
      <c r="L416" s="505" t="s">
        <v>153</v>
      </c>
      <c r="M416" s="327"/>
      <c r="N416" s="327"/>
      <c r="O416" s="327"/>
    </row>
    <row r="417" spans="1:15" s="325" customFormat="1" ht="15">
      <c r="A417" s="515">
        <v>45977</v>
      </c>
      <c r="B417" s="505" t="s">
        <v>4888</v>
      </c>
      <c r="C417" s="505" t="s">
        <v>172</v>
      </c>
      <c r="D417" s="510" t="s">
        <v>119</v>
      </c>
      <c r="E417" s="505">
        <v>500</v>
      </c>
      <c r="F417" s="502">
        <f t="shared" si="7"/>
        <v>0.93720185266062228</v>
      </c>
      <c r="G417" s="503">
        <v>533.50300000000004</v>
      </c>
      <c r="H417" s="505" t="s">
        <v>173</v>
      </c>
      <c r="I417" s="505" t="s">
        <v>4263</v>
      </c>
      <c r="J417" s="505" t="s">
        <v>96</v>
      </c>
      <c r="K417" s="505" t="s">
        <v>2102</v>
      </c>
      <c r="L417" s="505" t="s">
        <v>153</v>
      </c>
      <c r="M417" s="327"/>
      <c r="N417" s="327"/>
      <c r="O417" s="327"/>
    </row>
    <row r="418" spans="1:15" s="325" customFormat="1" ht="15">
      <c r="A418" s="515">
        <v>45977</v>
      </c>
      <c r="B418" s="505" t="s">
        <v>4888</v>
      </c>
      <c r="C418" s="505" t="s">
        <v>172</v>
      </c>
      <c r="D418" s="510" t="s">
        <v>119</v>
      </c>
      <c r="E418" s="505">
        <v>500</v>
      </c>
      <c r="F418" s="502">
        <f t="shared" si="7"/>
        <v>0.93720185266062228</v>
      </c>
      <c r="G418" s="503">
        <v>533.50300000000004</v>
      </c>
      <c r="H418" s="505" t="s">
        <v>173</v>
      </c>
      <c r="I418" s="505" t="s">
        <v>4263</v>
      </c>
      <c r="J418" s="505" t="s">
        <v>96</v>
      </c>
      <c r="K418" s="505" t="s">
        <v>2102</v>
      </c>
      <c r="L418" s="505" t="s">
        <v>153</v>
      </c>
      <c r="M418" s="327"/>
      <c r="N418" s="327"/>
      <c r="O418" s="327"/>
    </row>
    <row r="419" spans="1:15" s="325" customFormat="1" ht="15">
      <c r="A419" s="515">
        <v>45977</v>
      </c>
      <c r="B419" s="505" t="s">
        <v>4259</v>
      </c>
      <c r="C419" s="505" t="s">
        <v>366</v>
      </c>
      <c r="D419" s="510" t="s">
        <v>119</v>
      </c>
      <c r="E419" s="505">
        <v>5000</v>
      </c>
      <c r="F419" s="502">
        <f t="shared" si="7"/>
        <v>9.2006815864919282</v>
      </c>
      <c r="G419" s="503">
        <v>543.43799999999999</v>
      </c>
      <c r="H419" s="505" t="s">
        <v>173</v>
      </c>
      <c r="I419" s="505" t="s">
        <v>4264</v>
      </c>
      <c r="J419" s="505" t="s">
        <v>96</v>
      </c>
      <c r="K419" s="505" t="s">
        <v>4104</v>
      </c>
      <c r="L419" s="505" t="s">
        <v>153</v>
      </c>
      <c r="M419" s="327"/>
      <c r="N419" s="327"/>
      <c r="O419" s="327"/>
    </row>
    <row r="420" spans="1:15" s="325" customFormat="1" ht="15">
      <c r="A420" s="515">
        <v>45977</v>
      </c>
      <c r="B420" s="505" t="s">
        <v>4876</v>
      </c>
      <c r="C420" s="505" t="s">
        <v>172</v>
      </c>
      <c r="D420" s="510" t="s">
        <v>119</v>
      </c>
      <c r="E420" s="505">
        <v>1000</v>
      </c>
      <c r="F420" s="502">
        <f t="shared" si="7"/>
        <v>1.8744037053212446</v>
      </c>
      <c r="G420" s="503">
        <v>533.50300000000004</v>
      </c>
      <c r="H420" s="505" t="s">
        <v>315</v>
      </c>
      <c r="I420" s="505" t="s">
        <v>4288</v>
      </c>
      <c r="J420" s="505" t="s">
        <v>96</v>
      </c>
      <c r="K420" s="505" t="s">
        <v>2102</v>
      </c>
      <c r="L420" s="505" t="s">
        <v>153</v>
      </c>
      <c r="M420" s="327"/>
      <c r="N420" s="327"/>
      <c r="O420" s="327"/>
    </row>
    <row r="421" spans="1:15" s="325" customFormat="1" ht="15">
      <c r="A421" s="515">
        <v>45977</v>
      </c>
      <c r="B421" s="505" t="s">
        <v>4282</v>
      </c>
      <c r="C421" s="505" t="s">
        <v>363</v>
      </c>
      <c r="D421" s="510" t="s">
        <v>119</v>
      </c>
      <c r="E421" s="514">
        <v>10000</v>
      </c>
      <c r="F421" s="502">
        <f t="shared" si="7"/>
        <v>18.401363172983856</v>
      </c>
      <c r="G421" s="503">
        <v>543.43799999999999</v>
      </c>
      <c r="H421" s="505" t="s">
        <v>315</v>
      </c>
      <c r="I421" s="505" t="s">
        <v>4291</v>
      </c>
      <c r="J421" s="505" t="s">
        <v>96</v>
      </c>
      <c r="K421" s="505" t="s">
        <v>4104</v>
      </c>
      <c r="L421" s="505" t="s">
        <v>153</v>
      </c>
      <c r="M421" s="327"/>
      <c r="N421" s="327"/>
      <c r="O421" s="327"/>
    </row>
    <row r="422" spans="1:15" s="325" customFormat="1" ht="15">
      <c r="A422" s="515">
        <v>45977</v>
      </c>
      <c r="B422" s="505" t="s">
        <v>4876</v>
      </c>
      <c r="C422" s="505" t="s">
        <v>172</v>
      </c>
      <c r="D422" s="510" t="s">
        <v>119</v>
      </c>
      <c r="E422" s="505">
        <v>2000</v>
      </c>
      <c r="F422" s="502">
        <f t="shared" si="7"/>
        <v>3.7488074106424891</v>
      </c>
      <c r="G422" s="503">
        <v>533.50300000000004</v>
      </c>
      <c r="H422" s="505" t="s">
        <v>315</v>
      </c>
      <c r="I422" s="505" t="s">
        <v>4288</v>
      </c>
      <c r="J422" s="505" t="s">
        <v>96</v>
      </c>
      <c r="K422" s="505" t="s">
        <v>2102</v>
      </c>
      <c r="L422" s="505" t="s">
        <v>153</v>
      </c>
      <c r="M422" s="327"/>
      <c r="N422" s="327"/>
      <c r="O422" s="327"/>
    </row>
    <row r="423" spans="1:15" s="325" customFormat="1" ht="15">
      <c r="A423" s="515">
        <v>45977</v>
      </c>
      <c r="B423" s="505" t="s">
        <v>4917</v>
      </c>
      <c r="C423" s="505" t="s">
        <v>172</v>
      </c>
      <c r="D423" s="510" t="s">
        <v>119</v>
      </c>
      <c r="E423" s="505">
        <v>2000</v>
      </c>
      <c r="F423" s="502">
        <f t="shared" si="7"/>
        <v>3.7488074106424891</v>
      </c>
      <c r="G423" s="503">
        <v>533.50300000000004</v>
      </c>
      <c r="H423" s="505" t="s">
        <v>315</v>
      </c>
      <c r="I423" s="505" t="s">
        <v>4288</v>
      </c>
      <c r="J423" s="505" t="s">
        <v>96</v>
      </c>
      <c r="K423" s="505" t="s">
        <v>2102</v>
      </c>
      <c r="L423" s="505" t="s">
        <v>153</v>
      </c>
      <c r="M423" s="327"/>
      <c r="N423" s="327"/>
      <c r="O423" s="327"/>
    </row>
    <row r="424" spans="1:15" s="325" customFormat="1" ht="15">
      <c r="A424" s="515">
        <v>45977</v>
      </c>
      <c r="B424" s="505" t="s">
        <v>4876</v>
      </c>
      <c r="C424" s="505" t="s">
        <v>172</v>
      </c>
      <c r="D424" s="510" t="s">
        <v>119</v>
      </c>
      <c r="E424" s="505">
        <v>1000</v>
      </c>
      <c r="F424" s="502">
        <f t="shared" si="7"/>
        <v>1.8744037053212446</v>
      </c>
      <c r="G424" s="503">
        <v>533.50300000000004</v>
      </c>
      <c r="H424" s="505" t="s">
        <v>315</v>
      </c>
      <c r="I424" s="505" t="s">
        <v>4288</v>
      </c>
      <c r="J424" s="505" t="s">
        <v>96</v>
      </c>
      <c r="K424" s="505" t="s">
        <v>2102</v>
      </c>
      <c r="L424" s="505" t="s">
        <v>153</v>
      </c>
      <c r="M424" s="327"/>
      <c r="N424" s="327"/>
      <c r="O424" s="327"/>
    </row>
    <row r="425" spans="1:15" s="325" customFormat="1" ht="15">
      <c r="A425" s="515">
        <v>45977</v>
      </c>
      <c r="B425" s="505" t="s">
        <v>4888</v>
      </c>
      <c r="C425" s="505" t="s">
        <v>172</v>
      </c>
      <c r="D425" s="510" t="s">
        <v>119</v>
      </c>
      <c r="E425" s="530">
        <v>500</v>
      </c>
      <c r="F425" s="502">
        <f t="shared" si="7"/>
        <v>0.93720185266062228</v>
      </c>
      <c r="G425" s="503">
        <v>533.50300000000004</v>
      </c>
      <c r="H425" s="505" t="s">
        <v>321</v>
      </c>
      <c r="I425" s="505" t="s">
        <v>4314</v>
      </c>
      <c r="J425" s="505" t="s">
        <v>96</v>
      </c>
      <c r="K425" s="505" t="s">
        <v>2102</v>
      </c>
      <c r="L425" s="505" t="s">
        <v>153</v>
      </c>
      <c r="M425" s="125"/>
      <c r="N425" s="125"/>
      <c r="O425" s="125"/>
    </row>
    <row r="426" spans="1:15" s="325" customFormat="1" ht="15">
      <c r="A426" s="515">
        <v>45977</v>
      </c>
      <c r="B426" s="505" t="s">
        <v>4888</v>
      </c>
      <c r="C426" s="505" t="s">
        <v>172</v>
      </c>
      <c r="D426" s="510" t="s">
        <v>119</v>
      </c>
      <c r="E426" s="530">
        <v>500</v>
      </c>
      <c r="F426" s="502">
        <f t="shared" si="7"/>
        <v>0.93720185266062228</v>
      </c>
      <c r="G426" s="503">
        <v>533.50300000000004</v>
      </c>
      <c r="H426" s="505" t="s">
        <v>321</v>
      </c>
      <c r="I426" s="505" t="s">
        <v>4314</v>
      </c>
      <c r="J426" s="505" t="s">
        <v>96</v>
      </c>
      <c r="K426" s="505" t="s">
        <v>2102</v>
      </c>
      <c r="L426" s="505" t="s">
        <v>153</v>
      </c>
      <c r="M426" s="327"/>
      <c r="N426" s="125"/>
      <c r="O426" s="125"/>
    </row>
    <row r="427" spans="1:15" s="325" customFormat="1" ht="15">
      <c r="A427" s="515">
        <v>45977</v>
      </c>
      <c r="B427" s="505" t="s">
        <v>4967</v>
      </c>
      <c r="C427" s="505" t="s">
        <v>172</v>
      </c>
      <c r="D427" s="510" t="s">
        <v>119</v>
      </c>
      <c r="E427" s="530">
        <v>500</v>
      </c>
      <c r="F427" s="502">
        <f t="shared" si="7"/>
        <v>0.93720185266062228</v>
      </c>
      <c r="G427" s="503">
        <v>533.50300000000004</v>
      </c>
      <c r="H427" s="505" t="s">
        <v>321</v>
      </c>
      <c r="I427" s="505" t="s">
        <v>4314</v>
      </c>
      <c r="J427" s="505" t="s">
        <v>96</v>
      </c>
      <c r="K427" s="505" t="s">
        <v>2102</v>
      </c>
      <c r="L427" s="505" t="s">
        <v>153</v>
      </c>
      <c r="M427" s="327"/>
      <c r="N427" s="125"/>
      <c r="O427" s="125"/>
    </row>
    <row r="428" spans="1:15" s="325" customFormat="1" ht="15">
      <c r="A428" s="515">
        <v>45977</v>
      </c>
      <c r="B428" s="505" t="s">
        <v>4888</v>
      </c>
      <c r="C428" s="505" t="s">
        <v>172</v>
      </c>
      <c r="D428" s="510" t="s">
        <v>119</v>
      </c>
      <c r="E428" s="530">
        <v>500</v>
      </c>
      <c r="F428" s="502">
        <f t="shared" si="7"/>
        <v>0.93720185266062228</v>
      </c>
      <c r="G428" s="503">
        <v>533.50300000000004</v>
      </c>
      <c r="H428" s="505" t="s">
        <v>321</v>
      </c>
      <c r="I428" s="505" t="s">
        <v>4314</v>
      </c>
      <c r="J428" s="505" t="s">
        <v>96</v>
      </c>
      <c r="K428" s="505" t="s">
        <v>2102</v>
      </c>
      <c r="L428" s="505" t="s">
        <v>153</v>
      </c>
      <c r="M428" s="327"/>
      <c r="N428" s="327"/>
      <c r="O428" s="327"/>
    </row>
    <row r="429" spans="1:15" s="325" customFormat="1" ht="15">
      <c r="A429" s="515">
        <v>45977</v>
      </c>
      <c r="B429" s="505" t="s">
        <v>4896</v>
      </c>
      <c r="C429" s="505" t="s">
        <v>172</v>
      </c>
      <c r="D429" s="510" t="s">
        <v>119</v>
      </c>
      <c r="E429" s="530">
        <v>500</v>
      </c>
      <c r="F429" s="502">
        <f t="shared" ref="F429:F492" si="8">E429/G429</f>
        <v>0.93720185266062228</v>
      </c>
      <c r="G429" s="503">
        <v>533.50300000000004</v>
      </c>
      <c r="H429" s="505" t="s">
        <v>321</v>
      </c>
      <c r="I429" s="505" t="s">
        <v>4314</v>
      </c>
      <c r="J429" s="505" t="s">
        <v>96</v>
      </c>
      <c r="K429" s="505" t="s">
        <v>2102</v>
      </c>
      <c r="L429" s="505" t="s">
        <v>153</v>
      </c>
      <c r="M429" s="327"/>
      <c r="N429" s="327"/>
      <c r="O429" s="327"/>
    </row>
    <row r="430" spans="1:15" s="325" customFormat="1" ht="15">
      <c r="A430" s="515">
        <v>45977</v>
      </c>
      <c r="B430" s="505" t="s">
        <v>4310</v>
      </c>
      <c r="C430" s="505" t="s">
        <v>366</v>
      </c>
      <c r="D430" s="510" t="s">
        <v>119</v>
      </c>
      <c r="E430" s="530">
        <v>2000</v>
      </c>
      <c r="F430" s="502">
        <f t="shared" si="8"/>
        <v>3.6802726345967711</v>
      </c>
      <c r="G430" s="503">
        <v>543.43799999999999</v>
      </c>
      <c r="H430" s="505" t="s">
        <v>321</v>
      </c>
      <c r="I430" s="505" t="s">
        <v>4321</v>
      </c>
      <c r="J430" s="505" t="s">
        <v>96</v>
      </c>
      <c r="K430" s="505" t="s">
        <v>4104</v>
      </c>
      <c r="L430" s="505" t="s">
        <v>153</v>
      </c>
      <c r="M430" s="327"/>
      <c r="N430" s="327"/>
      <c r="O430" s="327"/>
    </row>
    <row r="431" spans="1:15" s="325" customFormat="1" ht="15">
      <c r="A431" s="515">
        <v>45977</v>
      </c>
      <c r="B431" s="505" t="s">
        <v>4888</v>
      </c>
      <c r="C431" s="505" t="s">
        <v>172</v>
      </c>
      <c r="D431" s="510" t="s">
        <v>119</v>
      </c>
      <c r="E431" s="530">
        <v>500</v>
      </c>
      <c r="F431" s="502">
        <f t="shared" si="8"/>
        <v>0.93720185266062228</v>
      </c>
      <c r="G431" s="503">
        <v>533.50300000000004</v>
      </c>
      <c r="H431" s="505" t="s">
        <v>321</v>
      </c>
      <c r="I431" s="505" t="s">
        <v>4314</v>
      </c>
      <c r="J431" s="505" t="s">
        <v>96</v>
      </c>
      <c r="K431" s="505" t="s">
        <v>2102</v>
      </c>
      <c r="L431" s="505" t="s">
        <v>153</v>
      </c>
      <c r="M431" s="327"/>
      <c r="N431" s="125"/>
      <c r="O431" s="125"/>
    </row>
    <row r="432" spans="1:15" s="325" customFormat="1" ht="15">
      <c r="A432" s="629">
        <v>45978</v>
      </c>
      <c r="B432" s="298" t="s">
        <v>2107</v>
      </c>
      <c r="C432" s="298" t="s">
        <v>172</v>
      </c>
      <c r="D432" s="506" t="s">
        <v>117</v>
      </c>
      <c r="E432" s="630">
        <v>1000</v>
      </c>
      <c r="F432" s="502">
        <f t="shared" si="8"/>
        <v>1.8744037053212446</v>
      </c>
      <c r="G432" s="503">
        <v>533.50300000000004</v>
      </c>
      <c r="H432" s="631" t="s">
        <v>151</v>
      </c>
      <c r="I432" s="298" t="s">
        <v>4133</v>
      </c>
      <c r="J432" s="505" t="s">
        <v>96</v>
      </c>
      <c r="K432" s="505" t="s">
        <v>2102</v>
      </c>
      <c r="L432" s="505" t="s">
        <v>153</v>
      </c>
      <c r="M432" s="327"/>
      <c r="N432" s="327"/>
      <c r="O432" s="327"/>
    </row>
    <row r="433" spans="1:15" s="325" customFormat="1" ht="15">
      <c r="A433" s="629">
        <v>45978</v>
      </c>
      <c r="B433" s="298" t="s">
        <v>2108</v>
      </c>
      <c r="C433" s="298" t="s">
        <v>172</v>
      </c>
      <c r="D433" s="506" t="s">
        <v>117</v>
      </c>
      <c r="E433" s="630">
        <v>1000</v>
      </c>
      <c r="F433" s="502">
        <f t="shared" si="8"/>
        <v>1.8744037053212446</v>
      </c>
      <c r="G433" s="503">
        <v>533.50300000000004</v>
      </c>
      <c r="H433" s="631" t="s">
        <v>151</v>
      </c>
      <c r="I433" s="298" t="s">
        <v>4133</v>
      </c>
      <c r="J433" s="505" t="s">
        <v>96</v>
      </c>
      <c r="K433" s="505" t="s">
        <v>2102</v>
      </c>
      <c r="L433" s="505" t="s">
        <v>153</v>
      </c>
      <c r="M433" s="327"/>
      <c r="N433" s="327"/>
      <c r="O433" s="327"/>
    </row>
    <row r="434" spans="1:15" s="325" customFormat="1" ht="15">
      <c r="A434" s="629">
        <v>45978</v>
      </c>
      <c r="B434" s="298" t="s">
        <v>4125</v>
      </c>
      <c r="C434" s="506" t="s">
        <v>150</v>
      </c>
      <c r="D434" s="506" t="s">
        <v>117</v>
      </c>
      <c r="E434" s="630">
        <v>12500</v>
      </c>
      <c r="F434" s="502">
        <f t="shared" si="8"/>
        <v>23.430046316515558</v>
      </c>
      <c r="G434" s="503">
        <v>533.50300000000004</v>
      </c>
      <c r="H434" s="631" t="s">
        <v>151</v>
      </c>
      <c r="I434" s="298" t="s">
        <v>4139</v>
      </c>
      <c r="J434" s="505" t="s">
        <v>96</v>
      </c>
      <c r="K434" s="505" t="s">
        <v>2102</v>
      </c>
      <c r="L434" s="505" t="s">
        <v>153</v>
      </c>
      <c r="M434" s="327"/>
      <c r="N434" s="125"/>
      <c r="O434" s="125"/>
    </row>
    <row r="435" spans="1:15" s="325" customFormat="1" ht="15">
      <c r="A435" s="629">
        <v>45978</v>
      </c>
      <c r="B435" s="298" t="s">
        <v>2104</v>
      </c>
      <c r="C435" s="298" t="s">
        <v>172</v>
      </c>
      <c r="D435" s="506" t="s">
        <v>117</v>
      </c>
      <c r="E435" s="630">
        <v>1000</v>
      </c>
      <c r="F435" s="502">
        <f t="shared" si="8"/>
        <v>1.8744037053212446</v>
      </c>
      <c r="G435" s="503">
        <v>533.50300000000004</v>
      </c>
      <c r="H435" s="631" t="s">
        <v>151</v>
      </c>
      <c r="I435" s="298" t="s">
        <v>4133</v>
      </c>
      <c r="J435" s="505" t="s">
        <v>96</v>
      </c>
      <c r="K435" s="505" t="s">
        <v>2102</v>
      </c>
      <c r="L435" s="505" t="s">
        <v>153</v>
      </c>
      <c r="M435" s="327"/>
      <c r="N435" s="125"/>
      <c r="O435" s="125"/>
    </row>
    <row r="436" spans="1:15" s="325" customFormat="1" ht="15">
      <c r="A436" s="507">
        <v>45978</v>
      </c>
      <c r="B436" s="514" t="s">
        <v>4150</v>
      </c>
      <c r="C436" s="514" t="s">
        <v>150</v>
      </c>
      <c r="D436" s="514" t="s">
        <v>115</v>
      </c>
      <c r="E436" s="509">
        <v>10000</v>
      </c>
      <c r="F436" s="502">
        <f t="shared" si="8"/>
        <v>18.744037053212445</v>
      </c>
      <c r="G436" s="503">
        <v>533.50300000000004</v>
      </c>
      <c r="H436" s="510" t="s">
        <v>198</v>
      </c>
      <c r="I436" s="508" t="s">
        <v>4160</v>
      </c>
      <c r="J436" s="505" t="s">
        <v>96</v>
      </c>
      <c r="K436" s="505" t="s">
        <v>2102</v>
      </c>
      <c r="L436" s="505" t="s">
        <v>153</v>
      </c>
      <c r="M436" s="327"/>
      <c r="N436" s="327"/>
      <c r="O436" s="327"/>
    </row>
    <row r="437" spans="1:15" s="325" customFormat="1" ht="15">
      <c r="A437" s="517">
        <v>45978</v>
      </c>
      <c r="B437" s="505" t="s">
        <v>4198</v>
      </c>
      <c r="C437" s="505" t="s">
        <v>172</v>
      </c>
      <c r="D437" s="505" t="s">
        <v>116</v>
      </c>
      <c r="E437" s="518">
        <v>1000</v>
      </c>
      <c r="F437" s="502">
        <f t="shared" si="8"/>
        <v>1.8744037053212446</v>
      </c>
      <c r="G437" s="503">
        <v>533.50300000000004</v>
      </c>
      <c r="H437" s="505" t="s">
        <v>581</v>
      </c>
      <c r="I437" s="505" t="s">
        <v>4213</v>
      </c>
      <c r="J437" s="505" t="s">
        <v>96</v>
      </c>
      <c r="K437" s="505" t="s">
        <v>2102</v>
      </c>
      <c r="L437" s="505" t="s">
        <v>153</v>
      </c>
      <c r="M437" s="125"/>
      <c r="N437" s="125"/>
      <c r="O437" s="125"/>
    </row>
    <row r="438" spans="1:15" s="325" customFormat="1" ht="15">
      <c r="A438" s="517">
        <v>45978</v>
      </c>
      <c r="B438" s="505" t="s">
        <v>3405</v>
      </c>
      <c r="C438" s="505" t="s">
        <v>172</v>
      </c>
      <c r="D438" s="505" t="s">
        <v>116</v>
      </c>
      <c r="E438" s="518">
        <v>500</v>
      </c>
      <c r="F438" s="502">
        <f t="shared" si="8"/>
        <v>0.93720185266062228</v>
      </c>
      <c r="G438" s="503">
        <v>533.50300000000004</v>
      </c>
      <c r="H438" s="505" t="s">
        <v>581</v>
      </c>
      <c r="I438" s="505" t="s">
        <v>4213</v>
      </c>
      <c r="J438" s="505" t="s">
        <v>96</v>
      </c>
      <c r="K438" s="505" t="s">
        <v>2102</v>
      </c>
      <c r="L438" s="505" t="s">
        <v>153</v>
      </c>
      <c r="M438" s="125"/>
      <c r="N438" s="125"/>
      <c r="O438" s="125"/>
    </row>
    <row r="439" spans="1:15" s="325" customFormat="1" ht="15">
      <c r="A439" s="517">
        <v>45978</v>
      </c>
      <c r="B439" s="505" t="s">
        <v>3406</v>
      </c>
      <c r="C439" s="505" t="s">
        <v>172</v>
      </c>
      <c r="D439" s="505" t="s">
        <v>116</v>
      </c>
      <c r="E439" s="518">
        <v>1000</v>
      </c>
      <c r="F439" s="502">
        <f t="shared" si="8"/>
        <v>1.8744037053212446</v>
      </c>
      <c r="G439" s="503">
        <v>533.50300000000004</v>
      </c>
      <c r="H439" s="505" t="s">
        <v>581</v>
      </c>
      <c r="I439" s="505" t="s">
        <v>4213</v>
      </c>
      <c r="J439" s="505" t="s">
        <v>96</v>
      </c>
      <c r="K439" s="505" t="s">
        <v>2102</v>
      </c>
      <c r="L439" s="505" t="s">
        <v>153</v>
      </c>
      <c r="M439" s="125"/>
      <c r="N439" s="125"/>
      <c r="O439" s="125"/>
    </row>
    <row r="440" spans="1:15" s="325" customFormat="1" ht="15">
      <c r="A440" s="517">
        <v>45978</v>
      </c>
      <c r="B440" s="505" t="s">
        <v>4199</v>
      </c>
      <c r="C440" s="530" t="s">
        <v>150</v>
      </c>
      <c r="D440" s="505" t="s">
        <v>117</v>
      </c>
      <c r="E440" s="518">
        <v>7500</v>
      </c>
      <c r="F440" s="502">
        <f t="shared" si="8"/>
        <v>14.058027789909334</v>
      </c>
      <c r="G440" s="503">
        <v>533.50300000000004</v>
      </c>
      <c r="H440" s="505" t="s">
        <v>581</v>
      </c>
      <c r="I440" s="505" t="s">
        <v>4220</v>
      </c>
      <c r="J440" s="505" t="s">
        <v>96</v>
      </c>
      <c r="K440" s="505" t="s">
        <v>2102</v>
      </c>
      <c r="L440" s="505" t="s">
        <v>153</v>
      </c>
      <c r="M440" s="125"/>
      <c r="N440" s="125"/>
      <c r="O440" s="125"/>
    </row>
    <row r="441" spans="1:15" s="325" customFormat="1" ht="15">
      <c r="A441" s="515">
        <v>45978</v>
      </c>
      <c r="B441" s="505" t="s">
        <v>4200</v>
      </c>
      <c r="C441" s="505" t="s">
        <v>180</v>
      </c>
      <c r="D441" s="505" t="s">
        <v>116</v>
      </c>
      <c r="E441" s="518">
        <v>5495</v>
      </c>
      <c r="F441" s="502">
        <f t="shared" si="8"/>
        <v>10.299848360740238</v>
      </c>
      <c r="G441" s="503">
        <v>533.50300000000004</v>
      </c>
      <c r="H441" s="505" t="s">
        <v>581</v>
      </c>
      <c r="I441" s="505" t="s">
        <v>4221</v>
      </c>
      <c r="J441" s="505" t="s">
        <v>96</v>
      </c>
      <c r="K441" s="505" t="s">
        <v>2102</v>
      </c>
      <c r="L441" s="505" t="s">
        <v>153</v>
      </c>
      <c r="M441" s="125"/>
      <c r="N441" s="125"/>
      <c r="O441" s="125"/>
    </row>
    <row r="442" spans="1:15" s="325" customFormat="1" ht="15">
      <c r="A442" s="523">
        <v>45978</v>
      </c>
      <c r="B442" s="510" t="s">
        <v>4917</v>
      </c>
      <c r="C442" s="510" t="s">
        <v>172</v>
      </c>
      <c r="D442" s="510" t="s">
        <v>119</v>
      </c>
      <c r="E442" s="510">
        <v>1000</v>
      </c>
      <c r="F442" s="502">
        <f t="shared" si="8"/>
        <v>1.8744037053212446</v>
      </c>
      <c r="G442" s="503">
        <v>533.50300000000004</v>
      </c>
      <c r="H442" s="510" t="s">
        <v>182</v>
      </c>
      <c r="I442" s="510" t="s">
        <v>4237</v>
      </c>
      <c r="J442" s="505" t="s">
        <v>96</v>
      </c>
      <c r="K442" s="505" t="s">
        <v>2102</v>
      </c>
      <c r="L442" s="505" t="s">
        <v>153</v>
      </c>
      <c r="M442" s="125"/>
      <c r="N442" s="125"/>
      <c r="O442" s="125"/>
    </row>
    <row r="443" spans="1:15" s="325" customFormat="1" ht="15">
      <c r="A443" s="523">
        <v>45978</v>
      </c>
      <c r="B443" s="510" t="s">
        <v>4917</v>
      </c>
      <c r="C443" s="510" t="s">
        <v>172</v>
      </c>
      <c r="D443" s="510" t="s">
        <v>119</v>
      </c>
      <c r="E443" s="510">
        <v>1000</v>
      </c>
      <c r="F443" s="502">
        <f t="shared" si="8"/>
        <v>1.8744037053212446</v>
      </c>
      <c r="G443" s="503">
        <v>533.50300000000004</v>
      </c>
      <c r="H443" s="510" t="s">
        <v>182</v>
      </c>
      <c r="I443" s="510" t="s">
        <v>4237</v>
      </c>
      <c r="J443" s="505" t="s">
        <v>96</v>
      </c>
      <c r="K443" s="505" t="s">
        <v>2102</v>
      </c>
      <c r="L443" s="505" t="s">
        <v>153</v>
      </c>
      <c r="M443" s="125"/>
      <c r="N443" s="125"/>
      <c r="O443" s="125"/>
    </row>
    <row r="444" spans="1:15" s="325" customFormat="1" ht="15">
      <c r="A444" s="523">
        <v>45978</v>
      </c>
      <c r="B444" s="510" t="s">
        <v>4917</v>
      </c>
      <c r="C444" s="510" t="s">
        <v>172</v>
      </c>
      <c r="D444" s="510" t="s">
        <v>119</v>
      </c>
      <c r="E444" s="510">
        <v>1000</v>
      </c>
      <c r="F444" s="502">
        <f t="shared" si="8"/>
        <v>1.8744037053212446</v>
      </c>
      <c r="G444" s="503">
        <v>533.50300000000004</v>
      </c>
      <c r="H444" s="510" t="s">
        <v>182</v>
      </c>
      <c r="I444" s="510" t="s">
        <v>4237</v>
      </c>
      <c r="J444" s="505" t="s">
        <v>96</v>
      </c>
      <c r="K444" s="505" t="s">
        <v>2102</v>
      </c>
      <c r="L444" s="505" t="s">
        <v>153</v>
      </c>
      <c r="M444" s="125"/>
      <c r="N444" s="125"/>
      <c r="O444" s="125"/>
    </row>
    <row r="445" spans="1:15" s="325" customFormat="1" ht="15">
      <c r="A445" s="523">
        <v>45978</v>
      </c>
      <c r="B445" s="510" t="s">
        <v>4917</v>
      </c>
      <c r="C445" s="510" t="s">
        <v>172</v>
      </c>
      <c r="D445" s="510" t="s">
        <v>119</v>
      </c>
      <c r="E445" s="510">
        <v>1000</v>
      </c>
      <c r="F445" s="502">
        <f t="shared" si="8"/>
        <v>1.8744037053212446</v>
      </c>
      <c r="G445" s="503">
        <v>533.50300000000004</v>
      </c>
      <c r="H445" s="510" t="s">
        <v>182</v>
      </c>
      <c r="I445" s="510" t="s">
        <v>4237</v>
      </c>
      <c r="J445" s="505" t="s">
        <v>96</v>
      </c>
      <c r="K445" s="505" t="s">
        <v>2102</v>
      </c>
      <c r="L445" s="505" t="s">
        <v>153</v>
      </c>
      <c r="M445" s="125"/>
      <c r="N445" s="125"/>
      <c r="O445" s="125"/>
    </row>
    <row r="446" spans="1:15" s="325" customFormat="1" ht="15">
      <c r="A446" s="523">
        <v>45978</v>
      </c>
      <c r="B446" s="510" t="s">
        <v>4235</v>
      </c>
      <c r="C446" s="510" t="s">
        <v>150</v>
      </c>
      <c r="D446" s="510" t="s">
        <v>119</v>
      </c>
      <c r="E446" s="510">
        <v>10000</v>
      </c>
      <c r="F446" s="502">
        <f t="shared" si="8"/>
        <v>18.744037053212445</v>
      </c>
      <c r="G446" s="503">
        <v>533.50300000000004</v>
      </c>
      <c r="H446" s="510" t="s">
        <v>182</v>
      </c>
      <c r="I446" s="510" t="s">
        <v>4246</v>
      </c>
      <c r="J446" s="505" t="s">
        <v>96</v>
      </c>
      <c r="K446" s="505" t="s">
        <v>2102</v>
      </c>
      <c r="L446" s="505" t="s">
        <v>153</v>
      </c>
      <c r="M446" s="125"/>
      <c r="N446" s="125"/>
      <c r="O446" s="125"/>
    </row>
    <row r="447" spans="1:15" s="325" customFormat="1" ht="15">
      <c r="A447" s="515">
        <v>45978</v>
      </c>
      <c r="B447" s="505" t="s">
        <v>4754</v>
      </c>
      <c r="C447" s="505" t="s">
        <v>2394</v>
      </c>
      <c r="D447" s="510" t="s">
        <v>119</v>
      </c>
      <c r="E447" s="505">
        <v>15000</v>
      </c>
      <c r="F447" s="502">
        <f t="shared" si="8"/>
        <v>28.116055579818667</v>
      </c>
      <c r="G447" s="503">
        <v>533.50300000000004</v>
      </c>
      <c r="H447" s="505" t="s">
        <v>173</v>
      </c>
      <c r="I447" s="505" t="s">
        <v>4272</v>
      </c>
      <c r="J447" s="505" t="s">
        <v>96</v>
      </c>
      <c r="K447" s="505" t="s">
        <v>2102</v>
      </c>
      <c r="L447" s="505" t="s">
        <v>153</v>
      </c>
      <c r="M447" s="327"/>
      <c r="N447" s="327"/>
      <c r="O447" s="327"/>
    </row>
    <row r="448" spans="1:15" s="325" customFormat="1" ht="15">
      <c r="A448" s="515">
        <v>45978</v>
      </c>
      <c r="B448" s="505" t="s">
        <v>4888</v>
      </c>
      <c r="C448" s="505" t="s">
        <v>172</v>
      </c>
      <c r="D448" s="510" t="s">
        <v>119</v>
      </c>
      <c r="E448" s="505">
        <v>1000</v>
      </c>
      <c r="F448" s="502">
        <f t="shared" si="8"/>
        <v>1.8744037053212446</v>
      </c>
      <c r="G448" s="503">
        <v>533.50300000000004</v>
      </c>
      <c r="H448" s="505" t="s">
        <v>173</v>
      </c>
      <c r="I448" s="505" t="s">
        <v>4263</v>
      </c>
      <c r="J448" s="505" t="s">
        <v>96</v>
      </c>
      <c r="K448" s="505" t="s">
        <v>2102</v>
      </c>
      <c r="L448" s="505" t="s">
        <v>153</v>
      </c>
      <c r="M448" s="327"/>
      <c r="N448" s="327"/>
      <c r="O448" s="327"/>
    </row>
    <row r="449" spans="1:15" s="325" customFormat="1" ht="15">
      <c r="A449" s="515">
        <v>45978</v>
      </c>
      <c r="B449" s="505" t="s">
        <v>4755</v>
      </c>
      <c r="C449" s="505" t="s">
        <v>172</v>
      </c>
      <c r="D449" s="510" t="s">
        <v>119</v>
      </c>
      <c r="E449" s="505">
        <v>7000</v>
      </c>
      <c r="F449" s="502">
        <f t="shared" si="8"/>
        <v>13.120825937248712</v>
      </c>
      <c r="G449" s="503">
        <v>533.50300000000004</v>
      </c>
      <c r="H449" s="505" t="s">
        <v>173</v>
      </c>
      <c r="I449" s="505" t="s">
        <v>4273</v>
      </c>
      <c r="J449" s="505" t="s">
        <v>96</v>
      </c>
      <c r="K449" s="505" t="s">
        <v>2102</v>
      </c>
      <c r="L449" s="505" t="s">
        <v>153</v>
      </c>
      <c r="M449" s="327"/>
      <c r="N449" s="327"/>
      <c r="O449" s="327"/>
    </row>
    <row r="450" spans="1:15" s="325" customFormat="1" ht="15">
      <c r="A450" s="515">
        <v>45978</v>
      </c>
      <c r="B450" s="505" t="s">
        <v>4912</v>
      </c>
      <c r="C450" s="505" t="s">
        <v>172</v>
      </c>
      <c r="D450" s="510" t="s">
        <v>119</v>
      </c>
      <c r="E450" s="505">
        <v>1000</v>
      </c>
      <c r="F450" s="502">
        <f t="shared" si="8"/>
        <v>1.8744037053212446</v>
      </c>
      <c r="G450" s="503">
        <v>533.50300000000004</v>
      </c>
      <c r="H450" s="505" t="s">
        <v>173</v>
      </c>
      <c r="I450" s="505" t="s">
        <v>4263</v>
      </c>
      <c r="J450" s="505" t="s">
        <v>96</v>
      </c>
      <c r="K450" s="505" t="s">
        <v>2102</v>
      </c>
      <c r="L450" s="505" t="s">
        <v>153</v>
      </c>
      <c r="M450" s="327"/>
      <c r="N450" s="327"/>
      <c r="O450" s="327"/>
    </row>
    <row r="451" spans="1:15" s="325" customFormat="1" ht="15">
      <c r="A451" s="515">
        <v>45978</v>
      </c>
      <c r="B451" s="505" t="s">
        <v>4907</v>
      </c>
      <c r="C451" s="505" t="s">
        <v>172</v>
      </c>
      <c r="D451" s="510" t="s">
        <v>119</v>
      </c>
      <c r="E451" s="505">
        <v>1000</v>
      </c>
      <c r="F451" s="502">
        <f t="shared" si="8"/>
        <v>1.8744037053212446</v>
      </c>
      <c r="G451" s="503">
        <v>533.50300000000004</v>
      </c>
      <c r="H451" s="505" t="s">
        <v>173</v>
      </c>
      <c r="I451" s="505" t="s">
        <v>4263</v>
      </c>
      <c r="J451" s="505" t="s">
        <v>96</v>
      </c>
      <c r="K451" s="505" t="s">
        <v>2102</v>
      </c>
      <c r="L451" s="505" t="s">
        <v>153</v>
      </c>
      <c r="M451" s="327"/>
      <c r="N451" s="327"/>
      <c r="O451" s="327"/>
    </row>
    <row r="452" spans="1:15" s="325" customFormat="1" ht="15" customHeight="1">
      <c r="A452" s="515">
        <v>45978</v>
      </c>
      <c r="B452" s="505" t="s">
        <v>4907</v>
      </c>
      <c r="C452" s="505" t="s">
        <v>172</v>
      </c>
      <c r="D452" s="510" t="s">
        <v>119</v>
      </c>
      <c r="E452" s="505">
        <v>1000</v>
      </c>
      <c r="F452" s="502">
        <f t="shared" si="8"/>
        <v>1.8744037053212446</v>
      </c>
      <c r="G452" s="503">
        <v>533.50300000000004</v>
      </c>
      <c r="H452" s="505" t="s">
        <v>173</v>
      </c>
      <c r="I452" s="505" t="s">
        <v>4263</v>
      </c>
      <c r="J452" s="505" t="s">
        <v>96</v>
      </c>
      <c r="K452" s="505" t="s">
        <v>2102</v>
      </c>
      <c r="L452" s="505" t="s">
        <v>153</v>
      </c>
      <c r="M452" s="177"/>
      <c r="N452" s="177"/>
      <c r="O452" s="327"/>
    </row>
    <row r="453" spans="1:15" s="325" customFormat="1" ht="15" customHeight="1">
      <c r="A453" s="515">
        <v>45978</v>
      </c>
      <c r="B453" s="505" t="s">
        <v>4907</v>
      </c>
      <c r="C453" s="505" t="s">
        <v>172</v>
      </c>
      <c r="D453" s="510" t="s">
        <v>119</v>
      </c>
      <c r="E453" s="505">
        <v>1000</v>
      </c>
      <c r="F453" s="502">
        <f t="shared" si="8"/>
        <v>1.8744037053212446</v>
      </c>
      <c r="G453" s="503">
        <v>533.50300000000004</v>
      </c>
      <c r="H453" s="505" t="s">
        <v>173</v>
      </c>
      <c r="I453" s="505" t="s">
        <v>4263</v>
      </c>
      <c r="J453" s="505" t="s">
        <v>96</v>
      </c>
      <c r="K453" s="505" t="s">
        <v>2102</v>
      </c>
      <c r="L453" s="505" t="s">
        <v>153</v>
      </c>
      <c r="M453" s="177"/>
      <c r="N453" s="327"/>
      <c r="O453" s="327"/>
    </row>
    <row r="454" spans="1:15" s="325" customFormat="1" ht="15">
      <c r="A454" s="515">
        <v>45978</v>
      </c>
      <c r="B454" s="505" t="s">
        <v>4907</v>
      </c>
      <c r="C454" s="505" t="s">
        <v>172</v>
      </c>
      <c r="D454" s="510" t="s">
        <v>119</v>
      </c>
      <c r="E454" s="505">
        <v>1500</v>
      </c>
      <c r="F454" s="502">
        <f t="shared" si="8"/>
        <v>2.8116055579818666</v>
      </c>
      <c r="G454" s="503">
        <v>533.50300000000004</v>
      </c>
      <c r="H454" s="505" t="s">
        <v>173</v>
      </c>
      <c r="I454" s="505" t="s">
        <v>4263</v>
      </c>
      <c r="J454" s="505" t="s">
        <v>96</v>
      </c>
      <c r="K454" s="505" t="s">
        <v>2102</v>
      </c>
      <c r="L454" s="505" t="s">
        <v>153</v>
      </c>
      <c r="M454" s="125"/>
      <c r="N454" s="125"/>
      <c r="O454" s="125"/>
    </row>
    <row r="455" spans="1:15" s="325" customFormat="1" ht="15">
      <c r="A455" s="515">
        <v>45978</v>
      </c>
      <c r="B455" s="505" t="s">
        <v>4907</v>
      </c>
      <c r="C455" s="505" t="s">
        <v>172</v>
      </c>
      <c r="D455" s="510" t="s">
        <v>119</v>
      </c>
      <c r="E455" s="505">
        <v>1500</v>
      </c>
      <c r="F455" s="502">
        <f t="shared" si="8"/>
        <v>2.8116055579818666</v>
      </c>
      <c r="G455" s="503">
        <v>533.50300000000004</v>
      </c>
      <c r="H455" s="505" t="s">
        <v>173</v>
      </c>
      <c r="I455" s="505" t="s">
        <v>4263</v>
      </c>
      <c r="J455" s="505" t="s">
        <v>96</v>
      </c>
      <c r="K455" s="505" t="s">
        <v>2102</v>
      </c>
      <c r="L455" s="505" t="s">
        <v>153</v>
      </c>
      <c r="M455" s="125"/>
      <c r="N455" s="125"/>
      <c r="O455" s="125"/>
    </row>
    <row r="456" spans="1:15" s="325" customFormat="1" ht="15">
      <c r="A456" s="515">
        <v>45978</v>
      </c>
      <c r="B456" s="505" t="s">
        <v>3477</v>
      </c>
      <c r="C456" s="505" t="s">
        <v>366</v>
      </c>
      <c r="D456" s="510" t="s">
        <v>119</v>
      </c>
      <c r="E456" s="505">
        <v>2000</v>
      </c>
      <c r="F456" s="502">
        <f t="shared" si="8"/>
        <v>3.6802726345967711</v>
      </c>
      <c r="G456" s="503">
        <v>543.43799999999999</v>
      </c>
      <c r="H456" s="505" t="s">
        <v>173</v>
      </c>
      <c r="I456" s="505" t="s">
        <v>4264</v>
      </c>
      <c r="J456" s="505" t="s">
        <v>96</v>
      </c>
      <c r="K456" s="505" t="s">
        <v>4104</v>
      </c>
      <c r="L456" s="505" t="s">
        <v>153</v>
      </c>
      <c r="M456" s="327"/>
      <c r="N456" s="327"/>
      <c r="O456" s="327"/>
    </row>
    <row r="457" spans="1:15" s="325" customFormat="1" ht="15">
      <c r="A457" s="515">
        <v>45978</v>
      </c>
      <c r="B457" s="510" t="s">
        <v>4260</v>
      </c>
      <c r="C457" s="510" t="s">
        <v>150</v>
      </c>
      <c r="D457" s="510" t="s">
        <v>119</v>
      </c>
      <c r="E457" s="505">
        <v>10000</v>
      </c>
      <c r="F457" s="502">
        <f t="shared" si="8"/>
        <v>18.744037053212445</v>
      </c>
      <c r="G457" s="503">
        <v>533.50300000000004</v>
      </c>
      <c r="H457" s="505" t="s">
        <v>173</v>
      </c>
      <c r="I457" s="505" t="s">
        <v>4275</v>
      </c>
      <c r="J457" s="505" t="s">
        <v>96</v>
      </c>
      <c r="K457" s="505" t="s">
        <v>2102</v>
      </c>
      <c r="L457" s="505" t="s">
        <v>153</v>
      </c>
      <c r="M457" s="125"/>
      <c r="N457" s="125"/>
      <c r="O457" s="125"/>
    </row>
    <row r="458" spans="1:15" s="325" customFormat="1" ht="15">
      <c r="A458" s="515">
        <v>45978</v>
      </c>
      <c r="B458" s="505" t="s">
        <v>4876</v>
      </c>
      <c r="C458" s="505" t="s">
        <v>172</v>
      </c>
      <c r="D458" s="510" t="s">
        <v>119</v>
      </c>
      <c r="E458" s="505">
        <v>1000</v>
      </c>
      <c r="F458" s="502">
        <f t="shared" si="8"/>
        <v>1.8744037053212446</v>
      </c>
      <c r="G458" s="503">
        <v>533.50300000000004</v>
      </c>
      <c r="H458" s="505" t="s">
        <v>315</v>
      </c>
      <c r="I458" s="505" t="s">
        <v>4288</v>
      </c>
      <c r="J458" s="505" t="s">
        <v>96</v>
      </c>
      <c r="K458" s="505" t="s">
        <v>2102</v>
      </c>
      <c r="L458" s="505" t="s">
        <v>153</v>
      </c>
      <c r="M458" s="327"/>
      <c r="N458" s="327"/>
      <c r="O458" s="327"/>
    </row>
    <row r="459" spans="1:15" s="325" customFormat="1" ht="15.6" customHeight="1">
      <c r="A459" s="515">
        <v>45978</v>
      </c>
      <c r="B459" s="505" t="s">
        <v>4876</v>
      </c>
      <c r="C459" s="505" t="s">
        <v>172</v>
      </c>
      <c r="D459" s="510" t="s">
        <v>119</v>
      </c>
      <c r="E459" s="505">
        <v>1000</v>
      </c>
      <c r="F459" s="502">
        <f t="shared" si="8"/>
        <v>1.8744037053212446</v>
      </c>
      <c r="G459" s="503">
        <v>533.50300000000004</v>
      </c>
      <c r="H459" s="505" t="s">
        <v>315</v>
      </c>
      <c r="I459" s="505" t="s">
        <v>4288</v>
      </c>
      <c r="J459" s="505" t="s">
        <v>96</v>
      </c>
      <c r="K459" s="505" t="s">
        <v>2102</v>
      </c>
      <c r="L459" s="505" t="s">
        <v>153</v>
      </c>
      <c r="M459" s="327"/>
      <c r="N459" s="327"/>
      <c r="O459" s="327"/>
    </row>
    <row r="460" spans="1:15" s="325" customFormat="1" ht="15.6" customHeight="1">
      <c r="A460" s="515">
        <v>45978</v>
      </c>
      <c r="B460" s="505" t="s">
        <v>4283</v>
      </c>
      <c r="C460" s="505" t="s">
        <v>150</v>
      </c>
      <c r="D460" s="510" t="s">
        <v>119</v>
      </c>
      <c r="E460" s="505">
        <v>10000</v>
      </c>
      <c r="F460" s="502">
        <f t="shared" si="8"/>
        <v>18.744037053212445</v>
      </c>
      <c r="G460" s="503">
        <v>533.50300000000004</v>
      </c>
      <c r="H460" s="505" t="s">
        <v>315</v>
      </c>
      <c r="I460" s="505" t="s">
        <v>4297</v>
      </c>
      <c r="J460" s="505" t="s">
        <v>96</v>
      </c>
      <c r="K460" s="505" t="s">
        <v>2102</v>
      </c>
      <c r="L460" s="505" t="s">
        <v>153</v>
      </c>
      <c r="M460" s="327"/>
      <c r="N460" s="327"/>
      <c r="O460" s="327"/>
    </row>
    <row r="461" spans="1:15" s="325" customFormat="1" ht="15.6" customHeight="1">
      <c r="A461" s="515">
        <v>45978</v>
      </c>
      <c r="B461" s="505" t="s">
        <v>4888</v>
      </c>
      <c r="C461" s="505" t="s">
        <v>172</v>
      </c>
      <c r="D461" s="510" t="s">
        <v>119</v>
      </c>
      <c r="E461" s="530">
        <v>500</v>
      </c>
      <c r="F461" s="502">
        <f t="shared" si="8"/>
        <v>0.93720185266062228</v>
      </c>
      <c r="G461" s="503">
        <v>533.50300000000004</v>
      </c>
      <c r="H461" s="505" t="s">
        <v>321</v>
      </c>
      <c r="I461" s="505" t="s">
        <v>4314</v>
      </c>
      <c r="J461" s="505" t="s">
        <v>96</v>
      </c>
      <c r="K461" s="505" t="s">
        <v>2102</v>
      </c>
      <c r="L461" s="505" t="s">
        <v>153</v>
      </c>
      <c r="M461" s="327"/>
      <c r="N461" s="125"/>
      <c r="O461" s="125"/>
    </row>
    <row r="462" spans="1:15" s="325" customFormat="1" ht="15">
      <c r="A462" s="515">
        <v>45978</v>
      </c>
      <c r="B462" s="505" t="s">
        <v>4888</v>
      </c>
      <c r="C462" s="505" t="s">
        <v>172</v>
      </c>
      <c r="D462" s="510" t="s">
        <v>119</v>
      </c>
      <c r="E462" s="530">
        <v>500</v>
      </c>
      <c r="F462" s="502">
        <f t="shared" si="8"/>
        <v>0.93720185266062228</v>
      </c>
      <c r="G462" s="503">
        <v>533.50300000000004</v>
      </c>
      <c r="H462" s="505" t="s">
        <v>321</v>
      </c>
      <c r="I462" s="505" t="s">
        <v>4314</v>
      </c>
      <c r="J462" s="505" t="s">
        <v>96</v>
      </c>
      <c r="K462" s="505" t="s">
        <v>2102</v>
      </c>
      <c r="L462" s="505" t="s">
        <v>153</v>
      </c>
      <c r="M462" s="327"/>
      <c r="N462" s="125"/>
      <c r="O462" s="125"/>
    </row>
    <row r="463" spans="1:15" s="325" customFormat="1" ht="15">
      <c r="A463" s="515">
        <v>45978</v>
      </c>
      <c r="B463" s="505" t="s">
        <v>4888</v>
      </c>
      <c r="C463" s="505" t="s">
        <v>172</v>
      </c>
      <c r="D463" s="510" t="s">
        <v>119</v>
      </c>
      <c r="E463" s="530">
        <v>500</v>
      </c>
      <c r="F463" s="502">
        <f t="shared" si="8"/>
        <v>0.93720185266062228</v>
      </c>
      <c r="G463" s="503">
        <v>533.50300000000004</v>
      </c>
      <c r="H463" s="505" t="s">
        <v>321</v>
      </c>
      <c r="I463" s="505" t="s">
        <v>4314</v>
      </c>
      <c r="J463" s="505" t="s">
        <v>96</v>
      </c>
      <c r="K463" s="505" t="s">
        <v>2102</v>
      </c>
      <c r="L463" s="505" t="s">
        <v>153</v>
      </c>
      <c r="M463" s="327"/>
      <c r="N463" s="125"/>
      <c r="O463" s="125"/>
    </row>
    <row r="464" spans="1:15" s="325" customFormat="1" ht="15">
      <c r="A464" s="515">
        <v>45978</v>
      </c>
      <c r="B464" s="505" t="s">
        <v>4310</v>
      </c>
      <c r="C464" s="505" t="s">
        <v>366</v>
      </c>
      <c r="D464" s="510" t="s">
        <v>119</v>
      </c>
      <c r="E464" s="530">
        <v>2000</v>
      </c>
      <c r="F464" s="502">
        <f t="shared" si="8"/>
        <v>3.6802726345967711</v>
      </c>
      <c r="G464" s="503">
        <v>543.43799999999999</v>
      </c>
      <c r="H464" s="505" t="s">
        <v>321</v>
      </c>
      <c r="I464" s="505" t="s">
        <v>4321</v>
      </c>
      <c r="J464" s="505" t="s">
        <v>96</v>
      </c>
      <c r="K464" s="505" t="s">
        <v>4104</v>
      </c>
      <c r="L464" s="505" t="s">
        <v>153</v>
      </c>
      <c r="M464" s="327"/>
      <c r="N464" s="327"/>
      <c r="O464" s="327"/>
    </row>
    <row r="465" spans="1:15" s="325" customFormat="1" ht="15">
      <c r="A465" s="515">
        <v>45978</v>
      </c>
      <c r="B465" s="505" t="s">
        <v>4888</v>
      </c>
      <c r="C465" s="505" t="s">
        <v>172</v>
      </c>
      <c r="D465" s="510" t="s">
        <v>119</v>
      </c>
      <c r="E465" s="530">
        <v>500</v>
      </c>
      <c r="F465" s="502">
        <f t="shared" si="8"/>
        <v>0.93720185266062228</v>
      </c>
      <c r="G465" s="503">
        <v>533.50300000000004</v>
      </c>
      <c r="H465" s="505" t="s">
        <v>321</v>
      </c>
      <c r="I465" s="505" t="s">
        <v>4314</v>
      </c>
      <c r="J465" s="505" t="s">
        <v>96</v>
      </c>
      <c r="K465" s="505" t="s">
        <v>2102</v>
      </c>
      <c r="L465" s="505" t="s">
        <v>153</v>
      </c>
      <c r="M465" s="327"/>
      <c r="N465" s="327"/>
      <c r="O465" s="327"/>
    </row>
    <row r="466" spans="1:15" s="325" customFormat="1" ht="15">
      <c r="A466" s="515">
        <v>45978</v>
      </c>
      <c r="B466" s="505" t="s">
        <v>4311</v>
      </c>
      <c r="C466" s="505" t="s">
        <v>150</v>
      </c>
      <c r="D466" s="510" t="s">
        <v>119</v>
      </c>
      <c r="E466" s="530">
        <v>10000</v>
      </c>
      <c r="F466" s="502">
        <f t="shared" si="8"/>
        <v>18.744037053212445</v>
      </c>
      <c r="G466" s="503">
        <v>533.50300000000004</v>
      </c>
      <c r="H466" s="505" t="s">
        <v>321</v>
      </c>
      <c r="I466" s="505" t="s">
        <v>4323</v>
      </c>
      <c r="J466" s="505" t="s">
        <v>96</v>
      </c>
      <c r="K466" s="505" t="s">
        <v>2102</v>
      </c>
      <c r="L466" s="505" t="s">
        <v>153</v>
      </c>
      <c r="M466" s="327"/>
      <c r="N466" s="327"/>
      <c r="O466" s="327"/>
    </row>
    <row r="467" spans="1:15" s="325" customFormat="1" ht="15">
      <c r="A467" s="515">
        <v>45978</v>
      </c>
      <c r="B467" s="505" t="s">
        <v>2998</v>
      </c>
      <c r="C467" s="505" t="s">
        <v>172</v>
      </c>
      <c r="D467" s="505" t="s">
        <v>115</v>
      </c>
      <c r="E467" s="518">
        <v>500</v>
      </c>
      <c r="F467" s="502">
        <f t="shared" si="8"/>
        <v>0.93720185266062228</v>
      </c>
      <c r="G467" s="503">
        <v>533.50300000000004</v>
      </c>
      <c r="H467" s="505" t="s">
        <v>188</v>
      </c>
      <c r="I467" s="505" t="s">
        <v>4359</v>
      </c>
      <c r="J467" s="505" t="s">
        <v>96</v>
      </c>
      <c r="K467" s="505" t="s">
        <v>2102</v>
      </c>
      <c r="L467" s="505" t="s">
        <v>153</v>
      </c>
      <c r="M467" s="327"/>
      <c r="N467" s="327"/>
      <c r="O467" s="327"/>
    </row>
    <row r="468" spans="1:15" s="325" customFormat="1" ht="15">
      <c r="A468" s="515">
        <v>45978</v>
      </c>
      <c r="B468" s="505" t="s">
        <v>3000</v>
      </c>
      <c r="C468" s="505" t="s">
        <v>172</v>
      </c>
      <c r="D468" s="505" t="s">
        <v>115</v>
      </c>
      <c r="E468" s="518">
        <v>500</v>
      </c>
      <c r="F468" s="502">
        <f t="shared" si="8"/>
        <v>0.93720185266062228</v>
      </c>
      <c r="G468" s="503">
        <v>533.50300000000004</v>
      </c>
      <c r="H468" s="505" t="s">
        <v>188</v>
      </c>
      <c r="I468" s="505" t="s">
        <v>4359</v>
      </c>
      <c r="J468" s="505" t="s">
        <v>96</v>
      </c>
      <c r="K468" s="505" t="s">
        <v>2102</v>
      </c>
      <c r="L468" s="505" t="s">
        <v>153</v>
      </c>
      <c r="M468" s="327"/>
      <c r="N468" s="327"/>
      <c r="O468" s="327"/>
    </row>
    <row r="469" spans="1:15" s="325" customFormat="1" ht="15">
      <c r="A469" s="515">
        <v>45978</v>
      </c>
      <c r="B469" s="505" t="s">
        <v>4356</v>
      </c>
      <c r="C469" s="505" t="s">
        <v>150</v>
      </c>
      <c r="D469" s="505" t="s">
        <v>115</v>
      </c>
      <c r="E469" s="518">
        <v>7500</v>
      </c>
      <c r="F469" s="502">
        <f t="shared" si="8"/>
        <v>14.058027789909334</v>
      </c>
      <c r="G469" s="503">
        <v>533.50300000000004</v>
      </c>
      <c r="H469" s="505" t="s">
        <v>188</v>
      </c>
      <c r="I469" s="505" t="s">
        <v>4373</v>
      </c>
      <c r="J469" s="505" t="s">
        <v>96</v>
      </c>
      <c r="K469" s="505" t="s">
        <v>2102</v>
      </c>
      <c r="L469" s="505" t="s">
        <v>153</v>
      </c>
      <c r="M469" s="327"/>
      <c r="N469" s="125"/>
      <c r="O469" s="125"/>
    </row>
    <row r="470" spans="1:15" s="325" customFormat="1" ht="15">
      <c r="A470" s="515">
        <v>45978</v>
      </c>
      <c r="B470" s="505" t="s">
        <v>3633</v>
      </c>
      <c r="C470" s="505" t="s">
        <v>180</v>
      </c>
      <c r="D470" s="505" t="s">
        <v>116</v>
      </c>
      <c r="E470" s="518">
        <v>3000</v>
      </c>
      <c r="F470" s="502">
        <f t="shared" si="8"/>
        <v>5.6232111159637332</v>
      </c>
      <c r="G470" s="503">
        <v>533.50300000000004</v>
      </c>
      <c r="H470" s="505" t="s">
        <v>188</v>
      </c>
      <c r="I470" s="505" t="s">
        <v>4374</v>
      </c>
      <c r="J470" s="505" t="s">
        <v>96</v>
      </c>
      <c r="K470" s="505" t="s">
        <v>2102</v>
      </c>
      <c r="L470" s="505" t="s">
        <v>153</v>
      </c>
      <c r="M470" s="327"/>
      <c r="N470" s="327"/>
      <c r="O470" s="327"/>
    </row>
    <row r="471" spans="1:15" s="325" customFormat="1" ht="15">
      <c r="A471" s="515">
        <v>45978</v>
      </c>
      <c r="B471" s="505" t="s">
        <v>4402</v>
      </c>
      <c r="C471" s="505" t="s">
        <v>150</v>
      </c>
      <c r="D471" s="505" t="s">
        <v>115</v>
      </c>
      <c r="E471" s="530">
        <v>7500</v>
      </c>
      <c r="F471" s="502">
        <f t="shared" si="8"/>
        <v>14.058027789909334</v>
      </c>
      <c r="G471" s="503">
        <v>533.50300000000004</v>
      </c>
      <c r="H471" s="505" t="s">
        <v>191</v>
      </c>
      <c r="I471" s="505" t="s">
        <v>4415</v>
      </c>
      <c r="J471" s="505" t="s">
        <v>96</v>
      </c>
      <c r="K471" s="505" t="s">
        <v>2102</v>
      </c>
      <c r="L471" s="505" t="s">
        <v>153</v>
      </c>
      <c r="M471" s="327"/>
      <c r="N471" s="327"/>
      <c r="O471" s="327"/>
    </row>
    <row r="472" spans="1:15" s="325" customFormat="1" ht="15">
      <c r="A472" s="529">
        <v>45978</v>
      </c>
      <c r="B472" s="505" t="s">
        <v>4418</v>
      </c>
      <c r="C472" s="298" t="s">
        <v>150</v>
      </c>
      <c r="D472" s="298" t="s">
        <v>115</v>
      </c>
      <c r="E472" s="530">
        <v>10000</v>
      </c>
      <c r="F472" s="502">
        <f t="shared" si="8"/>
        <v>18.744037053212445</v>
      </c>
      <c r="G472" s="503">
        <v>533.50300000000004</v>
      </c>
      <c r="H472" s="298" t="s">
        <v>435</v>
      </c>
      <c r="I472" s="505" t="s">
        <v>4446</v>
      </c>
      <c r="J472" s="505" t="s">
        <v>96</v>
      </c>
      <c r="K472" s="505" t="s">
        <v>2102</v>
      </c>
      <c r="L472" s="505" t="s">
        <v>153</v>
      </c>
      <c r="M472" s="327"/>
      <c r="N472" s="327"/>
      <c r="O472" s="327"/>
    </row>
    <row r="473" spans="1:15" s="325" customFormat="1" ht="15">
      <c r="A473" s="531">
        <v>45978</v>
      </c>
      <c r="B473" s="514" t="s">
        <v>4523</v>
      </c>
      <c r="C473" s="514" t="s">
        <v>172</v>
      </c>
      <c r="D473" s="514" t="s">
        <v>118</v>
      </c>
      <c r="E473" s="518">
        <v>1000</v>
      </c>
      <c r="F473" s="502">
        <f t="shared" si="8"/>
        <v>1.8744037053212446</v>
      </c>
      <c r="G473" s="503">
        <v>533.50300000000004</v>
      </c>
      <c r="H473" s="514" t="s">
        <v>211</v>
      </c>
      <c r="I473" s="514" t="s">
        <v>4559</v>
      </c>
      <c r="J473" s="505" t="s">
        <v>96</v>
      </c>
      <c r="K473" s="505" t="s">
        <v>2102</v>
      </c>
      <c r="L473" s="505" t="s">
        <v>153</v>
      </c>
      <c r="M473" s="327"/>
      <c r="N473" s="327"/>
      <c r="O473" s="327"/>
    </row>
    <row r="474" spans="1:15" s="325" customFormat="1" ht="15">
      <c r="A474" s="531">
        <v>45978</v>
      </c>
      <c r="B474" s="514" t="s">
        <v>4524</v>
      </c>
      <c r="C474" s="514" t="s">
        <v>172</v>
      </c>
      <c r="D474" s="514" t="s">
        <v>118</v>
      </c>
      <c r="E474" s="518">
        <v>1000</v>
      </c>
      <c r="F474" s="502">
        <f t="shared" si="8"/>
        <v>1.8744037053212446</v>
      </c>
      <c r="G474" s="503">
        <v>533.50300000000004</v>
      </c>
      <c r="H474" s="514" t="s">
        <v>211</v>
      </c>
      <c r="I474" s="514" t="s">
        <v>4559</v>
      </c>
      <c r="J474" s="505" t="s">
        <v>96</v>
      </c>
      <c r="K474" s="505" t="s">
        <v>2102</v>
      </c>
      <c r="L474" s="505" t="s">
        <v>153</v>
      </c>
      <c r="M474" s="327"/>
      <c r="N474" s="327"/>
      <c r="O474" s="327"/>
    </row>
    <row r="475" spans="1:15" s="325" customFormat="1" ht="15">
      <c r="A475" s="531">
        <v>45978</v>
      </c>
      <c r="B475" s="514" t="s">
        <v>4525</v>
      </c>
      <c r="C475" s="514" t="s">
        <v>172</v>
      </c>
      <c r="D475" s="514" t="s">
        <v>118</v>
      </c>
      <c r="E475" s="518">
        <v>1000</v>
      </c>
      <c r="F475" s="502">
        <f t="shared" si="8"/>
        <v>1.8744037053212446</v>
      </c>
      <c r="G475" s="503">
        <v>533.50300000000004</v>
      </c>
      <c r="H475" s="514" t="s">
        <v>211</v>
      </c>
      <c r="I475" s="514" t="s">
        <v>4559</v>
      </c>
      <c r="J475" s="505" t="s">
        <v>96</v>
      </c>
      <c r="K475" s="505" t="s">
        <v>2102</v>
      </c>
      <c r="L475" s="505" t="s">
        <v>153</v>
      </c>
      <c r="M475" s="327"/>
      <c r="N475" s="327"/>
      <c r="O475" s="327"/>
    </row>
    <row r="476" spans="1:15" s="325" customFormat="1" ht="15">
      <c r="A476" s="531">
        <v>45978</v>
      </c>
      <c r="B476" s="514" t="s">
        <v>3858</v>
      </c>
      <c r="C476" s="514" t="s">
        <v>172</v>
      </c>
      <c r="D476" s="514" t="s">
        <v>118</v>
      </c>
      <c r="E476" s="518">
        <v>1000</v>
      </c>
      <c r="F476" s="502">
        <f t="shared" si="8"/>
        <v>1.8744037053212446</v>
      </c>
      <c r="G476" s="503">
        <v>533.50300000000004</v>
      </c>
      <c r="H476" s="514" t="s">
        <v>211</v>
      </c>
      <c r="I476" s="514" t="s">
        <v>4559</v>
      </c>
      <c r="J476" s="505" t="s">
        <v>96</v>
      </c>
      <c r="K476" s="505" t="s">
        <v>2102</v>
      </c>
      <c r="L476" s="505" t="s">
        <v>153</v>
      </c>
      <c r="M476" s="327"/>
      <c r="N476" s="327"/>
      <c r="O476" s="327"/>
    </row>
    <row r="477" spans="1:15" s="325" customFormat="1" ht="15">
      <c r="A477" s="531">
        <v>45978</v>
      </c>
      <c r="B477" s="514" t="s">
        <v>4526</v>
      </c>
      <c r="C477" s="514" t="s">
        <v>172</v>
      </c>
      <c r="D477" s="514" t="s">
        <v>118</v>
      </c>
      <c r="E477" s="518">
        <v>1000</v>
      </c>
      <c r="F477" s="502">
        <f t="shared" si="8"/>
        <v>1.8744037053212446</v>
      </c>
      <c r="G477" s="503">
        <v>533.50300000000004</v>
      </c>
      <c r="H477" s="514" t="s">
        <v>211</v>
      </c>
      <c r="I477" s="514" t="s">
        <v>4559</v>
      </c>
      <c r="J477" s="505" t="s">
        <v>96</v>
      </c>
      <c r="K477" s="505" t="s">
        <v>2102</v>
      </c>
      <c r="L477" s="505" t="s">
        <v>153</v>
      </c>
      <c r="M477" s="327"/>
      <c r="N477" s="327"/>
      <c r="O477" s="327"/>
    </row>
    <row r="478" spans="1:15" s="325" customFormat="1" ht="15">
      <c r="A478" s="531">
        <v>45978</v>
      </c>
      <c r="B478" s="514" t="s">
        <v>4527</v>
      </c>
      <c r="C478" s="514" t="s">
        <v>172</v>
      </c>
      <c r="D478" s="514" t="s">
        <v>118</v>
      </c>
      <c r="E478" s="518">
        <v>1000</v>
      </c>
      <c r="F478" s="502">
        <f t="shared" si="8"/>
        <v>1.8744037053212446</v>
      </c>
      <c r="G478" s="503">
        <v>533.50300000000004</v>
      </c>
      <c r="H478" s="514" t="s">
        <v>211</v>
      </c>
      <c r="I478" s="514" t="s">
        <v>4559</v>
      </c>
      <c r="J478" s="505" t="s">
        <v>96</v>
      </c>
      <c r="K478" s="505" t="s">
        <v>2102</v>
      </c>
      <c r="L478" s="505" t="s">
        <v>153</v>
      </c>
      <c r="M478" s="327"/>
      <c r="N478" s="327"/>
      <c r="O478" s="327"/>
    </row>
    <row r="479" spans="1:15" s="325" customFormat="1" ht="15">
      <c r="A479" s="531">
        <v>45978</v>
      </c>
      <c r="B479" s="514" t="s">
        <v>4528</v>
      </c>
      <c r="C479" s="514" t="s">
        <v>172</v>
      </c>
      <c r="D479" s="514" t="s">
        <v>118</v>
      </c>
      <c r="E479" s="518">
        <v>1000</v>
      </c>
      <c r="F479" s="502">
        <f t="shared" si="8"/>
        <v>1.8744037053212446</v>
      </c>
      <c r="G479" s="503">
        <v>533.50300000000004</v>
      </c>
      <c r="H479" s="514" t="s">
        <v>211</v>
      </c>
      <c r="I479" s="514" t="s">
        <v>4559</v>
      </c>
      <c r="J479" s="505" t="s">
        <v>96</v>
      </c>
      <c r="K479" s="505" t="s">
        <v>2102</v>
      </c>
      <c r="L479" s="505" t="s">
        <v>153</v>
      </c>
      <c r="M479" s="327"/>
      <c r="N479" s="125"/>
      <c r="O479" s="125"/>
    </row>
    <row r="480" spans="1:15" s="325" customFormat="1" ht="15">
      <c r="A480" s="531">
        <v>45978</v>
      </c>
      <c r="B480" s="514" t="s">
        <v>4530</v>
      </c>
      <c r="C480" s="514" t="s">
        <v>150</v>
      </c>
      <c r="D480" s="514" t="s">
        <v>118</v>
      </c>
      <c r="E480" s="518">
        <v>10000</v>
      </c>
      <c r="F480" s="502">
        <f t="shared" si="8"/>
        <v>18.744037053212445</v>
      </c>
      <c r="G480" s="503">
        <v>533.50300000000004</v>
      </c>
      <c r="H480" s="514" t="s">
        <v>211</v>
      </c>
      <c r="I480" s="514" t="s">
        <v>4570</v>
      </c>
      <c r="J480" s="505" t="s">
        <v>96</v>
      </c>
      <c r="K480" s="505" t="s">
        <v>2102</v>
      </c>
      <c r="L480" s="505" t="s">
        <v>153</v>
      </c>
      <c r="M480" s="327"/>
      <c r="N480" s="327"/>
      <c r="O480" s="327"/>
    </row>
    <row r="481" spans="1:15" s="325" customFormat="1" ht="15">
      <c r="A481" s="515">
        <v>45978</v>
      </c>
      <c r="B481" s="505" t="s">
        <v>4593</v>
      </c>
      <c r="C481" s="505" t="s">
        <v>172</v>
      </c>
      <c r="D481" s="505" t="s">
        <v>115</v>
      </c>
      <c r="E481" s="505">
        <v>1000</v>
      </c>
      <c r="F481" s="502">
        <f t="shared" si="8"/>
        <v>1.8744037053212446</v>
      </c>
      <c r="G481" s="503">
        <v>533.50300000000004</v>
      </c>
      <c r="H481" s="505" t="s">
        <v>185</v>
      </c>
      <c r="I481" s="505" t="s">
        <v>4631</v>
      </c>
      <c r="J481" s="505" t="s">
        <v>96</v>
      </c>
      <c r="K481" s="505" t="s">
        <v>2102</v>
      </c>
      <c r="L481" s="505" t="s">
        <v>153</v>
      </c>
      <c r="M481" s="327"/>
      <c r="N481" s="327"/>
      <c r="O481" s="327"/>
    </row>
    <row r="482" spans="1:15" s="325" customFormat="1" ht="15">
      <c r="A482" s="515">
        <v>45978</v>
      </c>
      <c r="B482" s="505" t="s">
        <v>4605</v>
      </c>
      <c r="C482" s="505" t="s">
        <v>172</v>
      </c>
      <c r="D482" s="505" t="s">
        <v>115</v>
      </c>
      <c r="E482" s="505">
        <v>1500</v>
      </c>
      <c r="F482" s="502">
        <f t="shared" si="8"/>
        <v>2.8116055579818666</v>
      </c>
      <c r="G482" s="503">
        <v>533.50300000000004</v>
      </c>
      <c r="H482" s="505" t="s">
        <v>185</v>
      </c>
      <c r="I482" s="505" t="s">
        <v>4631</v>
      </c>
      <c r="J482" s="505" t="s">
        <v>96</v>
      </c>
      <c r="K482" s="505" t="s">
        <v>2102</v>
      </c>
      <c r="L482" s="505" t="s">
        <v>153</v>
      </c>
      <c r="M482" s="327"/>
      <c r="N482" s="327"/>
      <c r="O482" s="327"/>
    </row>
    <row r="483" spans="1:15" s="325" customFormat="1" ht="15">
      <c r="A483" s="515">
        <v>45978</v>
      </c>
      <c r="B483" s="505" t="s">
        <v>3002</v>
      </c>
      <c r="C483" s="505" t="s">
        <v>172</v>
      </c>
      <c r="D483" s="505" t="s">
        <v>115</v>
      </c>
      <c r="E483" s="505">
        <v>1000</v>
      </c>
      <c r="F483" s="502">
        <f t="shared" si="8"/>
        <v>1.8744037053212446</v>
      </c>
      <c r="G483" s="503">
        <v>533.50300000000004</v>
      </c>
      <c r="H483" s="505" t="s">
        <v>185</v>
      </c>
      <c r="I483" s="505" t="s">
        <v>4631</v>
      </c>
      <c r="J483" s="505" t="s">
        <v>96</v>
      </c>
      <c r="K483" s="505" t="s">
        <v>2102</v>
      </c>
      <c r="L483" s="505" t="s">
        <v>153</v>
      </c>
      <c r="M483" s="327"/>
      <c r="N483" s="327"/>
      <c r="O483" s="327"/>
    </row>
    <row r="484" spans="1:15" s="325" customFormat="1" ht="15">
      <c r="A484" s="515">
        <v>45978</v>
      </c>
      <c r="B484" s="505" t="s">
        <v>4606</v>
      </c>
      <c r="C484" s="505" t="s">
        <v>150</v>
      </c>
      <c r="D484" s="505" t="s">
        <v>115</v>
      </c>
      <c r="E484" s="550">
        <v>7500</v>
      </c>
      <c r="F484" s="502">
        <f t="shared" si="8"/>
        <v>14.058027789909334</v>
      </c>
      <c r="G484" s="503">
        <v>533.50300000000004</v>
      </c>
      <c r="H484" s="505" t="s">
        <v>185</v>
      </c>
      <c r="I484" s="505" t="s">
        <v>4640</v>
      </c>
      <c r="J484" s="505" t="s">
        <v>96</v>
      </c>
      <c r="K484" s="505" t="s">
        <v>2102</v>
      </c>
      <c r="L484" s="505" t="s">
        <v>153</v>
      </c>
      <c r="M484" s="327"/>
      <c r="N484" s="327"/>
      <c r="O484" s="327"/>
    </row>
    <row r="485" spans="1:15" s="325" customFormat="1" ht="15">
      <c r="A485" s="629">
        <v>45979</v>
      </c>
      <c r="B485" s="298" t="s">
        <v>2103</v>
      </c>
      <c r="C485" s="298" t="s">
        <v>172</v>
      </c>
      <c r="D485" s="506" t="s">
        <v>117</v>
      </c>
      <c r="E485" s="632">
        <v>1000</v>
      </c>
      <c r="F485" s="502">
        <f t="shared" si="8"/>
        <v>1.8744037053212446</v>
      </c>
      <c r="G485" s="503">
        <v>533.50300000000004</v>
      </c>
      <c r="H485" s="631" t="s">
        <v>151</v>
      </c>
      <c r="I485" s="298" t="s">
        <v>4133</v>
      </c>
      <c r="J485" s="505" t="s">
        <v>96</v>
      </c>
      <c r="K485" s="505" t="s">
        <v>2102</v>
      </c>
      <c r="L485" s="505" t="s">
        <v>153</v>
      </c>
      <c r="M485" s="327"/>
      <c r="N485" s="327"/>
      <c r="O485" s="327"/>
    </row>
    <row r="486" spans="1:15" s="325" customFormat="1" ht="15">
      <c r="A486" s="629">
        <v>45979</v>
      </c>
      <c r="B486" s="298" t="s">
        <v>4126</v>
      </c>
      <c r="C486" s="298" t="s">
        <v>172</v>
      </c>
      <c r="D486" s="506" t="s">
        <v>117</v>
      </c>
      <c r="E486" s="632">
        <v>1000</v>
      </c>
      <c r="F486" s="502">
        <f t="shared" si="8"/>
        <v>1.8744037053212446</v>
      </c>
      <c r="G486" s="503">
        <v>533.50300000000004</v>
      </c>
      <c r="H486" s="631" t="s">
        <v>151</v>
      </c>
      <c r="I486" s="298" t="s">
        <v>4133</v>
      </c>
      <c r="J486" s="505" t="s">
        <v>96</v>
      </c>
      <c r="K486" s="505" t="s">
        <v>2102</v>
      </c>
      <c r="L486" s="505" t="s">
        <v>153</v>
      </c>
      <c r="M486" s="125"/>
      <c r="N486" s="125"/>
      <c r="O486" s="125"/>
    </row>
    <row r="487" spans="1:15" s="325" customFormat="1" ht="15">
      <c r="A487" s="629">
        <v>45979</v>
      </c>
      <c r="B487" s="298" t="s">
        <v>4127</v>
      </c>
      <c r="C487" s="298" t="s">
        <v>172</v>
      </c>
      <c r="D487" s="506" t="s">
        <v>117</v>
      </c>
      <c r="E487" s="632">
        <v>1000</v>
      </c>
      <c r="F487" s="502">
        <f t="shared" si="8"/>
        <v>1.8744037053212446</v>
      </c>
      <c r="G487" s="503">
        <v>533.50300000000004</v>
      </c>
      <c r="H487" s="631" t="s">
        <v>151</v>
      </c>
      <c r="I487" s="298" t="s">
        <v>4133</v>
      </c>
      <c r="J487" s="505" t="s">
        <v>96</v>
      </c>
      <c r="K487" s="505" t="s">
        <v>2102</v>
      </c>
      <c r="L487" s="505" t="s">
        <v>153</v>
      </c>
      <c r="M487" s="125"/>
      <c r="N487" s="125"/>
      <c r="O487" s="125"/>
    </row>
    <row r="488" spans="1:15" s="325" customFormat="1" ht="15">
      <c r="A488" s="629">
        <v>45979</v>
      </c>
      <c r="B488" s="298" t="s">
        <v>2104</v>
      </c>
      <c r="C488" s="298" t="s">
        <v>172</v>
      </c>
      <c r="D488" s="506" t="s">
        <v>117</v>
      </c>
      <c r="E488" s="632">
        <v>1000</v>
      </c>
      <c r="F488" s="502">
        <f t="shared" si="8"/>
        <v>1.8744037053212446</v>
      </c>
      <c r="G488" s="503">
        <v>533.50300000000004</v>
      </c>
      <c r="H488" s="631" t="s">
        <v>151</v>
      </c>
      <c r="I488" s="298" t="s">
        <v>4133</v>
      </c>
      <c r="J488" s="505" t="s">
        <v>96</v>
      </c>
      <c r="K488" s="505" t="s">
        <v>2102</v>
      </c>
      <c r="L488" s="505" t="s">
        <v>153</v>
      </c>
      <c r="M488" s="125"/>
      <c r="N488" s="125"/>
      <c r="O488" s="125"/>
    </row>
    <row r="489" spans="1:15" s="325" customFormat="1" ht="15">
      <c r="A489" s="515">
        <v>45979</v>
      </c>
      <c r="B489" s="505" t="s">
        <v>2162</v>
      </c>
      <c r="C489" s="505" t="s">
        <v>121</v>
      </c>
      <c r="D489" s="505" t="s">
        <v>115</v>
      </c>
      <c r="E489" s="553">
        <v>115000</v>
      </c>
      <c r="F489" s="502">
        <f t="shared" si="8"/>
        <v>215.55642611194313</v>
      </c>
      <c r="G489" s="503">
        <v>533.50300000000004</v>
      </c>
      <c r="H489" s="505" t="s">
        <v>581</v>
      </c>
      <c r="I489" s="505" t="s">
        <v>4222</v>
      </c>
      <c r="J489" s="505" t="s">
        <v>96</v>
      </c>
      <c r="K489" s="505" t="s">
        <v>2102</v>
      </c>
      <c r="L489" s="505" t="s">
        <v>153</v>
      </c>
      <c r="M489" s="125"/>
      <c r="N489" s="125"/>
      <c r="O489" s="125"/>
    </row>
    <row r="490" spans="1:15" s="325" customFormat="1" ht="15">
      <c r="A490" s="517">
        <v>45979</v>
      </c>
      <c r="B490" s="505" t="s">
        <v>4198</v>
      </c>
      <c r="C490" s="505" t="s">
        <v>172</v>
      </c>
      <c r="D490" s="505" t="s">
        <v>116</v>
      </c>
      <c r="E490" s="553">
        <v>1000</v>
      </c>
      <c r="F490" s="502">
        <f t="shared" si="8"/>
        <v>1.8744037053212446</v>
      </c>
      <c r="G490" s="503">
        <v>533.50300000000004</v>
      </c>
      <c r="H490" s="505" t="s">
        <v>581</v>
      </c>
      <c r="I490" s="505" t="s">
        <v>4213</v>
      </c>
      <c r="J490" s="505" t="s">
        <v>96</v>
      </c>
      <c r="K490" s="505" t="s">
        <v>2102</v>
      </c>
      <c r="L490" s="505" t="s">
        <v>153</v>
      </c>
      <c r="M490" s="125"/>
      <c r="N490" s="125"/>
      <c r="O490" s="125"/>
    </row>
    <row r="491" spans="1:15" s="325" customFormat="1" ht="15">
      <c r="A491" s="517">
        <v>45979</v>
      </c>
      <c r="B491" s="505" t="s">
        <v>4201</v>
      </c>
      <c r="C491" s="505" t="s">
        <v>172</v>
      </c>
      <c r="D491" s="505" t="s">
        <v>116</v>
      </c>
      <c r="E491" s="633">
        <v>1000</v>
      </c>
      <c r="F491" s="502">
        <f t="shared" si="8"/>
        <v>1.8744037053212446</v>
      </c>
      <c r="G491" s="503">
        <v>533.50300000000004</v>
      </c>
      <c r="H491" s="505" t="s">
        <v>581</v>
      </c>
      <c r="I491" s="505" t="s">
        <v>4213</v>
      </c>
      <c r="J491" s="505" t="s">
        <v>96</v>
      </c>
      <c r="K491" s="505" t="s">
        <v>2102</v>
      </c>
      <c r="L491" s="505" t="s">
        <v>153</v>
      </c>
      <c r="M491" s="125"/>
      <c r="N491" s="125"/>
      <c r="O491" s="125"/>
    </row>
    <row r="492" spans="1:15" s="325" customFormat="1" ht="15">
      <c r="A492" s="517">
        <v>45979</v>
      </c>
      <c r="B492" s="505" t="s">
        <v>4202</v>
      </c>
      <c r="C492" s="505" t="s">
        <v>172</v>
      </c>
      <c r="D492" s="505" t="s">
        <v>116</v>
      </c>
      <c r="E492" s="553">
        <v>1000</v>
      </c>
      <c r="F492" s="502">
        <f t="shared" si="8"/>
        <v>1.8744037053212446</v>
      </c>
      <c r="G492" s="503">
        <v>533.50300000000004</v>
      </c>
      <c r="H492" s="505" t="s">
        <v>581</v>
      </c>
      <c r="I492" s="505" t="s">
        <v>4213</v>
      </c>
      <c r="J492" s="505" t="s">
        <v>96</v>
      </c>
      <c r="K492" s="505" t="s">
        <v>2102</v>
      </c>
      <c r="L492" s="505" t="s">
        <v>153</v>
      </c>
      <c r="M492" s="125"/>
      <c r="N492" s="125"/>
      <c r="O492" s="125"/>
    </row>
    <row r="493" spans="1:15" s="325" customFormat="1" ht="15">
      <c r="A493" s="517">
        <v>45979</v>
      </c>
      <c r="B493" s="505" t="s">
        <v>2892</v>
      </c>
      <c r="C493" s="505" t="s">
        <v>172</v>
      </c>
      <c r="D493" s="505" t="s">
        <v>116</v>
      </c>
      <c r="E493" s="553">
        <v>1000</v>
      </c>
      <c r="F493" s="502">
        <f t="shared" ref="F493:F553" si="9">E493/G493</f>
        <v>1.8744037053212446</v>
      </c>
      <c r="G493" s="503">
        <v>533.50300000000004</v>
      </c>
      <c r="H493" s="505" t="s">
        <v>581</v>
      </c>
      <c r="I493" s="505" t="s">
        <v>4213</v>
      </c>
      <c r="J493" s="505" t="s">
        <v>96</v>
      </c>
      <c r="K493" s="505" t="s">
        <v>2102</v>
      </c>
      <c r="L493" s="505" t="s">
        <v>153</v>
      </c>
      <c r="M493" s="125"/>
      <c r="N493" s="125"/>
      <c r="O493" s="125"/>
    </row>
    <row r="494" spans="1:15" s="325" customFormat="1" ht="15">
      <c r="A494" s="523">
        <v>45979</v>
      </c>
      <c r="B494" s="510" t="s">
        <v>4917</v>
      </c>
      <c r="C494" s="510" t="s">
        <v>172</v>
      </c>
      <c r="D494" s="510" t="s">
        <v>119</v>
      </c>
      <c r="E494" s="634">
        <v>1000</v>
      </c>
      <c r="F494" s="502">
        <f t="shared" si="9"/>
        <v>1.8744037053212446</v>
      </c>
      <c r="G494" s="503">
        <v>533.50300000000004</v>
      </c>
      <c r="H494" s="510" t="s">
        <v>182</v>
      </c>
      <c r="I494" s="510" t="s">
        <v>4237</v>
      </c>
      <c r="J494" s="505" t="s">
        <v>96</v>
      </c>
      <c r="K494" s="505" t="s">
        <v>2102</v>
      </c>
      <c r="L494" s="505" t="s">
        <v>153</v>
      </c>
      <c r="M494" s="125"/>
      <c r="N494" s="125"/>
      <c r="O494" s="125"/>
    </row>
    <row r="495" spans="1:15" s="325" customFormat="1" ht="15">
      <c r="A495" s="523">
        <v>45979</v>
      </c>
      <c r="B495" s="510" t="s">
        <v>4912</v>
      </c>
      <c r="C495" s="510" t="s">
        <v>172</v>
      </c>
      <c r="D495" s="510" t="s">
        <v>119</v>
      </c>
      <c r="E495" s="634">
        <v>1000</v>
      </c>
      <c r="F495" s="502">
        <f t="shared" si="9"/>
        <v>1.8744037053212446</v>
      </c>
      <c r="G495" s="503">
        <v>533.50300000000004</v>
      </c>
      <c r="H495" s="510" t="s">
        <v>182</v>
      </c>
      <c r="I495" s="510" t="s">
        <v>4237</v>
      </c>
      <c r="J495" s="505" t="s">
        <v>96</v>
      </c>
      <c r="K495" s="505" t="s">
        <v>2102</v>
      </c>
      <c r="L495" s="505" t="s">
        <v>153</v>
      </c>
      <c r="M495" s="125"/>
      <c r="N495" s="125"/>
      <c r="O495" s="125"/>
    </row>
    <row r="496" spans="1:15" s="325" customFormat="1" ht="15">
      <c r="A496" s="523">
        <v>45979</v>
      </c>
      <c r="B496" s="510" t="s">
        <v>4917</v>
      </c>
      <c r="C496" s="510" t="s">
        <v>172</v>
      </c>
      <c r="D496" s="510" t="s">
        <v>119</v>
      </c>
      <c r="E496" s="634">
        <v>1000</v>
      </c>
      <c r="F496" s="502">
        <f t="shared" si="9"/>
        <v>1.8744037053212446</v>
      </c>
      <c r="G496" s="503">
        <v>533.50300000000004</v>
      </c>
      <c r="H496" s="510" t="s">
        <v>182</v>
      </c>
      <c r="I496" s="510" t="s">
        <v>4237</v>
      </c>
      <c r="J496" s="505" t="s">
        <v>96</v>
      </c>
      <c r="K496" s="505" t="s">
        <v>2102</v>
      </c>
      <c r="L496" s="505" t="s">
        <v>153</v>
      </c>
      <c r="M496" s="125"/>
      <c r="N496" s="125"/>
      <c r="O496" s="125"/>
    </row>
    <row r="497" spans="1:15" s="325" customFormat="1" ht="15">
      <c r="A497" s="523">
        <v>45979</v>
      </c>
      <c r="B497" s="510" t="s">
        <v>4912</v>
      </c>
      <c r="C497" s="510" t="s">
        <v>172</v>
      </c>
      <c r="D497" s="510" t="s">
        <v>119</v>
      </c>
      <c r="E497" s="634">
        <v>1000</v>
      </c>
      <c r="F497" s="502">
        <f t="shared" si="9"/>
        <v>1.8744037053212446</v>
      </c>
      <c r="G497" s="503">
        <v>533.50300000000004</v>
      </c>
      <c r="H497" s="510" t="s">
        <v>182</v>
      </c>
      <c r="I497" s="510" t="s">
        <v>4237</v>
      </c>
      <c r="J497" s="505" t="s">
        <v>96</v>
      </c>
      <c r="K497" s="505" t="s">
        <v>2102</v>
      </c>
      <c r="L497" s="505" t="s">
        <v>153</v>
      </c>
      <c r="M497" s="125"/>
      <c r="N497" s="125"/>
      <c r="O497" s="125"/>
    </row>
    <row r="498" spans="1:15" s="325" customFormat="1" ht="15">
      <c r="A498" s="523">
        <v>45979</v>
      </c>
      <c r="B498" s="510" t="s">
        <v>4917</v>
      </c>
      <c r="C498" s="510" t="s">
        <v>172</v>
      </c>
      <c r="D498" s="510" t="s">
        <v>119</v>
      </c>
      <c r="E498" s="634">
        <v>1000</v>
      </c>
      <c r="F498" s="502">
        <f t="shared" si="9"/>
        <v>1.8744037053212446</v>
      </c>
      <c r="G498" s="503">
        <v>533.50300000000004</v>
      </c>
      <c r="H498" s="510" t="s">
        <v>182</v>
      </c>
      <c r="I498" s="510" t="s">
        <v>4237</v>
      </c>
      <c r="J498" s="505" t="s">
        <v>96</v>
      </c>
      <c r="K498" s="505" t="s">
        <v>2102</v>
      </c>
      <c r="L498" s="505" t="s">
        <v>153</v>
      </c>
      <c r="M498" s="125"/>
      <c r="N498" s="125"/>
      <c r="O498" s="125"/>
    </row>
    <row r="499" spans="1:15" s="325" customFormat="1" ht="15">
      <c r="A499" s="515">
        <v>45979</v>
      </c>
      <c r="B499" s="505" t="s">
        <v>4754</v>
      </c>
      <c r="C499" s="505" t="s">
        <v>2394</v>
      </c>
      <c r="D499" s="510" t="s">
        <v>119</v>
      </c>
      <c r="E499" s="550">
        <v>15000</v>
      </c>
      <c r="F499" s="502">
        <f t="shared" si="9"/>
        <v>28.116055579818667</v>
      </c>
      <c r="G499" s="503">
        <v>533.50300000000004</v>
      </c>
      <c r="H499" s="505" t="s">
        <v>173</v>
      </c>
      <c r="I499" s="505" t="s">
        <v>4276</v>
      </c>
      <c r="J499" s="505" t="s">
        <v>96</v>
      </c>
      <c r="K499" s="505" t="s">
        <v>2102</v>
      </c>
      <c r="L499" s="505" t="s">
        <v>153</v>
      </c>
      <c r="M499" s="125"/>
      <c r="N499" s="125"/>
      <c r="O499" s="125"/>
    </row>
    <row r="500" spans="1:15" s="325" customFormat="1" ht="15">
      <c r="A500" s="515">
        <v>45979</v>
      </c>
      <c r="B500" s="505" t="s">
        <v>4993</v>
      </c>
      <c r="C500" s="505" t="s">
        <v>172</v>
      </c>
      <c r="D500" s="510" t="s">
        <v>119</v>
      </c>
      <c r="E500" s="550">
        <v>1000</v>
      </c>
      <c r="F500" s="502">
        <f t="shared" si="9"/>
        <v>1.8744037053212446</v>
      </c>
      <c r="G500" s="503">
        <v>533.50300000000004</v>
      </c>
      <c r="H500" s="505" t="s">
        <v>173</v>
      </c>
      <c r="I500" s="505" t="s">
        <v>4263</v>
      </c>
      <c r="J500" s="505" t="s">
        <v>96</v>
      </c>
      <c r="K500" s="505" t="s">
        <v>2102</v>
      </c>
      <c r="L500" s="505" t="s">
        <v>153</v>
      </c>
      <c r="M500" s="125"/>
      <c r="N500" s="125"/>
      <c r="O500" s="125"/>
    </row>
    <row r="501" spans="1:15" s="325" customFormat="1" ht="15">
      <c r="A501" s="515">
        <v>45979</v>
      </c>
      <c r="B501" s="505" t="s">
        <v>4955</v>
      </c>
      <c r="C501" s="505" t="s">
        <v>172</v>
      </c>
      <c r="D501" s="510" t="s">
        <v>119</v>
      </c>
      <c r="E501" s="550">
        <v>1000</v>
      </c>
      <c r="F501" s="502">
        <f t="shared" si="9"/>
        <v>1.8744037053212446</v>
      </c>
      <c r="G501" s="503">
        <v>533.50300000000004</v>
      </c>
      <c r="H501" s="505" t="s">
        <v>173</v>
      </c>
      <c r="I501" s="505" t="s">
        <v>4263</v>
      </c>
      <c r="J501" s="505" t="s">
        <v>96</v>
      </c>
      <c r="K501" s="505" t="s">
        <v>2102</v>
      </c>
      <c r="L501" s="505" t="s">
        <v>153</v>
      </c>
      <c r="M501" s="125"/>
      <c r="N501" s="125"/>
      <c r="O501" s="125"/>
    </row>
    <row r="502" spans="1:15" s="325" customFormat="1" ht="15">
      <c r="A502" s="515">
        <v>45979</v>
      </c>
      <c r="B502" s="505" t="s">
        <v>4955</v>
      </c>
      <c r="C502" s="505" t="s">
        <v>172</v>
      </c>
      <c r="D502" s="510" t="s">
        <v>119</v>
      </c>
      <c r="E502" s="550">
        <v>2500</v>
      </c>
      <c r="F502" s="502">
        <f t="shared" si="9"/>
        <v>4.6860092633031112</v>
      </c>
      <c r="G502" s="503">
        <v>533.50300000000004</v>
      </c>
      <c r="H502" s="505" t="s">
        <v>173</v>
      </c>
      <c r="I502" s="505" t="s">
        <v>4263</v>
      </c>
      <c r="J502" s="505" t="s">
        <v>96</v>
      </c>
      <c r="K502" s="505" t="s">
        <v>2102</v>
      </c>
      <c r="L502" s="505" t="s">
        <v>153</v>
      </c>
      <c r="M502" s="125"/>
      <c r="N502" s="125"/>
      <c r="O502" s="125"/>
    </row>
    <row r="503" spans="1:15" s="325" customFormat="1" ht="15">
      <c r="A503" s="515">
        <v>45979</v>
      </c>
      <c r="B503" s="505" t="s">
        <v>4955</v>
      </c>
      <c r="C503" s="505" t="s">
        <v>172</v>
      </c>
      <c r="D503" s="510" t="s">
        <v>119</v>
      </c>
      <c r="E503" s="550">
        <v>1000</v>
      </c>
      <c r="F503" s="502">
        <f t="shared" si="9"/>
        <v>1.8744037053212446</v>
      </c>
      <c r="G503" s="503">
        <v>533.50300000000004</v>
      </c>
      <c r="H503" s="505" t="s">
        <v>173</v>
      </c>
      <c r="I503" s="505" t="s">
        <v>4263</v>
      </c>
      <c r="J503" s="505" t="s">
        <v>96</v>
      </c>
      <c r="K503" s="505" t="s">
        <v>2102</v>
      </c>
      <c r="L503" s="505" t="s">
        <v>153</v>
      </c>
      <c r="M503" s="125"/>
      <c r="N503" s="125"/>
      <c r="O503" s="125"/>
    </row>
    <row r="504" spans="1:15" s="325" customFormat="1" ht="15">
      <c r="A504" s="515">
        <v>45979</v>
      </c>
      <c r="B504" s="505" t="s">
        <v>4756</v>
      </c>
      <c r="C504" s="505" t="s">
        <v>172</v>
      </c>
      <c r="D504" s="510" t="s">
        <v>119</v>
      </c>
      <c r="E504" s="550">
        <v>12000</v>
      </c>
      <c r="F504" s="502">
        <f t="shared" si="9"/>
        <v>22.492844463854933</v>
      </c>
      <c r="G504" s="503">
        <v>533.50300000000004</v>
      </c>
      <c r="H504" s="505" t="s">
        <v>173</v>
      </c>
      <c r="I504" s="505" t="s">
        <v>4277</v>
      </c>
      <c r="J504" s="505" t="s">
        <v>96</v>
      </c>
      <c r="K504" s="505" t="s">
        <v>2102</v>
      </c>
      <c r="L504" s="505" t="s">
        <v>153</v>
      </c>
      <c r="M504" s="125"/>
      <c r="N504" s="125"/>
      <c r="O504" s="125"/>
    </row>
    <row r="505" spans="1:15" s="325" customFormat="1" ht="15">
      <c r="A505" s="515">
        <v>45979</v>
      </c>
      <c r="B505" s="505" t="s">
        <v>4751</v>
      </c>
      <c r="C505" s="505" t="s">
        <v>4309</v>
      </c>
      <c r="D505" s="510" t="s">
        <v>119</v>
      </c>
      <c r="E505" s="635">
        <v>45000</v>
      </c>
      <c r="F505" s="502">
        <f t="shared" si="9"/>
        <v>84.348166739456005</v>
      </c>
      <c r="G505" s="503">
        <v>533.50300000000004</v>
      </c>
      <c r="H505" s="505" t="s">
        <v>321</v>
      </c>
      <c r="I505" s="505" t="s">
        <v>4324</v>
      </c>
      <c r="J505" s="505" t="s">
        <v>96</v>
      </c>
      <c r="K505" s="505" t="s">
        <v>2102</v>
      </c>
      <c r="L505" s="505" t="s">
        <v>153</v>
      </c>
      <c r="M505" s="327"/>
      <c r="N505" s="327"/>
      <c r="O505" s="327"/>
    </row>
    <row r="506" spans="1:15" s="325" customFormat="1" ht="15">
      <c r="A506" s="515">
        <v>45979</v>
      </c>
      <c r="B506" s="505" t="s">
        <v>4989</v>
      </c>
      <c r="C506" s="505" t="s">
        <v>172</v>
      </c>
      <c r="D506" s="510" t="s">
        <v>119</v>
      </c>
      <c r="E506" s="635">
        <v>500</v>
      </c>
      <c r="F506" s="502">
        <f t="shared" si="9"/>
        <v>0.93720185266062228</v>
      </c>
      <c r="G506" s="503">
        <v>533.50300000000004</v>
      </c>
      <c r="H506" s="505" t="s">
        <v>321</v>
      </c>
      <c r="I506" s="505" t="s">
        <v>4314</v>
      </c>
      <c r="J506" s="505" t="s">
        <v>96</v>
      </c>
      <c r="K506" s="505" t="s">
        <v>2102</v>
      </c>
      <c r="L506" s="505" t="s">
        <v>153</v>
      </c>
      <c r="M506" s="327"/>
      <c r="N506" s="327"/>
      <c r="O506" s="327"/>
    </row>
    <row r="507" spans="1:15" s="325" customFormat="1" ht="15">
      <c r="A507" s="515">
        <v>45979</v>
      </c>
      <c r="B507" s="505" t="s">
        <v>4752</v>
      </c>
      <c r="C507" s="505" t="s">
        <v>172</v>
      </c>
      <c r="D507" s="510" t="s">
        <v>119</v>
      </c>
      <c r="E507" s="635">
        <v>5000</v>
      </c>
      <c r="F507" s="502">
        <f t="shared" si="9"/>
        <v>9.3720185266062224</v>
      </c>
      <c r="G507" s="503">
        <v>533.50300000000004</v>
      </c>
      <c r="H507" s="505" t="s">
        <v>321</v>
      </c>
      <c r="I507" s="505" t="s">
        <v>4325</v>
      </c>
      <c r="J507" s="505" t="s">
        <v>96</v>
      </c>
      <c r="K507" s="505" t="s">
        <v>2102</v>
      </c>
      <c r="L507" s="505" t="s">
        <v>153</v>
      </c>
      <c r="M507" s="327"/>
      <c r="N507" s="125"/>
      <c r="O507" s="125"/>
    </row>
    <row r="508" spans="1:15" s="325" customFormat="1" ht="15">
      <c r="A508" s="515">
        <v>45979</v>
      </c>
      <c r="B508" s="505" t="s">
        <v>4876</v>
      </c>
      <c r="C508" s="505" t="s">
        <v>172</v>
      </c>
      <c r="D508" s="510" t="s">
        <v>119</v>
      </c>
      <c r="E508" s="635">
        <v>500</v>
      </c>
      <c r="F508" s="502">
        <f t="shared" si="9"/>
        <v>0.93720185266062228</v>
      </c>
      <c r="G508" s="503">
        <v>533.50300000000004</v>
      </c>
      <c r="H508" s="505" t="s">
        <v>321</v>
      </c>
      <c r="I508" s="505" t="s">
        <v>4314</v>
      </c>
      <c r="J508" s="505" t="s">
        <v>96</v>
      </c>
      <c r="K508" s="505" t="s">
        <v>2102</v>
      </c>
      <c r="L508" s="505" t="s">
        <v>153</v>
      </c>
      <c r="M508" s="327"/>
      <c r="N508" s="125"/>
      <c r="O508" s="125"/>
    </row>
    <row r="509" spans="1:15" s="325" customFormat="1" ht="15">
      <c r="A509" s="515">
        <v>45979</v>
      </c>
      <c r="B509" s="505" t="s">
        <v>4876</v>
      </c>
      <c r="C509" s="505" t="s">
        <v>172</v>
      </c>
      <c r="D509" s="510" t="s">
        <v>119</v>
      </c>
      <c r="E509" s="635">
        <v>500</v>
      </c>
      <c r="F509" s="502">
        <f t="shared" si="9"/>
        <v>0.93720185266062228</v>
      </c>
      <c r="G509" s="503">
        <v>533.50300000000004</v>
      </c>
      <c r="H509" s="505" t="s">
        <v>321</v>
      </c>
      <c r="I509" s="505" t="s">
        <v>4314</v>
      </c>
      <c r="J509" s="505" t="s">
        <v>96</v>
      </c>
      <c r="K509" s="505" t="s">
        <v>2102</v>
      </c>
      <c r="L509" s="505" t="s">
        <v>153</v>
      </c>
      <c r="M509" s="327"/>
      <c r="N509" s="125"/>
      <c r="O509" s="125"/>
    </row>
    <row r="510" spans="1:15" s="325" customFormat="1" ht="15">
      <c r="A510" s="515">
        <v>45979</v>
      </c>
      <c r="B510" s="505" t="s">
        <v>4876</v>
      </c>
      <c r="C510" s="505" t="s">
        <v>172</v>
      </c>
      <c r="D510" s="510" t="s">
        <v>119</v>
      </c>
      <c r="E510" s="635">
        <v>500</v>
      </c>
      <c r="F510" s="502">
        <f t="shared" si="9"/>
        <v>0.93720185266062228</v>
      </c>
      <c r="G510" s="503">
        <v>533.50300000000004</v>
      </c>
      <c r="H510" s="505" t="s">
        <v>321</v>
      </c>
      <c r="I510" s="505" t="s">
        <v>4314</v>
      </c>
      <c r="J510" s="505" t="s">
        <v>96</v>
      </c>
      <c r="K510" s="505" t="s">
        <v>2102</v>
      </c>
      <c r="L510" s="505" t="s">
        <v>153</v>
      </c>
      <c r="M510" s="125"/>
      <c r="N510" s="125"/>
      <c r="O510" s="125"/>
    </row>
    <row r="511" spans="1:15" s="325" customFormat="1" ht="15">
      <c r="A511" s="515">
        <v>45979</v>
      </c>
      <c r="B511" s="505" t="s">
        <v>4310</v>
      </c>
      <c r="C511" s="505" t="s">
        <v>366</v>
      </c>
      <c r="D511" s="510" t="s">
        <v>119</v>
      </c>
      <c r="E511" s="635">
        <v>1500</v>
      </c>
      <c r="F511" s="502">
        <f t="shared" si="9"/>
        <v>2.7602044759475781</v>
      </c>
      <c r="G511" s="503">
        <v>543.43799999999999</v>
      </c>
      <c r="H511" s="505" t="s">
        <v>321</v>
      </c>
      <c r="I511" s="505" t="s">
        <v>4321</v>
      </c>
      <c r="J511" s="505" t="s">
        <v>96</v>
      </c>
      <c r="K511" s="505" t="s">
        <v>4104</v>
      </c>
      <c r="L511" s="505" t="s">
        <v>153</v>
      </c>
      <c r="M511" s="125"/>
      <c r="N511" s="125"/>
      <c r="O511" s="125"/>
    </row>
    <row r="512" spans="1:15" s="325" customFormat="1" ht="15">
      <c r="A512" s="515">
        <v>45979</v>
      </c>
      <c r="B512" s="505" t="s">
        <v>4876</v>
      </c>
      <c r="C512" s="505" t="s">
        <v>172</v>
      </c>
      <c r="D512" s="510" t="s">
        <v>119</v>
      </c>
      <c r="E512" s="635">
        <v>500</v>
      </c>
      <c r="F512" s="502">
        <f t="shared" si="9"/>
        <v>0.93720185266062228</v>
      </c>
      <c r="G512" s="503">
        <v>533.50300000000004</v>
      </c>
      <c r="H512" s="505" t="s">
        <v>321</v>
      </c>
      <c r="I512" s="505" t="s">
        <v>4314</v>
      </c>
      <c r="J512" s="505" t="s">
        <v>96</v>
      </c>
      <c r="K512" s="505" t="s">
        <v>2102</v>
      </c>
      <c r="L512" s="505" t="s">
        <v>153</v>
      </c>
      <c r="M512" s="125"/>
      <c r="N512" s="125"/>
      <c r="O512" s="125"/>
    </row>
    <row r="513" spans="1:15" s="325" customFormat="1" ht="15">
      <c r="A513" s="515">
        <v>45979</v>
      </c>
      <c r="B513" s="505" t="s">
        <v>3007</v>
      </c>
      <c r="C513" s="505" t="s">
        <v>170</v>
      </c>
      <c r="D513" s="505" t="s">
        <v>116</v>
      </c>
      <c r="E513" s="553">
        <v>31250</v>
      </c>
      <c r="F513" s="502">
        <f t="shared" si="9"/>
        <v>58.575115791288894</v>
      </c>
      <c r="G513" s="503">
        <v>533.50300000000004</v>
      </c>
      <c r="H513" s="505" t="s">
        <v>188</v>
      </c>
      <c r="I513" s="505" t="s">
        <v>4375</v>
      </c>
      <c r="J513" s="505" t="s">
        <v>96</v>
      </c>
      <c r="K513" s="505" t="s">
        <v>2102</v>
      </c>
      <c r="L513" s="505" t="s">
        <v>153</v>
      </c>
      <c r="M513" s="327"/>
      <c r="N513" s="327"/>
      <c r="O513" s="327"/>
    </row>
    <row r="514" spans="1:15" s="325" customFormat="1" ht="15">
      <c r="A514" s="515">
        <v>45979</v>
      </c>
      <c r="B514" s="505" t="s">
        <v>3004</v>
      </c>
      <c r="C514" s="505" t="s">
        <v>172</v>
      </c>
      <c r="D514" s="505" t="s">
        <v>115</v>
      </c>
      <c r="E514" s="553">
        <v>2000</v>
      </c>
      <c r="F514" s="502">
        <f t="shared" si="9"/>
        <v>3.7488074106424891</v>
      </c>
      <c r="G514" s="503">
        <v>533.50300000000004</v>
      </c>
      <c r="H514" s="505" t="s">
        <v>188</v>
      </c>
      <c r="I514" s="505" t="s">
        <v>4359</v>
      </c>
      <c r="J514" s="505" t="s">
        <v>96</v>
      </c>
      <c r="K514" s="505" t="s">
        <v>2102</v>
      </c>
      <c r="L514" s="505" t="s">
        <v>153</v>
      </c>
      <c r="M514" s="327"/>
      <c r="N514" s="125"/>
      <c r="O514" s="125"/>
    </row>
    <row r="515" spans="1:15" s="325" customFormat="1" ht="15">
      <c r="A515" s="515">
        <v>45979</v>
      </c>
      <c r="B515" s="505" t="s">
        <v>2998</v>
      </c>
      <c r="C515" s="505" t="s">
        <v>172</v>
      </c>
      <c r="D515" s="505" t="s">
        <v>115</v>
      </c>
      <c r="E515" s="553">
        <v>2000</v>
      </c>
      <c r="F515" s="502">
        <f t="shared" si="9"/>
        <v>3.7488074106424891</v>
      </c>
      <c r="G515" s="503">
        <v>533.50300000000004</v>
      </c>
      <c r="H515" s="505" t="s">
        <v>188</v>
      </c>
      <c r="I515" s="505" t="s">
        <v>4359</v>
      </c>
      <c r="J515" s="505" t="s">
        <v>96</v>
      </c>
      <c r="K515" s="505" t="s">
        <v>2102</v>
      </c>
      <c r="L515" s="505" t="s">
        <v>153</v>
      </c>
      <c r="M515" s="327"/>
      <c r="N515" s="125"/>
      <c r="O515" s="125"/>
    </row>
    <row r="516" spans="1:15" s="325" customFormat="1" ht="15">
      <c r="A516" s="531">
        <v>45979</v>
      </c>
      <c r="B516" s="514" t="s">
        <v>3854</v>
      </c>
      <c r="C516" s="514" t="s">
        <v>172</v>
      </c>
      <c r="D516" s="514" t="s">
        <v>118</v>
      </c>
      <c r="E516" s="553">
        <v>1000</v>
      </c>
      <c r="F516" s="502">
        <f t="shared" si="9"/>
        <v>1.8744037053212446</v>
      </c>
      <c r="G516" s="503">
        <v>533.50300000000004</v>
      </c>
      <c r="H516" s="514" t="s">
        <v>211</v>
      </c>
      <c r="I516" s="514" t="s">
        <v>4559</v>
      </c>
      <c r="J516" s="505" t="s">
        <v>96</v>
      </c>
      <c r="K516" s="505" t="s">
        <v>2102</v>
      </c>
      <c r="L516" s="505" t="s">
        <v>153</v>
      </c>
      <c r="M516" s="327"/>
      <c r="N516" s="327"/>
      <c r="O516" s="327"/>
    </row>
    <row r="517" spans="1:15" s="325" customFormat="1" ht="15">
      <c r="A517" s="531">
        <v>45979</v>
      </c>
      <c r="B517" s="514" t="s">
        <v>4531</v>
      </c>
      <c r="C517" s="514" t="s">
        <v>172</v>
      </c>
      <c r="D517" s="514" t="s">
        <v>118</v>
      </c>
      <c r="E517" s="553">
        <v>1000</v>
      </c>
      <c r="F517" s="502">
        <f t="shared" si="9"/>
        <v>1.8744037053212446</v>
      </c>
      <c r="G517" s="503">
        <v>533.50300000000004</v>
      </c>
      <c r="H517" s="514" t="s">
        <v>211</v>
      </c>
      <c r="I517" s="514" t="s">
        <v>4559</v>
      </c>
      <c r="J517" s="505" t="s">
        <v>96</v>
      </c>
      <c r="K517" s="505" t="s">
        <v>2102</v>
      </c>
      <c r="L517" s="505" t="s">
        <v>153</v>
      </c>
      <c r="M517" s="327"/>
      <c r="N517" s="327"/>
      <c r="O517" s="327"/>
    </row>
    <row r="518" spans="1:15" s="325" customFormat="1" ht="15">
      <c r="A518" s="531">
        <v>45979</v>
      </c>
      <c r="B518" s="514" t="s">
        <v>4532</v>
      </c>
      <c r="C518" s="514" t="s">
        <v>172</v>
      </c>
      <c r="D518" s="514" t="s">
        <v>118</v>
      </c>
      <c r="E518" s="518">
        <v>1000</v>
      </c>
      <c r="F518" s="502">
        <f t="shared" si="9"/>
        <v>1.8744037053212446</v>
      </c>
      <c r="G518" s="503">
        <v>533.50300000000004</v>
      </c>
      <c r="H518" s="514" t="s">
        <v>211</v>
      </c>
      <c r="I518" s="514" t="s">
        <v>4559</v>
      </c>
      <c r="J518" s="505" t="s">
        <v>96</v>
      </c>
      <c r="K518" s="505" t="s">
        <v>2102</v>
      </c>
      <c r="L518" s="505" t="s">
        <v>153</v>
      </c>
      <c r="M518" s="327"/>
      <c r="N518" s="327"/>
      <c r="O518" s="327"/>
    </row>
    <row r="519" spans="1:15" s="325" customFormat="1" ht="15">
      <c r="A519" s="531">
        <v>45979</v>
      </c>
      <c r="B519" s="514" t="s">
        <v>4533</v>
      </c>
      <c r="C519" s="514" t="s">
        <v>172</v>
      </c>
      <c r="D519" s="514" t="s">
        <v>118</v>
      </c>
      <c r="E519" s="553">
        <v>1000</v>
      </c>
      <c r="F519" s="502">
        <f t="shared" si="9"/>
        <v>1.8744037053212446</v>
      </c>
      <c r="G519" s="503">
        <v>533.50300000000004</v>
      </c>
      <c r="H519" s="514" t="s">
        <v>211</v>
      </c>
      <c r="I519" s="514" t="s">
        <v>4559</v>
      </c>
      <c r="J519" s="505" t="s">
        <v>96</v>
      </c>
      <c r="K519" s="505" t="s">
        <v>2102</v>
      </c>
      <c r="L519" s="505" t="s">
        <v>153</v>
      </c>
      <c r="M519" s="327"/>
      <c r="N519" s="125"/>
      <c r="O519" s="125"/>
    </row>
    <row r="520" spans="1:15" s="325" customFormat="1" ht="15">
      <c r="A520" s="515">
        <v>45979</v>
      </c>
      <c r="B520" s="505" t="s">
        <v>2368</v>
      </c>
      <c r="C520" s="505" t="s">
        <v>170</v>
      </c>
      <c r="D520" s="505" t="s">
        <v>116</v>
      </c>
      <c r="E520" s="553">
        <v>25000</v>
      </c>
      <c r="F520" s="502">
        <f t="shared" si="9"/>
        <v>46.860092633031115</v>
      </c>
      <c r="G520" s="503">
        <v>533.50300000000004</v>
      </c>
      <c r="H520" s="505" t="s">
        <v>185</v>
      </c>
      <c r="I520" s="505" t="s">
        <v>4641</v>
      </c>
      <c r="J520" s="505" t="s">
        <v>96</v>
      </c>
      <c r="K520" s="505" t="s">
        <v>2102</v>
      </c>
      <c r="L520" s="505" t="s">
        <v>153</v>
      </c>
      <c r="M520" s="327"/>
      <c r="N520" s="327"/>
      <c r="O520" s="327"/>
    </row>
    <row r="521" spans="1:15" s="325" customFormat="1" ht="15">
      <c r="A521" s="515">
        <v>45979</v>
      </c>
      <c r="B521" s="505" t="s">
        <v>4607</v>
      </c>
      <c r="C521" s="505" t="s">
        <v>172</v>
      </c>
      <c r="D521" s="505" t="s">
        <v>115</v>
      </c>
      <c r="E521" s="635">
        <v>20000</v>
      </c>
      <c r="F521" s="502">
        <f t="shared" si="9"/>
        <v>37.488074106424889</v>
      </c>
      <c r="G521" s="503">
        <v>533.50300000000004</v>
      </c>
      <c r="H521" s="505" t="s">
        <v>185</v>
      </c>
      <c r="I521" s="505" t="s">
        <v>4642</v>
      </c>
      <c r="J521" s="505" t="s">
        <v>96</v>
      </c>
      <c r="K521" s="505" t="s">
        <v>2102</v>
      </c>
      <c r="L521" s="505" t="s">
        <v>153</v>
      </c>
      <c r="M521" s="327"/>
      <c r="N521" s="327"/>
      <c r="O521" s="327"/>
    </row>
    <row r="522" spans="1:15" s="325" customFormat="1" ht="15">
      <c r="A522" s="515">
        <v>45979</v>
      </c>
      <c r="B522" s="505" t="s">
        <v>4608</v>
      </c>
      <c r="C522" s="505" t="s">
        <v>175</v>
      </c>
      <c r="D522" s="505" t="s">
        <v>115</v>
      </c>
      <c r="E522" s="553">
        <v>50000</v>
      </c>
      <c r="F522" s="502">
        <f t="shared" si="9"/>
        <v>93.720185266062231</v>
      </c>
      <c r="G522" s="503">
        <v>533.50300000000004</v>
      </c>
      <c r="H522" s="505" t="s">
        <v>185</v>
      </c>
      <c r="I522" s="505" t="s">
        <v>4643</v>
      </c>
      <c r="J522" s="505" t="s">
        <v>96</v>
      </c>
      <c r="K522" s="505" t="s">
        <v>2102</v>
      </c>
      <c r="L522" s="505" t="s">
        <v>153</v>
      </c>
      <c r="M522" s="327"/>
      <c r="N522" s="327"/>
      <c r="O522" s="327"/>
    </row>
    <row r="523" spans="1:15" s="325" customFormat="1" ht="15">
      <c r="A523" s="515">
        <v>45979</v>
      </c>
      <c r="B523" s="505" t="s">
        <v>3945</v>
      </c>
      <c r="C523" s="505" t="s">
        <v>172</v>
      </c>
      <c r="D523" s="505" t="s">
        <v>115</v>
      </c>
      <c r="E523" s="505">
        <v>1000</v>
      </c>
      <c r="F523" s="502">
        <f t="shared" si="9"/>
        <v>1.8744037053212446</v>
      </c>
      <c r="G523" s="503">
        <v>533.50300000000004</v>
      </c>
      <c r="H523" s="505" t="s">
        <v>185</v>
      </c>
      <c r="I523" s="505" t="s">
        <v>4631</v>
      </c>
      <c r="J523" s="505" t="s">
        <v>96</v>
      </c>
      <c r="K523" s="505" t="s">
        <v>2102</v>
      </c>
      <c r="L523" s="505" t="s">
        <v>153</v>
      </c>
      <c r="M523" s="327"/>
      <c r="N523" s="327"/>
      <c r="O523" s="327"/>
    </row>
    <row r="524" spans="1:15" s="325" customFormat="1" ht="15">
      <c r="A524" s="515">
        <v>45979</v>
      </c>
      <c r="B524" s="505" t="s">
        <v>4609</v>
      </c>
      <c r="C524" s="505" t="s">
        <v>172</v>
      </c>
      <c r="D524" s="505" t="s">
        <v>115</v>
      </c>
      <c r="E524" s="545">
        <v>7000</v>
      </c>
      <c r="F524" s="502">
        <f t="shared" si="9"/>
        <v>13.120825937248712</v>
      </c>
      <c r="G524" s="503">
        <v>533.50300000000004</v>
      </c>
      <c r="H524" s="505" t="s">
        <v>185</v>
      </c>
      <c r="I524" s="505" t="s">
        <v>4645</v>
      </c>
      <c r="J524" s="505" t="s">
        <v>96</v>
      </c>
      <c r="K524" s="505" t="s">
        <v>2102</v>
      </c>
      <c r="L524" s="505" t="s">
        <v>153</v>
      </c>
      <c r="M524" s="327"/>
      <c r="N524" s="327"/>
      <c r="O524" s="327"/>
    </row>
    <row r="525" spans="1:15" s="325" customFormat="1" ht="15">
      <c r="A525" s="515">
        <v>45979</v>
      </c>
      <c r="B525" s="505" t="s">
        <v>4592</v>
      </c>
      <c r="C525" s="505" t="s">
        <v>172</v>
      </c>
      <c r="D525" s="505" t="s">
        <v>115</v>
      </c>
      <c r="E525" s="505">
        <v>1000</v>
      </c>
      <c r="F525" s="502">
        <f t="shared" si="9"/>
        <v>1.8744037053212446</v>
      </c>
      <c r="G525" s="503">
        <v>533.50300000000004</v>
      </c>
      <c r="H525" s="505" t="s">
        <v>185</v>
      </c>
      <c r="I525" s="505" t="s">
        <v>4631</v>
      </c>
      <c r="J525" s="505" t="s">
        <v>96</v>
      </c>
      <c r="K525" s="505" t="s">
        <v>2102</v>
      </c>
      <c r="L525" s="505" t="s">
        <v>153</v>
      </c>
      <c r="M525" s="449"/>
      <c r="N525" s="449"/>
      <c r="O525" s="449"/>
    </row>
    <row r="526" spans="1:15" s="325" customFormat="1" ht="15">
      <c r="A526" s="515">
        <v>45979</v>
      </c>
      <c r="B526" s="505" t="s">
        <v>4610</v>
      </c>
      <c r="C526" s="505" t="s">
        <v>172</v>
      </c>
      <c r="D526" s="505" t="s">
        <v>115</v>
      </c>
      <c r="E526" s="636">
        <v>1000</v>
      </c>
      <c r="F526" s="502">
        <f t="shared" si="9"/>
        <v>1.8744037053212446</v>
      </c>
      <c r="G526" s="503">
        <v>533.50300000000004</v>
      </c>
      <c r="H526" s="505" t="s">
        <v>185</v>
      </c>
      <c r="I526" s="505" t="s">
        <v>4631</v>
      </c>
      <c r="J526" s="505" t="s">
        <v>96</v>
      </c>
      <c r="K526" s="505" t="s">
        <v>2102</v>
      </c>
      <c r="L526" s="505" t="s">
        <v>153</v>
      </c>
      <c r="M526" s="449"/>
      <c r="N526" s="449"/>
      <c r="O526" s="449"/>
    </row>
    <row r="527" spans="1:15" s="325" customFormat="1" ht="15">
      <c r="A527" s="515">
        <v>45979</v>
      </c>
      <c r="B527" s="505" t="s">
        <v>4611</v>
      </c>
      <c r="C527" s="505" t="s">
        <v>172</v>
      </c>
      <c r="D527" s="505" t="s">
        <v>115</v>
      </c>
      <c r="E527" s="550">
        <v>1000</v>
      </c>
      <c r="F527" s="502">
        <f t="shared" si="9"/>
        <v>1.8744037053212446</v>
      </c>
      <c r="G527" s="503">
        <v>533.50300000000004</v>
      </c>
      <c r="H527" s="505" t="s">
        <v>185</v>
      </c>
      <c r="I527" s="505" t="s">
        <v>4631</v>
      </c>
      <c r="J527" s="505" t="s">
        <v>96</v>
      </c>
      <c r="K527" s="505" t="s">
        <v>2102</v>
      </c>
      <c r="L527" s="505" t="s">
        <v>153</v>
      </c>
      <c r="M527" s="449"/>
      <c r="N527" s="449"/>
      <c r="O527" s="449"/>
    </row>
    <row r="528" spans="1:15" s="325" customFormat="1" ht="15">
      <c r="A528" s="629">
        <v>45980</v>
      </c>
      <c r="B528" s="298" t="s">
        <v>2103</v>
      </c>
      <c r="C528" s="298" t="s">
        <v>172</v>
      </c>
      <c r="D528" s="506" t="s">
        <v>117</v>
      </c>
      <c r="E528" s="632">
        <v>1000</v>
      </c>
      <c r="F528" s="502">
        <f t="shared" si="9"/>
        <v>1.8744037053212446</v>
      </c>
      <c r="G528" s="503">
        <v>533.50300000000004</v>
      </c>
      <c r="H528" s="631" t="s">
        <v>151</v>
      </c>
      <c r="I528" s="298" t="s">
        <v>4133</v>
      </c>
      <c r="J528" s="505" t="s">
        <v>96</v>
      </c>
      <c r="K528" s="505" t="s">
        <v>2102</v>
      </c>
      <c r="L528" s="505" t="s">
        <v>153</v>
      </c>
      <c r="M528" s="371"/>
      <c r="N528" s="371"/>
      <c r="O528" s="371"/>
    </row>
    <row r="529" spans="1:15" s="325" customFormat="1" ht="15">
      <c r="A529" s="629">
        <v>45980</v>
      </c>
      <c r="B529" s="298" t="s">
        <v>2819</v>
      </c>
      <c r="C529" s="298" t="s">
        <v>172</v>
      </c>
      <c r="D529" s="506" t="s">
        <v>117</v>
      </c>
      <c r="E529" s="630">
        <v>1000</v>
      </c>
      <c r="F529" s="502">
        <f t="shared" si="9"/>
        <v>1.8744037053212446</v>
      </c>
      <c r="G529" s="503">
        <v>533.50300000000004</v>
      </c>
      <c r="H529" s="631" t="s">
        <v>151</v>
      </c>
      <c r="I529" s="298" t="s">
        <v>4133</v>
      </c>
      <c r="J529" s="505" t="s">
        <v>96</v>
      </c>
      <c r="K529" s="505" t="s">
        <v>2102</v>
      </c>
      <c r="L529" s="505" t="s">
        <v>153</v>
      </c>
      <c r="M529" s="371"/>
      <c r="N529" s="371"/>
      <c r="O529" s="371"/>
    </row>
    <row r="530" spans="1:15" s="325" customFormat="1" ht="15">
      <c r="A530" s="515">
        <v>45980</v>
      </c>
      <c r="B530" s="505" t="s">
        <v>4203</v>
      </c>
      <c r="C530" s="505" t="s">
        <v>180</v>
      </c>
      <c r="D530" s="505" t="s">
        <v>116</v>
      </c>
      <c r="E530" s="518">
        <v>6440</v>
      </c>
      <c r="F530" s="502">
        <f t="shared" si="9"/>
        <v>12.071159862268814</v>
      </c>
      <c r="G530" s="503">
        <v>533.50300000000004</v>
      </c>
      <c r="H530" s="505" t="s">
        <v>581</v>
      </c>
      <c r="I530" s="505" t="s">
        <v>4223</v>
      </c>
      <c r="J530" s="505" t="s">
        <v>96</v>
      </c>
      <c r="K530" s="505" t="s">
        <v>2102</v>
      </c>
      <c r="L530" s="505" t="s">
        <v>153</v>
      </c>
      <c r="M530" s="371"/>
      <c r="N530" s="371"/>
      <c r="O530" s="371"/>
    </row>
    <row r="531" spans="1:15" s="325" customFormat="1" ht="15">
      <c r="A531" s="517">
        <v>45980</v>
      </c>
      <c r="B531" s="505" t="s">
        <v>4204</v>
      </c>
      <c r="C531" s="505" t="s">
        <v>172</v>
      </c>
      <c r="D531" s="505" t="s">
        <v>116</v>
      </c>
      <c r="E531" s="518">
        <v>1000</v>
      </c>
      <c r="F531" s="502">
        <f t="shared" si="9"/>
        <v>1.8744037053212446</v>
      </c>
      <c r="G531" s="503">
        <v>533.50300000000004</v>
      </c>
      <c r="H531" s="505" t="s">
        <v>581</v>
      </c>
      <c r="I531" s="505" t="s">
        <v>4213</v>
      </c>
      <c r="J531" s="505" t="s">
        <v>96</v>
      </c>
      <c r="K531" s="505" t="s">
        <v>2102</v>
      </c>
      <c r="L531" s="505" t="s">
        <v>153</v>
      </c>
      <c r="M531" s="371"/>
      <c r="N531" s="371"/>
      <c r="O531" s="371"/>
    </row>
    <row r="532" spans="1:15" s="325" customFormat="1" ht="15">
      <c r="A532" s="517">
        <v>45980</v>
      </c>
      <c r="B532" s="505" t="s">
        <v>3398</v>
      </c>
      <c r="C532" s="505" t="s">
        <v>172</v>
      </c>
      <c r="D532" s="505" t="s">
        <v>116</v>
      </c>
      <c r="E532" s="518">
        <v>1000</v>
      </c>
      <c r="F532" s="502">
        <f t="shared" si="9"/>
        <v>1.8744037053212446</v>
      </c>
      <c r="G532" s="503">
        <v>533.50300000000004</v>
      </c>
      <c r="H532" s="505" t="s">
        <v>581</v>
      </c>
      <c r="I532" s="505" t="s">
        <v>4213</v>
      </c>
      <c r="J532" s="505" t="s">
        <v>96</v>
      </c>
      <c r="K532" s="505" t="s">
        <v>2102</v>
      </c>
      <c r="L532" s="505" t="s">
        <v>153</v>
      </c>
      <c r="M532" s="371"/>
      <c r="N532" s="371"/>
      <c r="O532" s="371"/>
    </row>
    <row r="533" spans="1:15" s="325" customFormat="1" ht="15">
      <c r="A533" s="523">
        <v>45980</v>
      </c>
      <c r="B533" s="510" t="s">
        <v>4917</v>
      </c>
      <c r="C533" s="510" t="s">
        <v>172</v>
      </c>
      <c r="D533" s="510" t="s">
        <v>119</v>
      </c>
      <c r="E533" s="510">
        <v>1500</v>
      </c>
      <c r="F533" s="502">
        <f t="shared" si="9"/>
        <v>2.8116055579818666</v>
      </c>
      <c r="G533" s="503">
        <v>533.50300000000004</v>
      </c>
      <c r="H533" s="510" t="s">
        <v>182</v>
      </c>
      <c r="I533" s="510" t="s">
        <v>4237</v>
      </c>
      <c r="J533" s="505" t="s">
        <v>96</v>
      </c>
      <c r="K533" s="505" t="s">
        <v>2102</v>
      </c>
      <c r="L533" s="505" t="s">
        <v>153</v>
      </c>
      <c r="M533" s="371"/>
      <c r="N533" s="371"/>
      <c r="O533" s="371"/>
    </row>
    <row r="534" spans="1:15" s="325" customFormat="1" ht="15">
      <c r="A534" s="523">
        <v>45980</v>
      </c>
      <c r="B534" s="510" t="s">
        <v>4917</v>
      </c>
      <c r="C534" s="510" t="s">
        <v>172</v>
      </c>
      <c r="D534" s="510" t="s">
        <v>119</v>
      </c>
      <c r="E534" s="510">
        <v>1000</v>
      </c>
      <c r="F534" s="502">
        <f t="shared" si="9"/>
        <v>1.8744037053212446</v>
      </c>
      <c r="G534" s="503">
        <v>533.50300000000004</v>
      </c>
      <c r="H534" s="510" t="s">
        <v>182</v>
      </c>
      <c r="I534" s="510" t="s">
        <v>4237</v>
      </c>
      <c r="J534" s="505" t="s">
        <v>96</v>
      </c>
      <c r="K534" s="505" t="s">
        <v>2102</v>
      </c>
      <c r="L534" s="505" t="s">
        <v>153</v>
      </c>
      <c r="M534" s="371"/>
      <c r="N534" s="371"/>
      <c r="O534" s="371"/>
    </row>
    <row r="535" spans="1:15" s="325" customFormat="1" ht="15">
      <c r="A535" s="523">
        <v>45980</v>
      </c>
      <c r="B535" s="510" t="s">
        <v>4912</v>
      </c>
      <c r="C535" s="510" t="s">
        <v>172</v>
      </c>
      <c r="D535" s="510" t="s">
        <v>119</v>
      </c>
      <c r="E535" s="510">
        <v>1000</v>
      </c>
      <c r="F535" s="502">
        <f t="shared" si="9"/>
        <v>1.8744037053212446</v>
      </c>
      <c r="G535" s="503">
        <v>533.50300000000004</v>
      </c>
      <c r="H535" s="510" t="s">
        <v>182</v>
      </c>
      <c r="I535" s="510" t="s">
        <v>4237</v>
      </c>
      <c r="J535" s="505" t="s">
        <v>96</v>
      </c>
      <c r="K535" s="505" t="s">
        <v>2102</v>
      </c>
      <c r="L535" s="505" t="s">
        <v>153</v>
      </c>
      <c r="M535" s="371"/>
      <c r="N535" s="371"/>
      <c r="O535" s="371"/>
    </row>
    <row r="536" spans="1:15" s="325" customFormat="1" ht="15">
      <c r="A536" s="523">
        <v>45980</v>
      </c>
      <c r="B536" s="510" t="s">
        <v>4912</v>
      </c>
      <c r="C536" s="510" t="s">
        <v>172</v>
      </c>
      <c r="D536" s="510" t="s">
        <v>119</v>
      </c>
      <c r="E536" s="510">
        <v>1000</v>
      </c>
      <c r="F536" s="502">
        <f t="shared" si="9"/>
        <v>1.8744037053212446</v>
      </c>
      <c r="G536" s="503">
        <v>533.50300000000004</v>
      </c>
      <c r="H536" s="510" t="s">
        <v>182</v>
      </c>
      <c r="I536" s="510" t="s">
        <v>4237</v>
      </c>
      <c r="J536" s="505" t="s">
        <v>96</v>
      </c>
      <c r="K536" s="505" t="s">
        <v>2102</v>
      </c>
      <c r="L536" s="505" t="s">
        <v>153</v>
      </c>
      <c r="M536" s="371"/>
      <c r="N536" s="371"/>
      <c r="O536" s="371"/>
    </row>
    <row r="537" spans="1:15" s="325" customFormat="1" ht="15">
      <c r="A537" s="515">
        <v>45980</v>
      </c>
      <c r="B537" s="505" t="s">
        <v>4876</v>
      </c>
      <c r="C537" s="505" t="s">
        <v>172</v>
      </c>
      <c r="D537" s="510" t="s">
        <v>119</v>
      </c>
      <c r="E537" s="505">
        <v>1000</v>
      </c>
      <c r="F537" s="502">
        <f t="shared" si="9"/>
        <v>1.8744037053212446</v>
      </c>
      <c r="G537" s="503">
        <v>533.50300000000004</v>
      </c>
      <c r="H537" s="505" t="s">
        <v>315</v>
      </c>
      <c r="I537" s="505" t="s">
        <v>4288</v>
      </c>
      <c r="J537" s="505" t="s">
        <v>96</v>
      </c>
      <c r="K537" s="505" t="s">
        <v>2102</v>
      </c>
      <c r="L537" s="505" t="s">
        <v>153</v>
      </c>
      <c r="M537" s="371"/>
      <c r="N537" s="371"/>
      <c r="O537" s="371"/>
    </row>
    <row r="538" spans="1:15" s="325" customFormat="1" ht="15">
      <c r="A538" s="515">
        <v>45980</v>
      </c>
      <c r="B538" s="505" t="s">
        <v>4284</v>
      </c>
      <c r="C538" s="505" t="s">
        <v>363</v>
      </c>
      <c r="D538" s="510" t="s">
        <v>119</v>
      </c>
      <c r="E538" s="505">
        <v>2000</v>
      </c>
      <c r="F538" s="502">
        <f t="shared" si="9"/>
        <v>3.6802726345967711</v>
      </c>
      <c r="G538" s="503">
        <v>543.43799999999999</v>
      </c>
      <c r="H538" s="505" t="s">
        <v>315</v>
      </c>
      <c r="I538" s="505" t="s">
        <v>4291</v>
      </c>
      <c r="J538" s="505" t="s">
        <v>96</v>
      </c>
      <c r="K538" s="505" t="s">
        <v>4104</v>
      </c>
      <c r="L538" s="505" t="s">
        <v>153</v>
      </c>
      <c r="M538" s="371"/>
      <c r="N538" s="371"/>
      <c r="O538" s="371"/>
    </row>
    <row r="539" spans="1:15" s="325" customFormat="1" ht="15">
      <c r="A539" s="515">
        <v>45980</v>
      </c>
      <c r="B539" s="505" t="s">
        <v>4876</v>
      </c>
      <c r="C539" s="505" t="s">
        <v>172</v>
      </c>
      <c r="D539" s="510" t="s">
        <v>119</v>
      </c>
      <c r="E539" s="505">
        <v>1500</v>
      </c>
      <c r="F539" s="502">
        <f t="shared" si="9"/>
        <v>2.8116055579818666</v>
      </c>
      <c r="G539" s="503">
        <v>533.50300000000004</v>
      </c>
      <c r="H539" s="505" t="s">
        <v>315</v>
      </c>
      <c r="I539" s="505" t="s">
        <v>4288</v>
      </c>
      <c r="J539" s="505" t="s">
        <v>96</v>
      </c>
      <c r="K539" s="505" t="s">
        <v>2102</v>
      </c>
      <c r="L539" s="505" t="s">
        <v>153</v>
      </c>
      <c r="M539" s="371"/>
      <c r="N539" s="371"/>
      <c r="O539" s="371"/>
    </row>
    <row r="540" spans="1:15" s="325" customFormat="1" ht="15">
      <c r="A540" s="515">
        <v>45980</v>
      </c>
      <c r="B540" s="505" t="s">
        <v>4876</v>
      </c>
      <c r="C540" s="505" t="s">
        <v>172</v>
      </c>
      <c r="D540" s="510" t="s">
        <v>119</v>
      </c>
      <c r="E540" s="505">
        <v>1500</v>
      </c>
      <c r="F540" s="502">
        <f t="shared" si="9"/>
        <v>2.8116055579818666</v>
      </c>
      <c r="G540" s="503">
        <v>533.50300000000004</v>
      </c>
      <c r="H540" s="505" t="s">
        <v>315</v>
      </c>
      <c r="I540" s="505" t="s">
        <v>4288</v>
      </c>
      <c r="J540" s="505" t="s">
        <v>96</v>
      </c>
      <c r="K540" s="505" t="s">
        <v>2102</v>
      </c>
      <c r="L540" s="505" t="s">
        <v>153</v>
      </c>
      <c r="M540" s="371"/>
      <c r="N540" s="371"/>
      <c r="O540" s="371"/>
    </row>
    <row r="541" spans="1:15" s="325" customFormat="1" ht="15">
      <c r="A541" s="515">
        <v>45980</v>
      </c>
      <c r="B541" s="505" t="s">
        <v>4876</v>
      </c>
      <c r="C541" s="505" t="s">
        <v>172</v>
      </c>
      <c r="D541" s="510" t="s">
        <v>119</v>
      </c>
      <c r="E541" s="505">
        <v>1000</v>
      </c>
      <c r="F541" s="502">
        <f t="shared" si="9"/>
        <v>1.8744037053212446</v>
      </c>
      <c r="G541" s="503">
        <v>533.50300000000004</v>
      </c>
      <c r="H541" s="505" t="s">
        <v>315</v>
      </c>
      <c r="I541" s="505" t="s">
        <v>4288</v>
      </c>
      <c r="J541" s="505" t="s">
        <v>96</v>
      </c>
      <c r="K541" s="505" t="s">
        <v>2102</v>
      </c>
      <c r="L541" s="505" t="s">
        <v>153</v>
      </c>
      <c r="M541" s="371"/>
      <c r="N541" s="371"/>
      <c r="O541" s="371"/>
    </row>
    <row r="542" spans="1:15" s="325" customFormat="1" ht="15">
      <c r="A542" s="515">
        <v>45980</v>
      </c>
      <c r="B542" s="505" t="s">
        <v>4876</v>
      </c>
      <c r="C542" s="505" t="s">
        <v>172</v>
      </c>
      <c r="D542" s="510" t="s">
        <v>119</v>
      </c>
      <c r="E542" s="505">
        <v>1000</v>
      </c>
      <c r="F542" s="502">
        <f t="shared" si="9"/>
        <v>1.8744037053212446</v>
      </c>
      <c r="G542" s="503">
        <v>533.50300000000004</v>
      </c>
      <c r="H542" s="505" t="s">
        <v>315</v>
      </c>
      <c r="I542" s="505" t="s">
        <v>4288</v>
      </c>
      <c r="J542" s="505" t="s">
        <v>96</v>
      </c>
      <c r="K542" s="505" t="s">
        <v>2102</v>
      </c>
      <c r="L542" s="505" t="s">
        <v>153</v>
      </c>
      <c r="M542" s="371"/>
      <c r="N542" s="371"/>
      <c r="O542" s="371"/>
    </row>
    <row r="543" spans="1:15" s="325" customFormat="1" ht="15">
      <c r="A543" s="515">
        <v>45980</v>
      </c>
      <c r="B543" s="505" t="s">
        <v>4876</v>
      </c>
      <c r="C543" s="505" t="s">
        <v>172</v>
      </c>
      <c r="D543" s="510" t="s">
        <v>119</v>
      </c>
      <c r="E543" s="505">
        <v>1000</v>
      </c>
      <c r="F543" s="502">
        <f t="shared" si="9"/>
        <v>1.8744037053212446</v>
      </c>
      <c r="G543" s="503">
        <v>533.50300000000004</v>
      </c>
      <c r="H543" s="505" t="s">
        <v>315</v>
      </c>
      <c r="I543" s="505" t="s">
        <v>4288</v>
      </c>
      <c r="J543" s="505" t="s">
        <v>96</v>
      </c>
      <c r="K543" s="505" t="s">
        <v>2102</v>
      </c>
      <c r="L543" s="505" t="s">
        <v>153</v>
      </c>
      <c r="M543" s="371"/>
      <c r="N543" s="371"/>
      <c r="O543" s="371"/>
    </row>
    <row r="544" spans="1:15" s="325" customFormat="1" ht="15">
      <c r="A544" s="515">
        <v>45980</v>
      </c>
      <c r="B544" s="505" t="s">
        <v>4876</v>
      </c>
      <c r="C544" s="505" t="s">
        <v>172</v>
      </c>
      <c r="D544" s="510" t="s">
        <v>119</v>
      </c>
      <c r="E544" s="505">
        <v>1500</v>
      </c>
      <c r="F544" s="502">
        <f t="shared" si="9"/>
        <v>2.8116055579818666</v>
      </c>
      <c r="G544" s="503">
        <v>533.50300000000004</v>
      </c>
      <c r="H544" s="505" t="s">
        <v>315</v>
      </c>
      <c r="I544" s="505" t="s">
        <v>4288</v>
      </c>
      <c r="J544" s="505" t="s">
        <v>96</v>
      </c>
      <c r="K544" s="505" t="s">
        <v>2102</v>
      </c>
      <c r="L544" s="505" t="s">
        <v>153</v>
      </c>
      <c r="M544" s="371"/>
      <c r="N544" s="371"/>
      <c r="O544" s="371"/>
    </row>
    <row r="545" spans="1:15" s="325" customFormat="1" ht="15">
      <c r="A545" s="515">
        <v>45980</v>
      </c>
      <c r="B545" s="505" t="s">
        <v>4285</v>
      </c>
      <c r="C545" s="505" t="s">
        <v>363</v>
      </c>
      <c r="D545" s="510" t="s">
        <v>119</v>
      </c>
      <c r="E545" s="514">
        <v>9000</v>
      </c>
      <c r="F545" s="502">
        <f t="shared" si="9"/>
        <v>16.561226855685469</v>
      </c>
      <c r="G545" s="503">
        <v>543.43799999999999</v>
      </c>
      <c r="H545" s="505" t="s">
        <v>315</v>
      </c>
      <c r="I545" s="505" t="s">
        <v>4291</v>
      </c>
      <c r="J545" s="505" t="s">
        <v>96</v>
      </c>
      <c r="K545" s="505" t="s">
        <v>4104</v>
      </c>
      <c r="L545" s="505" t="s">
        <v>153</v>
      </c>
      <c r="M545" s="371"/>
      <c r="N545" s="371"/>
      <c r="O545" s="371"/>
    </row>
    <row r="546" spans="1:15" s="325" customFormat="1" ht="15">
      <c r="A546" s="515">
        <v>45980</v>
      </c>
      <c r="B546" s="505" t="s">
        <v>4876</v>
      </c>
      <c r="C546" s="505" t="s">
        <v>172</v>
      </c>
      <c r="D546" s="510" t="s">
        <v>119</v>
      </c>
      <c r="E546" s="505">
        <v>1000</v>
      </c>
      <c r="F546" s="502">
        <f t="shared" si="9"/>
        <v>1.8744037053212446</v>
      </c>
      <c r="G546" s="503">
        <v>533.50300000000004</v>
      </c>
      <c r="H546" s="505" t="s">
        <v>315</v>
      </c>
      <c r="I546" s="505" t="s">
        <v>4288</v>
      </c>
      <c r="J546" s="505" t="s">
        <v>96</v>
      </c>
      <c r="K546" s="505" t="s">
        <v>2102</v>
      </c>
      <c r="L546" s="505" t="s">
        <v>153</v>
      </c>
      <c r="M546" s="371"/>
      <c r="N546" s="371"/>
      <c r="O546" s="371"/>
    </row>
    <row r="547" spans="1:15" s="325" customFormat="1" ht="15">
      <c r="A547" s="515">
        <v>45980</v>
      </c>
      <c r="B547" s="505" t="s">
        <v>4876</v>
      </c>
      <c r="C547" s="505" t="s">
        <v>172</v>
      </c>
      <c r="D547" s="510" t="s">
        <v>119</v>
      </c>
      <c r="E547" s="505">
        <v>1000</v>
      </c>
      <c r="F547" s="502">
        <f t="shared" si="9"/>
        <v>1.8744037053212446</v>
      </c>
      <c r="G547" s="503">
        <v>533.50300000000004</v>
      </c>
      <c r="H547" s="505" t="s">
        <v>315</v>
      </c>
      <c r="I547" s="505" t="s">
        <v>4288</v>
      </c>
      <c r="J547" s="505" t="s">
        <v>96</v>
      </c>
      <c r="K547" s="505" t="s">
        <v>2102</v>
      </c>
      <c r="L547" s="505" t="s">
        <v>153</v>
      </c>
      <c r="M547" s="371"/>
      <c r="N547" s="371"/>
      <c r="O547" s="371"/>
    </row>
    <row r="548" spans="1:15" s="325" customFormat="1" ht="15">
      <c r="A548" s="515">
        <v>45980</v>
      </c>
      <c r="B548" s="505" t="s">
        <v>4994</v>
      </c>
      <c r="C548" s="505" t="s">
        <v>172</v>
      </c>
      <c r="D548" s="510" t="s">
        <v>119</v>
      </c>
      <c r="E548" s="505">
        <v>1000</v>
      </c>
      <c r="F548" s="502">
        <f t="shared" si="9"/>
        <v>1.8744037053212446</v>
      </c>
      <c r="G548" s="503">
        <v>533.50300000000004</v>
      </c>
      <c r="H548" s="505" t="s">
        <v>315</v>
      </c>
      <c r="I548" s="505" t="s">
        <v>4288</v>
      </c>
      <c r="J548" s="505" t="s">
        <v>96</v>
      </c>
      <c r="K548" s="505" t="s">
        <v>2102</v>
      </c>
      <c r="L548" s="505" t="s">
        <v>153</v>
      </c>
      <c r="M548" s="371"/>
      <c r="N548" s="371"/>
      <c r="O548" s="371"/>
    </row>
    <row r="549" spans="1:15" s="325" customFormat="1" ht="15">
      <c r="A549" s="515">
        <v>45980</v>
      </c>
      <c r="B549" s="505" t="s">
        <v>4751</v>
      </c>
      <c r="C549" s="505" t="s">
        <v>4309</v>
      </c>
      <c r="D549" s="510" t="s">
        <v>119</v>
      </c>
      <c r="E549" s="530">
        <v>15000</v>
      </c>
      <c r="F549" s="502">
        <f t="shared" si="9"/>
        <v>28.116055579818667</v>
      </c>
      <c r="G549" s="503">
        <v>533.50300000000004</v>
      </c>
      <c r="H549" s="505" t="s">
        <v>321</v>
      </c>
      <c r="I549" s="505" t="s">
        <v>4326</v>
      </c>
      <c r="J549" s="505" t="s">
        <v>96</v>
      </c>
      <c r="K549" s="505" t="s">
        <v>2102</v>
      </c>
      <c r="L549" s="505" t="s">
        <v>153</v>
      </c>
      <c r="M549" s="371"/>
      <c r="N549" s="371"/>
      <c r="O549" s="371"/>
    </row>
    <row r="550" spans="1:15" s="325" customFormat="1" ht="15">
      <c r="A550" s="515">
        <v>45980</v>
      </c>
      <c r="B550" s="505" t="s">
        <v>4917</v>
      </c>
      <c r="C550" s="505" t="s">
        <v>172</v>
      </c>
      <c r="D550" s="510" t="s">
        <v>119</v>
      </c>
      <c r="E550" s="530">
        <v>500</v>
      </c>
      <c r="F550" s="502">
        <f t="shared" si="9"/>
        <v>0.93720185266062228</v>
      </c>
      <c r="G550" s="503">
        <v>533.50300000000004</v>
      </c>
      <c r="H550" s="505" t="s">
        <v>321</v>
      </c>
      <c r="I550" s="505" t="s">
        <v>4314</v>
      </c>
      <c r="J550" s="505" t="s">
        <v>96</v>
      </c>
      <c r="K550" s="505" t="s">
        <v>2102</v>
      </c>
      <c r="L550" s="505" t="s">
        <v>153</v>
      </c>
      <c r="M550" s="371"/>
      <c r="N550" s="371"/>
      <c r="O550" s="371"/>
    </row>
    <row r="551" spans="1:15" s="325" customFormat="1" ht="15">
      <c r="A551" s="515">
        <v>45980</v>
      </c>
      <c r="B551" s="505" t="s">
        <v>4757</v>
      </c>
      <c r="C551" s="505" t="s">
        <v>172</v>
      </c>
      <c r="D551" s="510" t="s">
        <v>119</v>
      </c>
      <c r="E551" s="530">
        <v>12000</v>
      </c>
      <c r="F551" s="502">
        <f t="shared" si="9"/>
        <v>22.492844463854933</v>
      </c>
      <c r="G551" s="503">
        <v>533.50300000000004</v>
      </c>
      <c r="H551" s="505" t="s">
        <v>321</v>
      </c>
      <c r="I551" s="505" t="s">
        <v>4327</v>
      </c>
      <c r="J551" s="505" t="s">
        <v>96</v>
      </c>
      <c r="K551" s="505" t="s">
        <v>2102</v>
      </c>
      <c r="L551" s="505" t="s">
        <v>153</v>
      </c>
      <c r="M551" s="371"/>
      <c r="N551" s="371"/>
      <c r="O551" s="371"/>
    </row>
    <row r="552" spans="1:15" s="325" customFormat="1" ht="15">
      <c r="A552" s="515">
        <v>45980</v>
      </c>
      <c r="B552" s="505" t="s">
        <v>4917</v>
      </c>
      <c r="C552" s="505" t="s">
        <v>172</v>
      </c>
      <c r="D552" s="510" t="s">
        <v>119</v>
      </c>
      <c r="E552" s="530">
        <v>1000</v>
      </c>
      <c r="F552" s="502">
        <f t="shared" si="9"/>
        <v>1.8744037053212446</v>
      </c>
      <c r="G552" s="503">
        <v>533.50300000000004</v>
      </c>
      <c r="H552" s="505" t="s">
        <v>321</v>
      </c>
      <c r="I552" s="505" t="s">
        <v>4314</v>
      </c>
      <c r="J552" s="505" t="s">
        <v>96</v>
      </c>
      <c r="K552" s="505" t="s">
        <v>2102</v>
      </c>
      <c r="L552" s="505" t="s">
        <v>153</v>
      </c>
      <c r="M552" s="449"/>
      <c r="N552" s="371"/>
      <c r="O552" s="371"/>
    </row>
    <row r="553" spans="1:15" s="325" customFormat="1" ht="15">
      <c r="A553" s="515">
        <v>45980</v>
      </c>
      <c r="B553" s="505" t="s">
        <v>4612</v>
      </c>
      <c r="C553" s="505" t="s">
        <v>172</v>
      </c>
      <c r="D553" s="505" t="s">
        <v>115</v>
      </c>
      <c r="E553" s="505">
        <v>2500</v>
      </c>
      <c r="F553" s="502">
        <f t="shared" si="9"/>
        <v>4.6860092633031112</v>
      </c>
      <c r="G553" s="503">
        <v>533.50300000000004</v>
      </c>
      <c r="H553" s="505" t="s">
        <v>185</v>
      </c>
      <c r="I553" s="505" t="s">
        <v>4631</v>
      </c>
      <c r="J553" s="505" t="s">
        <v>96</v>
      </c>
      <c r="K553" s="505" t="s">
        <v>2102</v>
      </c>
      <c r="L553" s="505" t="s">
        <v>153</v>
      </c>
      <c r="M553" s="449"/>
      <c r="N553" s="449"/>
      <c r="O553" s="449"/>
    </row>
    <row r="554" spans="1:15" s="325" customFormat="1" ht="15" customHeight="1">
      <c r="A554" s="515">
        <v>45980</v>
      </c>
      <c r="B554" s="505" t="s">
        <v>4613</v>
      </c>
      <c r="C554" s="505" t="s">
        <v>172</v>
      </c>
      <c r="D554" s="505" t="s">
        <v>115</v>
      </c>
      <c r="E554" s="505">
        <v>500</v>
      </c>
      <c r="F554" s="502"/>
      <c r="G554" s="503">
        <v>533.50300000000004</v>
      </c>
      <c r="H554" s="505" t="s">
        <v>185</v>
      </c>
      <c r="I554" s="505" t="s">
        <v>4631</v>
      </c>
      <c r="J554" s="505" t="s">
        <v>96</v>
      </c>
      <c r="K554" s="505" t="s">
        <v>2102</v>
      </c>
      <c r="L554" s="505" t="s">
        <v>153</v>
      </c>
      <c r="M554" s="450"/>
      <c r="N554" s="449"/>
      <c r="O554" s="449"/>
    </row>
    <row r="555" spans="1:15" s="325" customFormat="1" ht="15">
      <c r="A555" s="515">
        <v>45980</v>
      </c>
      <c r="B555" s="505" t="s">
        <v>4614</v>
      </c>
      <c r="C555" s="505" t="s">
        <v>175</v>
      </c>
      <c r="D555" s="505" t="s">
        <v>115</v>
      </c>
      <c r="E555" s="505">
        <v>20000</v>
      </c>
      <c r="F555" s="502">
        <f t="shared" ref="F555:F618" si="10">E555/G555</f>
        <v>37.488074106424889</v>
      </c>
      <c r="G555" s="503">
        <v>533.50300000000004</v>
      </c>
      <c r="H555" s="505" t="s">
        <v>185</v>
      </c>
      <c r="I555" s="505" t="s">
        <v>4646</v>
      </c>
      <c r="J555" s="505" t="s">
        <v>96</v>
      </c>
      <c r="K555" s="505" t="s">
        <v>2102</v>
      </c>
      <c r="L555" s="505" t="s">
        <v>153</v>
      </c>
      <c r="M555" s="449"/>
      <c r="N555" s="449"/>
      <c r="O555" s="449"/>
    </row>
    <row r="556" spans="1:15" s="325" customFormat="1" ht="15">
      <c r="A556" s="515">
        <v>45980</v>
      </c>
      <c r="B556" s="505" t="s">
        <v>4615</v>
      </c>
      <c r="C556" s="505" t="s">
        <v>172</v>
      </c>
      <c r="D556" s="505" t="s">
        <v>115</v>
      </c>
      <c r="E556" s="505">
        <v>500</v>
      </c>
      <c r="F556" s="502">
        <f t="shared" si="10"/>
        <v>0.93720185266062228</v>
      </c>
      <c r="G556" s="503">
        <v>533.50300000000004</v>
      </c>
      <c r="H556" s="505" t="s">
        <v>185</v>
      </c>
      <c r="I556" s="505" t="s">
        <v>4631</v>
      </c>
      <c r="J556" s="505" t="s">
        <v>96</v>
      </c>
      <c r="K556" s="505" t="s">
        <v>2102</v>
      </c>
      <c r="L556" s="505" t="s">
        <v>153</v>
      </c>
      <c r="M556" s="449"/>
      <c r="N556" s="371"/>
      <c r="O556" s="371"/>
    </row>
    <row r="557" spans="1:15" s="325" customFormat="1" ht="15">
      <c r="A557" s="515">
        <v>45980</v>
      </c>
      <c r="B557" s="505" t="s">
        <v>4726</v>
      </c>
      <c r="C557" s="505" t="s">
        <v>3317</v>
      </c>
      <c r="D557" s="505" t="s">
        <v>115</v>
      </c>
      <c r="E557" s="505">
        <v>1500</v>
      </c>
      <c r="F557" s="502">
        <f t="shared" si="10"/>
        <v>2.8116055579818666</v>
      </c>
      <c r="G557" s="503">
        <v>533.50300000000004</v>
      </c>
      <c r="H557" s="505" t="s">
        <v>185</v>
      </c>
      <c r="I557" s="505" t="s">
        <v>4647</v>
      </c>
      <c r="J557" s="505" t="s">
        <v>96</v>
      </c>
      <c r="K557" s="505" t="s">
        <v>2102</v>
      </c>
      <c r="L557" s="505" t="s">
        <v>153</v>
      </c>
    </row>
    <row r="558" spans="1:15" s="325" customFormat="1" ht="15">
      <c r="A558" s="515">
        <v>45980</v>
      </c>
      <c r="B558" s="505" t="s">
        <v>4617</v>
      </c>
      <c r="C558" s="505" t="s">
        <v>172</v>
      </c>
      <c r="D558" s="505" t="s">
        <v>115</v>
      </c>
      <c r="E558" s="505">
        <v>500</v>
      </c>
      <c r="F558" s="502">
        <f t="shared" si="10"/>
        <v>0.93720185266062228</v>
      </c>
      <c r="G558" s="503">
        <v>533.50300000000004</v>
      </c>
      <c r="H558" s="505" t="s">
        <v>185</v>
      </c>
      <c r="I558" s="505" t="s">
        <v>4631</v>
      </c>
      <c r="J558" s="505" t="s">
        <v>96</v>
      </c>
      <c r="K558" s="505" t="s">
        <v>2102</v>
      </c>
      <c r="L558" s="505" t="s">
        <v>153</v>
      </c>
    </row>
    <row r="559" spans="1:15" s="325" customFormat="1" ht="15">
      <c r="A559" s="515">
        <v>45980</v>
      </c>
      <c r="B559" s="505" t="s">
        <v>4618</v>
      </c>
      <c r="C559" s="505" t="s">
        <v>172</v>
      </c>
      <c r="D559" s="505" t="s">
        <v>115</v>
      </c>
      <c r="E559" s="505">
        <v>500</v>
      </c>
      <c r="F559" s="502">
        <f t="shared" si="10"/>
        <v>0.93720185266062228</v>
      </c>
      <c r="G559" s="503">
        <v>533.50300000000004</v>
      </c>
      <c r="H559" s="505" t="s">
        <v>185</v>
      </c>
      <c r="I559" s="505" t="s">
        <v>4631</v>
      </c>
      <c r="J559" s="505" t="s">
        <v>96</v>
      </c>
      <c r="K559" s="505" t="s">
        <v>2102</v>
      </c>
      <c r="L559" s="505" t="s">
        <v>153</v>
      </c>
    </row>
    <row r="560" spans="1:15" s="325" customFormat="1" ht="15">
      <c r="A560" s="629">
        <v>45981</v>
      </c>
      <c r="B560" s="298" t="s">
        <v>2103</v>
      </c>
      <c r="C560" s="298" t="s">
        <v>172</v>
      </c>
      <c r="D560" s="506" t="s">
        <v>117</v>
      </c>
      <c r="E560" s="630">
        <v>1000</v>
      </c>
      <c r="F560" s="502">
        <f t="shared" si="10"/>
        <v>1.8744037053212446</v>
      </c>
      <c r="G560" s="503">
        <v>533.50300000000004</v>
      </c>
      <c r="H560" s="631" t="s">
        <v>151</v>
      </c>
      <c r="I560" s="298" t="s">
        <v>4133</v>
      </c>
      <c r="J560" s="505" t="s">
        <v>96</v>
      </c>
      <c r="K560" s="505" t="s">
        <v>2102</v>
      </c>
      <c r="L560" s="505" t="s">
        <v>153</v>
      </c>
      <c r="M560" s="371"/>
      <c r="N560" s="371"/>
      <c r="O560" s="371"/>
    </row>
    <row r="561" spans="1:15" s="325" customFormat="1" ht="15">
      <c r="A561" s="629">
        <v>45981</v>
      </c>
      <c r="B561" s="298" t="s">
        <v>2104</v>
      </c>
      <c r="C561" s="298" t="s">
        <v>172</v>
      </c>
      <c r="D561" s="506" t="s">
        <v>117</v>
      </c>
      <c r="E561" s="630">
        <v>1000</v>
      </c>
      <c r="F561" s="502">
        <f t="shared" si="10"/>
        <v>1.8744037053212446</v>
      </c>
      <c r="G561" s="503">
        <v>533.50300000000004</v>
      </c>
      <c r="H561" s="631" t="s">
        <v>151</v>
      </c>
      <c r="I561" s="298" t="s">
        <v>4133</v>
      </c>
      <c r="J561" s="505" t="s">
        <v>96</v>
      </c>
      <c r="K561" s="505" t="s">
        <v>2102</v>
      </c>
      <c r="L561" s="505" t="s">
        <v>153</v>
      </c>
      <c r="M561" s="371"/>
      <c r="N561" s="371"/>
      <c r="O561" s="371"/>
    </row>
    <row r="562" spans="1:15" s="325" customFormat="1" ht="15">
      <c r="A562" s="507">
        <v>45981</v>
      </c>
      <c r="B562" s="508" t="s">
        <v>4151</v>
      </c>
      <c r="C562" s="508" t="s">
        <v>172</v>
      </c>
      <c r="D562" s="514" t="s">
        <v>115</v>
      </c>
      <c r="E562" s="509">
        <v>1500</v>
      </c>
      <c r="F562" s="502">
        <f t="shared" si="10"/>
        <v>2.8116055579818666</v>
      </c>
      <c r="G562" s="503">
        <v>533.50300000000004</v>
      </c>
      <c r="H562" s="510" t="s">
        <v>198</v>
      </c>
      <c r="I562" s="508" t="s">
        <v>4153</v>
      </c>
      <c r="J562" s="505" t="s">
        <v>96</v>
      </c>
      <c r="K562" s="505" t="s">
        <v>2102</v>
      </c>
      <c r="L562" s="505" t="s">
        <v>153</v>
      </c>
      <c r="M562" s="449"/>
      <c r="N562" s="449"/>
      <c r="O562" s="449"/>
    </row>
    <row r="563" spans="1:15" s="325" customFormat="1" ht="15">
      <c r="A563" s="507">
        <v>45981</v>
      </c>
      <c r="B563" s="508" t="s">
        <v>2847</v>
      </c>
      <c r="C563" s="508" t="s">
        <v>172</v>
      </c>
      <c r="D563" s="514" t="s">
        <v>115</v>
      </c>
      <c r="E563" s="509">
        <v>1000</v>
      </c>
      <c r="F563" s="502">
        <f t="shared" si="10"/>
        <v>1.8744037053212446</v>
      </c>
      <c r="G563" s="503">
        <v>533.50300000000004</v>
      </c>
      <c r="H563" s="510" t="s">
        <v>198</v>
      </c>
      <c r="I563" s="508" t="s">
        <v>4153</v>
      </c>
      <c r="J563" s="505" t="s">
        <v>96</v>
      </c>
      <c r="K563" s="505" t="s">
        <v>2102</v>
      </c>
      <c r="L563" s="505" t="s">
        <v>153</v>
      </c>
      <c r="M563" s="449"/>
      <c r="N563" s="449"/>
      <c r="O563" s="449"/>
    </row>
    <row r="564" spans="1:15" s="325" customFormat="1" ht="15">
      <c r="A564" s="507">
        <v>45981</v>
      </c>
      <c r="B564" s="508" t="s">
        <v>2848</v>
      </c>
      <c r="C564" s="508" t="s">
        <v>172</v>
      </c>
      <c r="D564" s="514" t="s">
        <v>115</v>
      </c>
      <c r="E564" s="509">
        <v>1000</v>
      </c>
      <c r="F564" s="502">
        <f t="shared" si="10"/>
        <v>1.8744037053212446</v>
      </c>
      <c r="G564" s="503">
        <v>533.50300000000004</v>
      </c>
      <c r="H564" s="510" t="s">
        <v>198</v>
      </c>
      <c r="I564" s="508" t="s">
        <v>4153</v>
      </c>
      <c r="J564" s="505" t="s">
        <v>96</v>
      </c>
      <c r="K564" s="505" t="s">
        <v>2102</v>
      </c>
      <c r="L564" s="505" t="s">
        <v>153</v>
      </c>
      <c r="M564" s="371"/>
      <c r="N564" s="371"/>
      <c r="O564" s="371"/>
    </row>
    <row r="565" spans="1:15" s="325" customFormat="1" ht="15">
      <c r="A565" s="507">
        <v>45981</v>
      </c>
      <c r="B565" s="508" t="s">
        <v>2852</v>
      </c>
      <c r="C565" s="508" t="s">
        <v>172</v>
      </c>
      <c r="D565" s="514" t="s">
        <v>115</v>
      </c>
      <c r="E565" s="509">
        <v>1500</v>
      </c>
      <c r="F565" s="502">
        <f t="shared" si="10"/>
        <v>2.8116055579818666</v>
      </c>
      <c r="G565" s="503">
        <v>533.50300000000004</v>
      </c>
      <c r="H565" s="510" t="s">
        <v>198</v>
      </c>
      <c r="I565" s="508" t="s">
        <v>4153</v>
      </c>
      <c r="J565" s="505" t="s">
        <v>96</v>
      </c>
      <c r="K565" s="505" t="s">
        <v>2102</v>
      </c>
      <c r="L565" s="505" t="s">
        <v>153</v>
      </c>
      <c r="M565" s="371"/>
      <c r="N565" s="371"/>
      <c r="O565" s="371"/>
    </row>
    <row r="566" spans="1:15" s="325" customFormat="1" ht="15">
      <c r="A566" s="515">
        <v>45981</v>
      </c>
      <c r="B566" s="505" t="s">
        <v>2593</v>
      </c>
      <c r="C566" s="505" t="s">
        <v>172</v>
      </c>
      <c r="D566" s="505" t="s">
        <v>115</v>
      </c>
      <c r="E566" s="530">
        <v>1000</v>
      </c>
      <c r="F566" s="502">
        <f t="shared" si="10"/>
        <v>1.8744037053212446</v>
      </c>
      <c r="G566" s="503">
        <v>533.50300000000004</v>
      </c>
      <c r="H566" s="505" t="s">
        <v>191</v>
      </c>
      <c r="I566" s="505" t="s">
        <v>4405</v>
      </c>
      <c r="J566" s="505" t="s">
        <v>96</v>
      </c>
      <c r="K566" s="505" t="s">
        <v>2102</v>
      </c>
      <c r="L566" s="505" t="s">
        <v>153</v>
      </c>
      <c r="M566" s="449"/>
      <c r="N566" s="449"/>
      <c r="O566" s="449"/>
    </row>
    <row r="567" spans="1:15" s="325" customFormat="1" ht="15">
      <c r="A567" s="515">
        <v>45981</v>
      </c>
      <c r="B567" s="505" t="s">
        <v>2595</v>
      </c>
      <c r="C567" s="505" t="s">
        <v>172</v>
      </c>
      <c r="D567" s="505" t="s">
        <v>115</v>
      </c>
      <c r="E567" s="530">
        <v>1000</v>
      </c>
      <c r="F567" s="502">
        <f t="shared" si="10"/>
        <v>1.8744037053212446</v>
      </c>
      <c r="G567" s="503">
        <v>533.50300000000004</v>
      </c>
      <c r="H567" s="505" t="s">
        <v>191</v>
      </c>
      <c r="I567" s="505" t="s">
        <v>4405</v>
      </c>
      <c r="J567" s="505" t="s">
        <v>96</v>
      </c>
      <c r="K567" s="505" t="s">
        <v>2102</v>
      </c>
      <c r="L567" s="505" t="s">
        <v>153</v>
      </c>
      <c r="M567" s="449"/>
      <c r="N567" s="449"/>
      <c r="O567" s="449"/>
    </row>
    <row r="568" spans="1:15" s="325" customFormat="1" ht="15">
      <c r="A568" s="515">
        <v>45981</v>
      </c>
      <c r="B568" s="505" t="s">
        <v>4420</v>
      </c>
      <c r="C568" s="505" t="s">
        <v>172</v>
      </c>
      <c r="D568" s="298" t="s">
        <v>115</v>
      </c>
      <c r="E568" s="518">
        <v>88000</v>
      </c>
      <c r="F568" s="502">
        <f t="shared" si="10"/>
        <v>164.94752606826953</v>
      </c>
      <c r="G568" s="503">
        <v>533.50300000000004</v>
      </c>
      <c r="H568" s="298" t="s">
        <v>435</v>
      </c>
      <c r="I568" s="505" t="s">
        <v>4449</v>
      </c>
      <c r="J568" s="505" t="s">
        <v>96</v>
      </c>
      <c r="K568" s="505" t="s">
        <v>2102</v>
      </c>
      <c r="L568" s="505" t="s">
        <v>153</v>
      </c>
      <c r="M568" s="449"/>
      <c r="N568" s="449"/>
      <c r="O568" s="449"/>
    </row>
    <row r="569" spans="1:15" s="325" customFormat="1" ht="15">
      <c r="A569" s="531">
        <v>45981</v>
      </c>
      <c r="B569" s="514" t="s">
        <v>4534</v>
      </c>
      <c r="C569" s="514" t="s">
        <v>172</v>
      </c>
      <c r="D569" s="514" t="s">
        <v>118</v>
      </c>
      <c r="E569" s="518">
        <v>1000</v>
      </c>
      <c r="F569" s="502">
        <f t="shared" si="10"/>
        <v>1.8744037053212446</v>
      </c>
      <c r="G569" s="503">
        <v>533.50300000000004</v>
      </c>
      <c r="H569" s="514" t="s">
        <v>211</v>
      </c>
      <c r="I569" s="514" t="s">
        <v>4559</v>
      </c>
      <c r="J569" s="505" t="s">
        <v>96</v>
      </c>
      <c r="K569" s="505" t="s">
        <v>2102</v>
      </c>
      <c r="L569" s="505" t="s">
        <v>153</v>
      </c>
      <c r="M569" s="449"/>
      <c r="N569" s="371"/>
      <c r="O569" s="371"/>
    </row>
    <row r="570" spans="1:15" s="325" customFormat="1" ht="15">
      <c r="A570" s="515">
        <v>45981</v>
      </c>
      <c r="B570" s="505" t="s">
        <v>4421</v>
      </c>
      <c r="C570" s="505" t="s">
        <v>175</v>
      </c>
      <c r="D570" s="298" t="s">
        <v>115</v>
      </c>
      <c r="E570" s="518">
        <v>175000</v>
      </c>
      <c r="F570" s="502">
        <f t="shared" si="10"/>
        <v>328.02064843121781</v>
      </c>
      <c r="G570" s="503">
        <v>533.50300000000004</v>
      </c>
      <c r="H570" s="298" t="s">
        <v>435</v>
      </c>
      <c r="I570" s="505" t="s">
        <v>4450</v>
      </c>
      <c r="J570" s="505" t="s">
        <v>96</v>
      </c>
      <c r="K570" s="505" t="s">
        <v>2102</v>
      </c>
      <c r="L570" s="505" t="s">
        <v>153</v>
      </c>
      <c r="M570" s="449"/>
      <c r="N570" s="449"/>
      <c r="O570" s="449"/>
    </row>
    <row r="571" spans="1:15" s="325" customFormat="1" ht="15">
      <c r="A571" s="531">
        <v>45981</v>
      </c>
      <c r="B571" s="514" t="s">
        <v>4535</v>
      </c>
      <c r="C571" s="514" t="s">
        <v>172</v>
      </c>
      <c r="D571" s="514" t="s">
        <v>118</v>
      </c>
      <c r="E571" s="518">
        <v>1000</v>
      </c>
      <c r="F571" s="502">
        <f t="shared" si="10"/>
        <v>1.8744037053212446</v>
      </c>
      <c r="G571" s="503">
        <v>533.50300000000004</v>
      </c>
      <c r="H571" s="514" t="s">
        <v>211</v>
      </c>
      <c r="I571" s="514" t="s">
        <v>4559</v>
      </c>
      <c r="J571" s="505" t="s">
        <v>96</v>
      </c>
      <c r="K571" s="505" t="s">
        <v>2102</v>
      </c>
      <c r="L571" s="505" t="s">
        <v>153</v>
      </c>
      <c r="M571" s="449"/>
      <c r="N571" s="371"/>
      <c r="O571" s="371"/>
    </row>
    <row r="572" spans="1:15" s="325" customFormat="1" ht="15.6" customHeight="1">
      <c r="A572" s="515">
        <v>45981</v>
      </c>
      <c r="B572" s="505" t="s">
        <v>4619</v>
      </c>
      <c r="C572" s="505" t="s">
        <v>172</v>
      </c>
      <c r="D572" s="505" t="s">
        <v>115</v>
      </c>
      <c r="E572" s="505">
        <v>500</v>
      </c>
      <c r="F572" s="502">
        <f t="shared" si="10"/>
        <v>0.93720185266062228</v>
      </c>
      <c r="G572" s="503">
        <v>533.50300000000004</v>
      </c>
      <c r="H572" s="505" t="s">
        <v>185</v>
      </c>
      <c r="I572" s="505" t="s">
        <v>4631</v>
      </c>
      <c r="J572" s="505" t="s">
        <v>96</v>
      </c>
      <c r="K572" s="505" t="s">
        <v>2102</v>
      </c>
      <c r="L572" s="505" t="s">
        <v>153</v>
      </c>
    </row>
    <row r="573" spans="1:15" s="325" customFormat="1" ht="15">
      <c r="A573" s="515">
        <v>45981</v>
      </c>
      <c r="B573" s="505" t="s">
        <v>4621</v>
      </c>
      <c r="C573" s="505" t="s">
        <v>172</v>
      </c>
      <c r="D573" s="505" t="s">
        <v>115</v>
      </c>
      <c r="E573" s="505">
        <v>500</v>
      </c>
      <c r="F573" s="502">
        <f t="shared" si="10"/>
        <v>0.93720185266062228</v>
      </c>
      <c r="G573" s="503">
        <v>533.50300000000004</v>
      </c>
      <c r="H573" s="505" t="s">
        <v>185</v>
      </c>
      <c r="I573" s="505" t="s">
        <v>4631</v>
      </c>
      <c r="J573" s="505" t="s">
        <v>96</v>
      </c>
      <c r="K573" s="505" t="s">
        <v>2102</v>
      </c>
      <c r="L573" s="505" t="s">
        <v>153</v>
      </c>
    </row>
    <row r="574" spans="1:15" s="325" customFormat="1" ht="15">
      <c r="A574" s="515">
        <v>45981</v>
      </c>
      <c r="B574" s="505" t="s">
        <v>4727</v>
      </c>
      <c r="C574" s="505" t="s">
        <v>3317</v>
      </c>
      <c r="D574" s="505" t="s">
        <v>115</v>
      </c>
      <c r="E574" s="505">
        <v>1500</v>
      </c>
      <c r="F574" s="502">
        <f t="shared" si="10"/>
        <v>2.8116055579818666</v>
      </c>
      <c r="G574" s="503">
        <v>533.50300000000004</v>
      </c>
      <c r="H574" s="505" t="s">
        <v>185</v>
      </c>
      <c r="I574" s="505" t="s">
        <v>4647</v>
      </c>
      <c r="J574" s="505" t="s">
        <v>96</v>
      </c>
      <c r="K574" s="505" t="s">
        <v>2102</v>
      </c>
      <c r="L574" s="505" t="s">
        <v>153</v>
      </c>
    </row>
    <row r="575" spans="1:15" s="325" customFormat="1" ht="15">
      <c r="A575" s="515">
        <v>45981</v>
      </c>
      <c r="B575" s="505" t="s">
        <v>4622</v>
      </c>
      <c r="C575" s="505" t="s">
        <v>172</v>
      </c>
      <c r="D575" s="505" t="s">
        <v>115</v>
      </c>
      <c r="E575" s="505">
        <v>500</v>
      </c>
      <c r="F575" s="502">
        <f t="shared" si="10"/>
        <v>0.93720185266062228</v>
      </c>
      <c r="G575" s="503">
        <v>533.50300000000004</v>
      </c>
      <c r="H575" s="505" t="s">
        <v>185</v>
      </c>
      <c r="I575" s="505" t="s">
        <v>4631</v>
      </c>
      <c r="J575" s="505" t="s">
        <v>96</v>
      </c>
      <c r="K575" s="505" t="s">
        <v>2102</v>
      </c>
      <c r="L575" s="505" t="s">
        <v>153</v>
      </c>
    </row>
    <row r="576" spans="1:15" s="325" customFormat="1" ht="15">
      <c r="A576" s="515">
        <v>45981</v>
      </c>
      <c r="B576" s="505" t="s">
        <v>4623</v>
      </c>
      <c r="C576" s="505" t="s">
        <v>172</v>
      </c>
      <c r="D576" s="505" t="s">
        <v>115</v>
      </c>
      <c r="E576" s="505">
        <v>7000</v>
      </c>
      <c r="F576" s="502">
        <f t="shared" si="10"/>
        <v>13.120825937248712</v>
      </c>
      <c r="G576" s="503">
        <v>533.50300000000004</v>
      </c>
      <c r="H576" s="505" t="s">
        <v>185</v>
      </c>
      <c r="I576" s="505" t="s">
        <v>4648</v>
      </c>
      <c r="J576" s="505" t="s">
        <v>96</v>
      </c>
      <c r="K576" s="505" t="s">
        <v>2102</v>
      </c>
      <c r="L576" s="505" t="s">
        <v>153</v>
      </c>
    </row>
    <row r="577" spans="1:15" s="325" customFormat="1" ht="15">
      <c r="A577" s="515">
        <v>45981</v>
      </c>
      <c r="B577" s="505" t="s">
        <v>4613</v>
      </c>
      <c r="C577" s="505" t="s">
        <v>172</v>
      </c>
      <c r="D577" s="505" t="s">
        <v>115</v>
      </c>
      <c r="E577" s="505">
        <v>500</v>
      </c>
      <c r="F577" s="502">
        <f t="shared" si="10"/>
        <v>0.93720185266062228</v>
      </c>
      <c r="G577" s="503">
        <v>533.50300000000004</v>
      </c>
      <c r="H577" s="505" t="s">
        <v>185</v>
      </c>
      <c r="I577" s="505" t="s">
        <v>4631</v>
      </c>
      <c r="J577" s="505" t="s">
        <v>96</v>
      </c>
      <c r="K577" s="505" t="s">
        <v>2102</v>
      </c>
      <c r="L577" s="505" t="s">
        <v>153</v>
      </c>
    </row>
    <row r="578" spans="1:15" s="325" customFormat="1" ht="15">
      <c r="A578" s="515">
        <v>45981</v>
      </c>
      <c r="B578" s="505" t="s">
        <v>4615</v>
      </c>
      <c r="C578" s="505" t="s">
        <v>172</v>
      </c>
      <c r="D578" s="505" t="s">
        <v>115</v>
      </c>
      <c r="E578" s="505">
        <v>500</v>
      </c>
      <c r="F578" s="502">
        <f t="shared" si="10"/>
        <v>0.93720185266062228</v>
      </c>
      <c r="G578" s="503">
        <v>533.50300000000004</v>
      </c>
      <c r="H578" s="505" t="s">
        <v>185</v>
      </c>
      <c r="I578" s="505" t="s">
        <v>4631</v>
      </c>
      <c r="J578" s="505" t="s">
        <v>96</v>
      </c>
      <c r="K578" s="505" t="s">
        <v>2102</v>
      </c>
      <c r="L578" s="505" t="s">
        <v>153</v>
      </c>
    </row>
    <row r="579" spans="1:15" s="325" customFormat="1" ht="15">
      <c r="A579" s="515">
        <v>45981</v>
      </c>
      <c r="B579" s="505" t="s">
        <v>4624</v>
      </c>
      <c r="C579" s="505" t="s">
        <v>172</v>
      </c>
      <c r="D579" s="505" t="s">
        <v>115</v>
      </c>
      <c r="E579" s="505">
        <v>500</v>
      </c>
      <c r="F579" s="502">
        <f t="shared" si="10"/>
        <v>0.93720185266062228</v>
      </c>
      <c r="G579" s="503">
        <v>533.50300000000004</v>
      </c>
      <c r="H579" s="505" t="s">
        <v>185</v>
      </c>
      <c r="I579" s="505" t="s">
        <v>4631</v>
      </c>
      <c r="J579" s="505" t="s">
        <v>96</v>
      </c>
      <c r="K579" s="505" t="s">
        <v>2102</v>
      </c>
      <c r="L579" s="505" t="s">
        <v>153</v>
      </c>
    </row>
    <row r="580" spans="1:15" s="325" customFormat="1" ht="15">
      <c r="A580" s="515">
        <v>45981</v>
      </c>
      <c r="B580" s="505" t="s">
        <v>4728</v>
      </c>
      <c r="C580" s="505" t="s">
        <v>3317</v>
      </c>
      <c r="D580" s="505" t="s">
        <v>115</v>
      </c>
      <c r="E580" s="505">
        <v>1500</v>
      </c>
      <c r="F580" s="502">
        <f t="shared" si="10"/>
        <v>2.8116055579818666</v>
      </c>
      <c r="G580" s="503">
        <v>533.50300000000004</v>
      </c>
      <c r="H580" s="505" t="s">
        <v>185</v>
      </c>
      <c r="I580" s="505" t="s">
        <v>4647</v>
      </c>
      <c r="J580" s="505" t="s">
        <v>96</v>
      </c>
      <c r="K580" s="505" t="s">
        <v>2102</v>
      </c>
      <c r="L580" s="505" t="s">
        <v>153</v>
      </c>
    </row>
    <row r="581" spans="1:15" s="325" customFormat="1" ht="15">
      <c r="A581" s="515">
        <v>45981</v>
      </c>
      <c r="B581" s="505" t="s">
        <v>4618</v>
      </c>
      <c r="C581" s="505" t="s">
        <v>172</v>
      </c>
      <c r="D581" s="505" t="s">
        <v>115</v>
      </c>
      <c r="E581" s="505">
        <v>500</v>
      </c>
      <c r="F581" s="502">
        <f t="shared" si="10"/>
        <v>0.93720185266062228</v>
      </c>
      <c r="G581" s="503">
        <v>533.50300000000004</v>
      </c>
      <c r="H581" s="505" t="s">
        <v>185</v>
      </c>
      <c r="I581" s="505" t="s">
        <v>4631</v>
      </c>
      <c r="J581" s="505" t="s">
        <v>96</v>
      </c>
      <c r="K581" s="505" t="s">
        <v>2102</v>
      </c>
      <c r="L581" s="505" t="s">
        <v>153</v>
      </c>
    </row>
    <row r="582" spans="1:15" s="325" customFormat="1" ht="15">
      <c r="A582" s="629">
        <v>45982</v>
      </c>
      <c r="B582" s="298" t="s">
        <v>4128</v>
      </c>
      <c r="C582" s="298" t="s">
        <v>172</v>
      </c>
      <c r="D582" s="506" t="s">
        <v>117</v>
      </c>
      <c r="E582" s="630">
        <v>1500</v>
      </c>
      <c r="F582" s="502">
        <f t="shared" si="10"/>
        <v>2.8116055579818666</v>
      </c>
      <c r="G582" s="503">
        <v>533.50300000000004</v>
      </c>
      <c r="H582" s="631" t="s">
        <v>151</v>
      </c>
      <c r="I582" s="298" t="s">
        <v>4133</v>
      </c>
      <c r="J582" s="505" t="s">
        <v>96</v>
      </c>
      <c r="K582" s="505" t="s">
        <v>2102</v>
      </c>
      <c r="L582" s="505" t="s">
        <v>153</v>
      </c>
      <c r="M582" s="371"/>
      <c r="N582" s="371"/>
      <c r="O582" s="371"/>
    </row>
    <row r="583" spans="1:15" s="325" customFormat="1" ht="15">
      <c r="A583" s="629">
        <v>45982</v>
      </c>
      <c r="B583" s="298" t="s">
        <v>4129</v>
      </c>
      <c r="C583" s="298" t="s">
        <v>172</v>
      </c>
      <c r="D583" s="506" t="s">
        <v>117</v>
      </c>
      <c r="E583" s="630">
        <v>1500</v>
      </c>
      <c r="F583" s="502">
        <f t="shared" si="10"/>
        <v>2.8116055579818666</v>
      </c>
      <c r="G583" s="503">
        <v>533.50300000000004</v>
      </c>
      <c r="H583" s="631" t="s">
        <v>151</v>
      </c>
      <c r="I583" s="298" t="s">
        <v>4133</v>
      </c>
      <c r="J583" s="505" t="s">
        <v>96</v>
      </c>
      <c r="K583" s="505" t="s">
        <v>2102</v>
      </c>
      <c r="L583" s="505" t="s">
        <v>153</v>
      </c>
      <c r="M583" s="371"/>
      <c r="N583" s="371"/>
      <c r="O583" s="371"/>
    </row>
    <row r="584" spans="1:15" s="325" customFormat="1" ht="15">
      <c r="A584" s="629">
        <v>45982</v>
      </c>
      <c r="B584" s="298" t="s">
        <v>2116</v>
      </c>
      <c r="C584" s="298" t="s">
        <v>172</v>
      </c>
      <c r="D584" s="506" t="s">
        <v>117</v>
      </c>
      <c r="E584" s="637">
        <v>1000</v>
      </c>
      <c r="F584" s="502">
        <f t="shared" si="10"/>
        <v>1.8744037053212446</v>
      </c>
      <c r="G584" s="503">
        <v>533.50300000000004</v>
      </c>
      <c r="H584" s="631" t="s">
        <v>151</v>
      </c>
      <c r="I584" s="298" t="s">
        <v>4133</v>
      </c>
      <c r="J584" s="505" t="s">
        <v>96</v>
      </c>
      <c r="K584" s="505" t="s">
        <v>2102</v>
      </c>
      <c r="L584" s="505" t="s">
        <v>153</v>
      </c>
      <c r="M584" s="371"/>
      <c r="N584" s="371"/>
      <c r="O584" s="371"/>
    </row>
    <row r="585" spans="1:15" s="325" customFormat="1" ht="15">
      <c r="A585" s="517">
        <v>45982</v>
      </c>
      <c r="B585" s="505" t="s">
        <v>4204</v>
      </c>
      <c r="C585" s="505" t="s">
        <v>172</v>
      </c>
      <c r="D585" s="505" t="s">
        <v>116</v>
      </c>
      <c r="E585" s="534">
        <v>1000</v>
      </c>
      <c r="F585" s="502">
        <f t="shared" si="10"/>
        <v>1.8744037053212446</v>
      </c>
      <c r="G585" s="503">
        <v>533.50300000000004</v>
      </c>
      <c r="H585" s="505" t="s">
        <v>581</v>
      </c>
      <c r="I585" s="505" t="s">
        <v>4213</v>
      </c>
      <c r="J585" s="505" t="s">
        <v>96</v>
      </c>
      <c r="K585" s="505" t="s">
        <v>2102</v>
      </c>
      <c r="L585" s="505" t="s">
        <v>153</v>
      </c>
      <c r="M585" s="449"/>
      <c r="N585" s="449"/>
      <c r="O585" s="449"/>
    </row>
    <row r="586" spans="1:15" s="325" customFormat="1" ht="15">
      <c r="A586" s="515">
        <v>45982</v>
      </c>
      <c r="B586" s="505" t="s">
        <v>4203</v>
      </c>
      <c r="C586" s="505" t="s">
        <v>180</v>
      </c>
      <c r="D586" s="505" t="s">
        <v>116</v>
      </c>
      <c r="E586" s="534">
        <v>4060</v>
      </c>
      <c r="F586" s="502">
        <f t="shared" si="10"/>
        <v>7.6100790436042525</v>
      </c>
      <c r="G586" s="503">
        <v>533.50300000000004</v>
      </c>
      <c r="H586" s="505" t="s">
        <v>581</v>
      </c>
      <c r="I586" s="505" t="s">
        <v>4224</v>
      </c>
      <c r="J586" s="505" t="s">
        <v>96</v>
      </c>
      <c r="K586" s="505" t="s">
        <v>2102</v>
      </c>
      <c r="L586" s="505" t="s">
        <v>153</v>
      </c>
      <c r="M586" s="371"/>
      <c r="N586" s="371"/>
      <c r="O586" s="371"/>
    </row>
    <row r="587" spans="1:15" s="325" customFormat="1" ht="15">
      <c r="A587" s="517">
        <v>45982</v>
      </c>
      <c r="B587" s="505" t="s">
        <v>3398</v>
      </c>
      <c r="C587" s="505" t="s">
        <v>172</v>
      </c>
      <c r="D587" s="505" t="s">
        <v>116</v>
      </c>
      <c r="E587" s="534">
        <v>1000</v>
      </c>
      <c r="F587" s="502">
        <f t="shared" si="10"/>
        <v>1.8744037053212446</v>
      </c>
      <c r="G587" s="503">
        <v>533.50300000000004</v>
      </c>
      <c r="H587" s="505" t="s">
        <v>581</v>
      </c>
      <c r="I587" s="505" t="s">
        <v>4213</v>
      </c>
      <c r="J587" s="505" t="s">
        <v>96</v>
      </c>
      <c r="K587" s="505" t="s">
        <v>2102</v>
      </c>
      <c r="L587" s="505" t="s">
        <v>153</v>
      </c>
      <c r="M587" s="449"/>
      <c r="N587" s="371"/>
      <c r="O587" s="371"/>
    </row>
    <row r="588" spans="1:15" s="325" customFormat="1" ht="15">
      <c r="A588" s="515">
        <v>45982</v>
      </c>
      <c r="B588" s="505" t="s">
        <v>4917</v>
      </c>
      <c r="C588" s="505" t="s">
        <v>172</v>
      </c>
      <c r="D588" s="510" t="s">
        <v>119</v>
      </c>
      <c r="E588" s="545">
        <v>1000</v>
      </c>
      <c r="F588" s="502">
        <f t="shared" si="10"/>
        <v>1.8744037053212446</v>
      </c>
      <c r="G588" s="503">
        <v>533.50300000000004</v>
      </c>
      <c r="H588" s="505" t="s">
        <v>315</v>
      </c>
      <c r="I588" s="505" t="s">
        <v>4288</v>
      </c>
      <c r="J588" s="505" t="s">
        <v>96</v>
      </c>
      <c r="K588" s="505" t="s">
        <v>2102</v>
      </c>
      <c r="L588" s="505" t="s">
        <v>153</v>
      </c>
      <c r="M588" s="371"/>
      <c r="N588" s="371"/>
      <c r="O588" s="371"/>
    </row>
    <row r="589" spans="1:15" s="325" customFormat="1" ht="15">
      <c r="A589" s="515">
        <v>45982</v>
      </c>
      <c r="B589" s="505" t="s">
        <v>4876</v>
      </c>
      <c r="C589" s="505" t="s">
        <v>172</v>
      </c>
      <c r="D589" s="510" t="s">
        <v>119</v>
      </c>
      <c r="E589" s="545">
        <v>1000</v>
      </c>
      <c r="F589" s="502">
        <f t="shared" si="10"/>
        <v>1.8744037053212446</v>
      </c>
      <c r="G589" s="503">
        <v>533.50300000000004</v>
      </c>
      <c r="H589" s="505" t="s">
        <v>315</v>
      </c>
      <c r="I589" s="505" t="s">
        <v>4288</v>
      </c>
      <c r="J589" s="505" t="s">
        <v>96</v>
      </c>
      <c r="K589" s="505" t="s">
        <v>2102</v>
      </c>
      <c r="L589" s="505" t="s">
        <v>153</v>
      </c>
      <c r="M589" s="371"/>
      <c r="N589" s="371"/>
      <c r="O589" s="371"/>
    </row>
    <row r="590" spans="1:15" s="325" customFormat="1" ht="15">
      <c r="A590" s="515">
        <v>45982</v>
      </c>
      <c r="B590" s="505" t="s">
        <v>4626</v>
      </c>
      <c r="C590" s="505" t="s">
        <v>172</v>
      </c>
      <c r="D590" s="505" t="s">
        <v>115</v>
      </c>
      <c r="E590" s="545">
        <v>500</v>
      </c>
      <c r="F590" s="502">
        <f t="shared" si="10"/>
        <v>0.93720185266062228</v>
      </c>
      <c r="G590" s="503">
        <v>533.50300000000004</v>
      </c>
      <c r="H590" s="505" t="s">
        <v>185</v>
      </c>
      <c r="I590" s="505" t="s">
        <v>4631</v>
      </c>
      <c r="J590" s="505" t="s">
        <v>96</v>
      </c>
      <c r="K590" s="505" t="s">
        <v>2102</v>
      </c>
      <c r="L590" s="505" t="s">
        <v>153</v>
      </c>
    </row>
    <row r="591" spans="1:15" s="325" customFormat="1" ht="15">
      <c r="A591" s="515">
        <v>45982</v>
      </c>
      <c r="B591" s="505" t="s">
        <v>4625</v>
      </c>
      <c r="C591" s="505" t="s">
        <v>175</v>
      </c>
      <c r="D591" s="505" t="s">
        <v>115</v>
      </c>
      <c r="E591" s="545">
        <v>30000</v>
      </c>
      <c r="F591" s="502">
        <f t="shared" si="10"/>
        <v>56.232111159637334</v>
      </c>
      <c r="G591" s="503">
        <v>533.50300000000004</v>
      </c>
      <c r="H591" s="505" t="s">
        <v>185</v>
      </c>
      <c r="I591" s="505" t="s">
        <v>4649</v>
      </c>
      <c r="J591" s="505" t="s">
        <v>96</v>
      </c>
      <c r="K591" s="505" t="s">
        <v>2102</v>
      </c>
      <c r="L591" s="505" t="s">
        <v>153</v>
      </c>
    </row>
    <row r="592" spans="1:15" s="325" customFormat="1" ht="15">
      <c r="A592" s="515">
        <v>45982</v>
      </c>
      <c r="B592" s="505" t="s">
        <v>4627</v>
      </c>
      <c r="C592" s="505" t="s">
        <v>172</v>
      </c>
      <c r="D592" s="505" t="s">
        <v>115</v>
      </c>
      <c r="E592" s="545">
        <v>2500</v>
      </c>
      <c r="F592" s="502">
        <f t="shared" si="10"/>
        <v>4.6860092633031112</v>
      </c>
      <c r="G592" s="503">
        <v>533.50300000000004</v>
      </c>
      <c r="H592" s="505" t="s">
        <v>185</v>
      </c>
      <c r="I592" s="505" t="s">
        <v>4631</v>
      </c>
      <c r="J592" s="505" t="s">
        <v>96</v>
      </c>
      <c r="K592" s="505" t="s">
        <v>2102</v>
      </c>
      <c r="L592" s="505" t="s">
        <v>153</v>
      </c>
    </row>
    <row r="593" spans="1:15" s="325" customFormat="1" ht="15">
      <c r="A593" s="529">
        <v>45983</v>
      </c>
      <c r="B593" s="505" t="s">
        <v>4422</v>
      </c>
      <c r="C593" s="298" t="s">
        <v>194</v>
      </c>
      <c r="D593" s="298" t="s">
        <v>115</v>
      </c>
      <c r="E593" s="554">
        <v>2000</v>
      </c>
      <c r="F593" s="502">
        <f t="shared" si="10"/>
        <v>3.7488074106424891</v>
      </c>
      <c r="G593" s="503">
        <v>533.50300000000004</v>
      </c>
      <c r="H593" s="298" t="s">
        <v>435</v>
      </c>
      <c r="I593" s="505" t="s">
        <v>4451</v>
      </c>
      <c r="J593" s="505" t="s">
        <v>96</v>
      </c>
      <c r="K593" s="505" t="s">
        <v>2102</v>
      </c>
      <c r="L593" s="505" t="s">
        <v>153</v>
      </c>
      <c r="M593" s="449"/>
      <c r="N593" s="449"/>
      <c r="O593" s="449"/>
    </row>
    <row r="594" spans="1:15" s="325" customFormat="1" ht="15">
      <c r="A594" s="529">
        <v>45983</v>
      </c>
      <c r="B594" s="505" t="s">
        <v>4423</v>
      </c>
      <c r="C594" s="298" t="s">
        <v>194</v>
      </c>
      <c r="D594" s="298" t="s">
        <v>115</v>
      </c>
      <c r="E594" s="554">
        <v>2000</v>
      </c>
      <c r="F594" s="502">
        <f t="shared" si="10"/>
        <v>3.7488074106424891</v>
      </c>
      <c r="G594" s="503">
        <v>533.50300000000004</v>
      </c>
      <c r="H594" s="298" t="s">
        <v>435</v>
      </c>
      <c r="I594" s="505" t="s">
        <v>4451</v>
      </c>
      <c r="J594" s="505" t="s">
        <v>96</v>
      </c>
      <c r="K594" s="505" t="s">
        <v>2102</v>
      </c>
      <c r="L594" s="505" t="s">
        <v>153</v>
      </c>
      <c r="M594" s="449"/>
      <c r="N594" s="449"/>
      <c r="O594" s="449"/>
    </row>
    <row r="595" spans="1:15" s="325" customFormat="1" ht="15">
      <c r="A595" s="529">
        <v>45984</v>
      </c>
      <c r="B595" s="505" t="s">
        <v>4419</v>
      </c>
      <c r="C595" s="298" t="s">
        <v>194</v>
      </c>
      <c r="D595" s="298" t="s">
        <v>115</v>
      </c>
      <c r="E595" s="554">
        <v>37000</v>
      </c>
      <c r="F595" s="502">
        <f t="shared" si="10"/>
        <v>69.352937096886052</v>
      </c>
      <c r="G595" s="503">
        <v>533.50300000000004</v>
      </c>
      <c r="H595" s="298" t="s">
        <v>435</v>
      </c>
      <c r="I595" s="505" t="s">
        <v>4448</v>
      </c>
      <c r="J595" s="505" t="s">
        <v>96</v>
      </c>
      <c r="K595" s="505" t="s">
        <v>2102</v>
      </c>
      <c r="L595" s="505" t="s">
        <v>153</v>
      </c>
      <c r="M595" s="449"/>
      <c r="N595" s="371"/>
      <c r="O595" s="371"/>
    </row>
    <row r="596" spans="1:15" s="325" customFormat="1" ht="15">
      <c r="A596" s="523">
        <v>45984</v>
      </c>
      <c r="B596" s="510" t="s">
        <v>4917</v>
      </c>
      <c r="C596" s="510" t="s">
        <v>172</v>
      </c>
      <c r="D596" s="510" t="s">
        <v>119</v>
      </c>
      <c r="E596" s="638">
        <v>1000</v>
      </c>
      <c r="F596" s="502">
        <f t="shared" si="10"/>
        <v>1.8744037053212446</v>
      </c>
      <c r="G596" s="503">
        <v>533.50300000000004</v>
      </c>
      <c r="H596" s="510" t="s">
        <v>182</v>
      </c>
      <c r="I596" s="510" t="s">
        <v>4237</v>
      </c>
      <c r="J596" s="505" t="s">
        <v>96</v>
      </c>
      <c r="K596" s="505" t="s">
        <v>2102</v>
      </c>
      <c r="L596" s="505" t="s">
        <v>153</v>
      </c>
      <c r="M596" s="371"/>
      <c r="N596" s="371"/>
      <c r="O596" s="371"/>
    </row>
    <row r="597" spans="1:15" s="325" customFormat="1" ht="15">
      <c r="A597" s="523">
        <v>45984</v>
      </c>
      <c r="B597" s="510" t="s">
        <v>4917</v>
      </c>
      <c r="C597" s="510" t="s">
        <v>172</v>
      </c>
      <c r="D597" s="510" t="s">
        <v>119</v>
      </c>
      <c r="E597" s="638">
        <v>1000</v>
      </c>
      <c r="F597" s="502">
        <f t="shared" si="10"/>
        <v>1.8744037053212446</v>
      </c>
      <c r="G597" s="503">
        <v>533.50300000000004</v>
      </c>
      <c r="H597" s="510" t="s">
        <v>182</v>
      </c>
      <c r="I597" s="510" t="s">
        <v>4237</v>
      </c>
      <c r="J597" s="505" t="s">
        <v>96</v>
      </c>
      <c r="K597" s="505" t="s">
        <v>2102</v>
      </c>
      <c r="L597" s="505" t="s">
        <v>153</v>
      </c>
      <c r="M597" s="371"/>
      <c r="N597" s="371"/>
      <c r="O597" s="371"/>
    </row>
    <row r="598" spans="1:15" s="325" customFormat="1" ht="15">
      <c r="A598" s="523">
        <v>45984</v>
      </c>
      <c r="B598" s="510" t="s">
        <v>4758</v>
      </c>
      <c r="C598" s="510" t="s">
        <v>172</v>
      </c>
      <c r="D598" s="510" t="s">
        <v>119</v>
      </c>
      <c r="E598" s="638">
        <v>9000</v>
      </c>
      <c r="F598" s="502">
        <f t="shared" si="10"/>
        <v>16.869633347891202</v>
      </c>
      <c r="G598" s="503">
        <v>533.50300000000004</v>
      </c>
      <c r="H598" s="510" t="s">
        <v>182</v>
      </c>
      <c r="I598" s="510" t="s">
        <v>4249</v>
      </c>
      <c r="J598" s="505" t="s">
        <v>96</v>
      </c>
      <c r="K598" s="505" t="s">
        <v>2102</v>
      </c>
      <c r="L598" s="505" t="s">
        <v>153</v>
      </c>
      <c r="M598" s="371"/>
      <c r="N598" s="371"/>
      <c r="O598" s="371"/>
    </row>
    <row r="599" spans="1:15" s="325" customFormat="1" ht="15">
      <c r="A599" s="515">
        <v>45984</v>
      </c>
      <c r="B599" s="505" t="s">
        <v>4876</v>
      </c>
      <c r="C599" s="505" t="s">
        <v>172</v>
      </c>
      <c r="D599" s="510" t="s">
        <v>119</v>
      </c>
      <c r="E599" s="545">
        <v>1000</v>
      </c>
      <c r="F599" s="502">
        <f t="shared" si="10"/>
        <v>1.8744037053212446</v>
      </c>
      <c r="G599" s="503">
        <v>533.50300000000004</v>
      </c>
      <c r="H599" s="505" t="s">
        <v>315</v>
      </c>
      <c r="I599" s="505" t="s">
        <v>4288</v>
      </c>
      <c r="J599" s="505" t="s">
        <v>96</v>
      </c>
      <c r="K599" s="505" t="s">
        <v>2102</v>
      </c>
      <c r="L599" s="505" t="s">
        <v>153</v>
      </c>
      <c r="M599" s="371"/>
      <c r="N599" s="371"/>
      <c r="O599" s="371"/>
    </row>
    <row r="600" spans="1:15" s="325" customFormat="1" ht="15">
      <c r="A600" s="515">
        <v>45984</v>
      </c>
      <c r="B600" s="505" t="s">
        <v>4876</v>
      </c>
      <c r="C600" s="505" t="s">
        <v>172</v>
      </c>
      <c r="D600" s="510" t="s">
        <v>119</v>
      </c>
      <c r="E600" s="545">
        <v>1000</v>
      </c>
      <c r="F600" s="502">
        <f t="shared" si="10"/>
        <v>1.8744037053212446</v>
      </c>
      <c r="G600" s="503">
        <v>533.50300000000004</v>
      </c>
      <c r="H600" s="505" t="s">
        <v>315</v>
      </c>
      <c r="I600" s="505" t="s">
        <v>4288</v>
      </c>
      <c r="J600" s="505" t="s">
        <v>96</v>
      </c>
      <c r="K600" s="505" t="s">
        <v>2102</v>
      </c>
      <c r="L600" s="505" t="s">
        <v>153</v>
      </c>
      <c r="M600" s="371"/>
      <c r="N600" s="371"/>
      <c r="O600" s="371"/>
    </row>
    <row r="601" spans="1:15" s="325" customFormat="1" ht="15">
      <c r="A601" s="529">
        <v>45984</v>
      </c>
      <c r="B601" s="505" t="s">
        <v>4424</v>
      </c>
      <c r="C601" s="298" t="s">
        <v>194</v>
      </c>
      <c r="D601" s="298" t="s">
        <v>115</v>
      </c>
      <c r="E601" s="554">
        <v>3000</v>
      </c>
      <c r="F601" s="502">
        <f t="shared" si="10"/>
        <v>5.6232111159637332</v>
      </c>
      <c r="G601" s="503">
        <v>533.50300000000004</v>
      </c>
      <c r="H601" s="298" t="s">
        <v>435</v>
      </c>
      <c r="I601" s="505" t="s">
        <v>4451</v>
      </c>
      <c r="J601" s="505" t="s">
        <v>96</v>
      </c>
      <c r="K601" s="505" t="s">
        <v>2102</v>
      </c>
      <c r="L601" s="505" t="s">
        <v>153</v>
      </c>
      <c r="M601" s="371"/>
      <c r="N601" s="371"/>
      <c r="O601" s="371"/>
    </row>
    <row r="602" spans="1:15" s="325" customFormat="1" ht="15">
      <c r="A602" s="529">
        <v>45984</v>
      </c>
      <c r="B602" s="505" t="s">
        <v>4425</v>
      </c>
      <c r="C602" s="298" t="s">
        <v>194</v>
      </c>
      <c r="D602" s="298" t="s">
        <v>115</v>
      </c>
      <c r="E602" s="554">
        <v>500</v>
      </c>
      <c r="F602" s="502">
        <f t="shared" si="10"/>
        <v>0.93720185266062228</v>
      </c>
      <c r="G602" s="503">
        <v>533.50300000000004</v>
      </c>
      <c r="H602" s="298" t="s">
        <v>435</v>
      </c>
      <c r="I602" s="505" t="s">
        <v>4451</v>
      </c>
      <c r="J602" s="505" t="s">
        <v>96</v>
      </c>
      <c r="K602" s="505" t="s">
        <v>2102</v>
      </c>
      <c r="L602" s="505" t="s">
        <v>153</v>
      </c>
      <c r="M602" s="371"/>
      <c r="N602" s="371"/>
      <c r="O602" s="371"/>
    </row>
    <row r="603" spans="1:15" s="325" customFormat="1" ht="15">
      <c r="A603" s="529">
        <v>45984</v>
      </c>
      <c r="B603" s="505" t="s">
        <v>4426</v>
      </c>
      <c r="C603" s="505" t="s">
        <v>175</v>
      </c>
      <c r="D603" s="505" t="s">
        <v>115</v>
      </c>
      <c r="E603" s="554">
        <v>70000</v>
      </c>
      <c r="F603" s="502">
        <f t="shared" si="10"/>
        <v>131.20825937248711</v>
      </c>
      <c r="G603" s="503">
        <v>533.50300000000004</v>
      </c>
      <c r="H603" s="298" t="s">
        <v>435</v>
      </c>
      <c r="I603" s="505" t="s">
        <v>4452</v>
      </c>
      <c r="J603" s="505" t="s">
        <v>96</v>
      </c>
      <c r="K603" s="505" t="s">
        <v>2102</v>
      </c>
      <c r="L603" s="505" t="s">
        <v>153</v>
      </c>
      <c r="M603" s="371"/>
      <c r="N603" s="371"/>
      <c r="O603" s="371"/>
    </row>
    <row r="604" spans="1:15" s="325" customFormat="1" ht="15">
      <c r="A604" s="529">
        <v>45985</v>
      </c>
      <c r="B604" s="505" t="s">
        <v>4427</v>
      </c>
      <c r="C604" s="505" t="s">
        <v>175</v>
      </c>
      <c r="D604" s="505" t="s">
        <v>115</v>
      </c>
      <c r="E604" s="554">
        <v>15000</v>
      </c>
      <c r="F604" s="502">
        <f t="shared" si="10"/>
        <v>28.116055579818667</v>
      </c>
      <c r="G604" s="503">
        <v>533.50300000000004</v>
      </c>
      <c r="H604" s="298" t="s">
        <v>435</v>
      </c>
      <c r="I604" s="505" t="s">
        <v>4453</v>
      </c>
      <c r="J604" s="505" t="s">
        <v>96</v>
      </c>
      <c r="K604" s="505" t="s">
        <v>2102</v>
      </c>
      <c r="L604" s="505" t="s">
        <v>153</v>
      </c>
      <c r="M604" s="371"/>
      <c r="N604" s="371"/>
      <c r="O604" s="371"/>
    </row>
    <row r="605" spans="1:15" s="325" customFormat="1" ht="15">
      <c r="A605" s="629">
        <v>45985</v>
      </c>
      <c r="B605" s="298" t="s">
        <v>2103</v>
      </c>
      <c r="C605" s="298" t="s">
        <v>172</v>
      </c>
      <c r="D605" s="506" t="s">
        <v>117</v>
      </c>
      <c r="E605" s="630">
        <v>1000</v>
      </c>
      <c r="F605" s="502">
        <f t="shared" si="10"/>
        <v>1.8744037053212446</v>
      </c>
      <c r="G605" s="503">
        <v>533.50300000000004</v>
      </c>
      <c r="H605" s="631" t="s">
        <v>151</v>
      </c>
      <c r="I605" s="298" t="s">
        <v>4133</v>
      </c>
      <c r="J605" s="505" t="s">
        <v>96</v>
      </c>
      <c r="K605" s="505" t="s">
        <v>2102</v>
      </c>
      <c r="L605" s="505" t="s">
        <v>153</v>
      </c>
      <c r="M605" s="449"/>
      <c r="N605" s="449"/>
      <c r="O605" s="449"/>
    </row>
    <row r="606" spans="1:15" s="325" customFormat="1" ht="15">
      <c r="A606" s="629">
        <v>45985</v>
      </c>
      <c r="B606" s="298" t="s">
        <v>2387</v>
      </c>
      <c r="C606" s="298" t="s">
        <v>172</v>
      </c>
      <c r="D606" s="506" t="s">
        <v>117</v>
      </c>
      <c r="E606" s="630">
        <v>1000</v>
      </c>
      <c r="F606" s="502">
        <f t="shared" si="10"/>
        <v>1.8744037053212446</v>
      </c>
      <c r="G606" s="503">
        <v>533.50300000000004</v>
      </c>
      <c r="H606" s="631" t="s">
        <v>151</v>
      </c>
      <c r="I606" s="298" t="s">
        <v>4133</v>
      </c>
      <c r="J606" s="505" t="s">
        <v>96</v>
      </c>
      <c r="K606" s="505" t="s">
        <v>2102</v>
      </c>
      <c r="L606" s="505" t="s">
        <v>153</v>
      </c>
      <c r="M606" s="449"/>
      <c r="N606" s="449"/>
      <c r="O606" s="449"/>
    </row>
    <row r="607" spans="1:15" s="325" customFormat="1" ht="15">
      <c r="A607" s="523">
        <v>45985</v>
      </c>
      <c r="B607" s="510" t="s">
        <v>4759</v>
      </c>
      <c r="C607" s="510" t="s">
        <v>175</v>
      </c>
      <c r="D607" s="510" t="s">
        <v>119</v>
      </c>
      <c r="E607" s="510">
        <v>150000</v>
      </c>
      <c r="F607" s="502">
        <f t="shared" si="10"/>
        <v>281.16055579818669</v>
      </c>
      <c r="G607" s="503">
        <v>533.50300000000004</v>
      </c>
      <c r="H607" s="510" t="s">
        <v>182</v>
      </c>
      <c r="I607" s="510" t="s">
        <v>4250</v>
      </c>
      <c r="J607" s="505" t="s">
        <v>96</v>
      </c>
      <c r="K607" s="505" t="s">
        <v>2102</v>
      </c>
      <c r="L607" s="505" t="s">
        <v>153</v>
      </c>
      <c r="M607" s="371"/>
      <c r="N607" s="371"/>
      <c r="O607" s="371"/>
    </row>
    <row r="608" spans="1:15" s="325" customFormat="1" ht="15">
      <c r="A608" s="523">
        <v>45985</v>
      </c>
      <c r="B608" s="510" t="s">
        <v>4880</v>
      </c>
      <c r="C608" s="510" t="s">
        <v>172</v>
      </c>
      <c r="D608" s="510" t="s">
        <v>119</v>
      </c>
      <c r="E608" s="510">
        <v>1000</v>
      </c>
      <c r="F608" s="502">
        <f t="shared" si="10"/>
        <v>1.8744037053212446</v>
      </c>
      <c r="G608" s="503">
        <v>533.50300000000004</v>
      </c>
      <c r="H608" s="510" t="s">
        <v>182</v>
      </c>
      <c r="I608" s="510" t="s">
        <v>4237</v>
      </c>
      <c r="J608" s="505" t="s">
        <v>96</v>
      </c>
      <c r="K608" s="505" t="s">
        <v>2102</v>
      </c>
      <c r="L608" s="505" t="s">
        <v>153</v>
      </c>
      <c r="M608" s="371"/>
      <c r="N608" s="371"/>
      <c r="O608" s="371"/>
    </row>
    <row r="609" spans="1:15" s="325" customFormat="1" ht="15">
      <c r="A609" s="523">
        <v>45985</v>
      </c>
      <c r="B609" s="510" t="s">
        <v>4917</v>
      </c>
      <c r="C609" s="510" t="s">
        <v>172</v>
      </c>
      <c r="D609" s="510" t="s">
        <v>119</v>
      </c>
      <c r="E609" s="510">
        <v>1500</v>
      </c>
      <c r="F609" s="502">
        <f t="shared" si="10"/>
        <v>2.8116055579818666</v>
      </c>
      <c r="G609" s="503">
        <v>533.50300000000004</v>
      </c>
      <c r="H609" s="510" t="s">
        <v>182</v>
      </c>
      <c r="I609" s="510" t="s">
        <v>4237</v>
      </c>
      <c r="J609" s="505" t="s">
        <v>96</v>
      </c>
      <c r="K609" s="505" t="s">
        <v>2102</v>
      </c>
      <c r="L609" s="505" t="s">
        <v>153</v>
      </c>
      <c r="M609" s="449"/>
      <c r="N609" s="371"/>
      <c r="O609" s="371"/>
    </row>
    <row r="610" spans="1:15" s="325" customFormat="1" ht="15">
      <c r="A610" s="515">
        <v>45985</v>
      </c>
      <c r="B610" s="505" t="s">
        <v>4917</v>
      </c>
      <c r="C610" s="505" t="s">
        <v>172</v>
      </c>
      <c r="D610" s="510" t="s">
        <v>119</v>
      </c>
      <c r="E610" s="505">
        <v>1000</v>
      </c>
      <c r="F610" s="502">
        <f t="shared" si="10"/>
        <v>1.8744037053212446</v>
      </c>
      <c r="G610" s="503">
        <v>533.50300000000004</v>
      </c>
      <c r="H610" s="505" t="s">
        <v>173</v>
      </c>
      <c r="I610" s="505" t="s">
        <v>4263</v>
      </c>
      <c r="J610" s="505" t="s">
        <v>96</v>
      </c>
      <c r="K610" s="505" t="s">
        <v>2102</v>
      </c>
      <c r="L610" s="505" t="s">
        <v>153</v>
      </c>
      <c r="M610" s="371"/>
      <c r="N610" s="371"/>
      <c r="O610" s="371"/>
    </row>
    <row r="611" spans="1:15" s="325" customFormat="1" ht="15">
      <c r="A611" s="515">
        <v>45985</v>
      </c>
      <c r="B611" s="505" t="s">
        <v>4876</v>
      </c>
      <c r="C611" s="505" t="s">
        <v>172</v>
      </c>
      <c r="D611" s="510" t="s">
        <v>119</v>
      </c>
      <c r="E611" s="505">
        <v>1000</v>
      </c>
      <c r="F611" s="502">
        <f t="shared" si="10"/>
        <v>1.8744037053212446</v>
      </c>
      <c r="G611" s="503">
        <v>533.50300000000004</v>
      </c>
      <c r="H611" s="505" t="s">
        <v>173</v>
      </c>
      <c r="I611" s="505" t="s">
        <v>4263</v>
      </c>
      <c r="J611" s="505" t="s">
        <v>96</v>
      </c>
      <c r="K611" s="505" t="s">
        <v>2102</v>
      </c>
      <c r="L611" s="505" t="s">
        <v>153</v>
      </c>
      <c r="M611" s="371"/>
      <c r="N611" s="371"/>
      <c r="O611" s="371"/>
    </row>
    <row r="612" spans="1:15" s="325" customFormat="1" ht="15">
      <c r="A612" s="515">
        <v>45985</v>
      </c>
      <c r="B612" s="505" t="s">
        <v>4760</v>
      </c>
      <c r="C612" s="505" t="s">
        <v>175</v>
      </c>
      <c r="D612" s="510" t="s">
        <v>119</v>
      </c>
      <c r="E612" s="514">
        <v>150000</v>
      </c>
      <c r="F612" s="502">
        <f t="shared" si="10"/>
        <v>281.16055579818669</v>
      </c>
      <c r="G612" s="503">
        <v>533.50300000000004</v>
      </c>
      <c r="H612" s="505" t="s">
        <v>315</v>
      </c>
      <c r="I612" s="505" t="s">
        <v>4300</v>
      </c>
      <c r="J612" s="505" t="s">
        <v>96</v>
      </c>
      <c r="K612" s="505" t="s">
        <v>2102</v>
      </c>
      <c r="L612" s="505" t="s">
        <v>153</v>
      </c>
      <c r="M612" s="371"/>
      <c r="N612" s="371"/>
      <c r="O612" s="371"/>
    </row>
    <row r="613" spans="1:15" s="325" customFormat="1" ht="15">
      <c r="A613" s="515">
        <v>45985</v>
      </c>
      <c r="B613" s="505" t="s">
        <v>4876</v>
      </c>
      <c r="C613" s="505" t="s">
        <v>172</v>
      </c>
      <c r="D613" s="510" t="s">
        <v>119</v>
      </c>
      <c r="E613" s="505">
        <v>1000</v>
      </c>
      <c r="F613" s="502">
        <f t="shared" si="10"/>
        <v>1.8744037053212446</v>
      </c>
      <c r="G613" s="503">
        <v>533.50300000000004</v>
      </c>
      <c r="H613" s="505" t="s">
        <v>315</v>
      </c>
      <c r="I613" s="505" t="s">
        <v>4288</v>
      </c>
      <c r="J613" s="505" t="s">
        <v>96</v>
      </c>
      <c r="K613" s="505" t="s">
        <v>2102</v>
      </c>
      <c r="L613" s="505" t="s">
        <v>153</v>
      </c>
      <c r="M613" s="449"/>
      <c r="N613" s="449"/>
      <c r="O613" s="449"/>
    </row>
    <row r="614" spans="1:15" s="325" customFormat="1" ht="15">
      <c r="A614" s="515">
        <v>45985</v>
      </c>
      <c r="B614" s="505" t="s">
        <v>4749</v>
      </c>
      <c r="C614" s="505" t="s">
        <v>172</v>
      </c>
      <c r="D614" s="510" t="s">
        <v>119</v>
      </c>
      <c r="E614" s="514">
        <v>9000</v>
      </c>
      <c r="F614" s="502">
        <f t="shared" si="10"/>
        <v>16.869633347891202</v>
      </c>
      <c r="G614" s="503">
        <v>533.50300000000004</v>
      </c>
      <c r="H614" s="505" t="s">
        <v>315</v>
      </c>
      <c r="I614" s="505" t="s">
        <v>4301</v>
      </c>
      <c r="J614" s="505" t="s">
        <v>96</v>
      </c>
      <c r="K614" s="505" t="s">
        <v>2102</v>
      </c>
      <c r="L614" s="505" t="s">
        <v>153</v>
      </c>
      <c r="M614" s="449"/>
      <c r="N614" s="449"/>
      <c r="O614" s="449"/>
    </row>
    <row r="615" spans="1:15" s="325" customFormat="1" ht="15">
      <c r="A615" s="515">
        <v>45985</v>
      </c>
      <c r="B615" s="505" t="s">
        <v>4876</v>
      </c>
      <c r="C615" s="505" t="s">
        <v>172</v>
      </c>
      <c r="D615" s="510" t="s">
        <v>119</v>
      </c>
      <c r="E615" s="505">
        <v>2500</v>
      </c>
      <c r="F615" s="502">
        <f t="shared" si="10"/>
        <v>4.6860092633031112</v>
      </c>
      <c r="G615" s="503">
        <v>533.50300000000004</v>
      </c>
      <c r="H615" s="505" t="s">
        <v>315</v>
      </c>
      <c r="I615" s="505" t="s">
        <v>4288</v>
      </c>
      <c r="J615" s="505" t="s">
        <v>96</v>
      </c>
      <c r="K615" s="505" t="s">
        <v>2102</v>
      </c>
      <c r="L615" s="505" t="s">
        <v>153</v>
      </c>
      <c r="M615" s="449"/>
      <c r="N615" s="449"/>
      <c r="O615" s="449"/>
    </row>
    <row r="616" spans="1:15" s="325" customFormat="1" ht="15">
      <c r="A616" s="515">
        <v>45985</v>
      </c>
      <c r="B616" s="505" t="s">
        <v>4403</v>
      </c>
      <c r="C616" s="505" t="s">
        <v>172</v>
      </c>
      <c r="D616" s="505" t="s">
        <v>115</v>
      </c>
      <c r="E616" s="530">
        <v>1000</v>
      </c>
      <c r="F616" s="502">
        <f t="shared" si="10"/>
        <v>1.8744037053212446</v>
      </c>
      <c r="G616" s="503">
        <v>533.50300000000004</v>
      </c>
      <c r="H616" s="505" t="s">
        <v>191</v>
      </c>
      <c r="I616" s="505" t="s">
        <v>4405</v>
      </c>
      <c r="J616" s="505" t="s">
        <v>96</v>
      </c>
      <c r="K616" s="505" t="s">
        <v>2102</v>
      </c>
      <c r="L616" s="505" t="s">
        <v>153</v>
      </c>
      <c r="M616" s="449"/>
      <c r="N616" s="449"/>
      <c r="O616" s="449"/>
    </row>
    <row r="617" spans="1:15" s="325" customFormat="1" ht="15">
      <c r="A617" s="515">
        <v>45985</v>
      </c>
      <c r="B617" s="505" t="s">
        <v>4404</v>
      </c>
      <c r="C617" s="505" t="s">
        <v>172</v>
      </c>
      <c r="D617" s="505" t="s">
        <v>115</v>
      </c>
      <c r="E617" s="530">
        <v>1000</v>
      </c>
      <c r="F617" s="502">
        <f t="shared" si="10"/>
        <v>1.8744037053212446</v>
      </c>
      <c r="G617" s="503">
        <v>533.50300000000004</v>
      </c>
      <c r="H617" s="505" t="s">
        <v>191</v>
      </c>
      <c r="I617" s="505" t="s">
        <v>4405</v>
      </c>
      <c r="J617" s="505" t="s">
        <v>96</v>
      </c>
      <c r="K617" s="505" t="s">
        <v>2102</v>
      </c>
      <c r="L617" s="505" t="s">
        <v>153</v>
      </c>
      <c r="M617" s="449"/>
      <c r="N617" s="449"/>
      <c r="O617" s="449"/>
    </row>
    <row r="618" spans="1:15" s="325" customFormat="1" ht="15">
      <c r="A618" s="529">
        <v>45985</v>
      </c>
      <c r="B618" s="505" t="s">
        <v>4428</v>
      </c>
      <c r="C618" s="298" t="s">
        <v>194</v>
      </c>
      <c r="D618" s="298" t="s">
        <v>115</v>
      </c>
      <c r="E618" s="530">
        <v>500</v>
      </c>
      <c r="F618" s="502">
        <f t="shared" si="10"/>
        <v>0.93720185266062228</v>
      </c>
      <c r="G618" s="503">
        <v>533.50300000000004</v>
      </c>
      <c r="H618" s="298" t="s">
        <v>435</v>
      </c>
      <c r="I618" s="505" t="s">
        <v>4451</v>
      </c>
      <c r="J618" s="505" t="s">
        <v>96</v>
      </c>
      <c r="K618" s="505" t="s">
        <v>2102</v>
      </c>
      <c r="L618" s="505" t="s">
        <v>153</v>
      </c>
      <c r="M618" s="371"/>
      <c r="N618" s="371"/>
      <c r="O618" s="371"/>
    </row>
    <row r="619" spans="1:15" s="325" customFormat="1" ht="15">
      <c r="A619" s="529">
        <v>45985</v>
      </c>
      <c r="B619" s="505" t="s">
        <v>2626</v>
      </c>
      <c r="C619" s="298" t="s">
        <v>194</v>
      </c>
      <c r="D619" s="298" t="s">
        <v>115</v>
      </c>
      <c r="E619" s="530">
        <v>500</v>
      </c>
      <c r="F619" s="502">
        <f t="shared" ref="F619:F682" si="11">E619/G619</f>
        <v>0.93720185266062228</v>
      </c>
      <c r="G619" s="503">
        <v>533.50300000000004</v>
      </c>
      <c r="H619" s="298" t="s">
        <v>435</v>
      </c>
      <c r="I619" s="505" t="s">
        <v>4451</v>
      </c>
      <c r="J619" s="505" t="s">
        <v>96</v>
      </c>
      <c r="K619" s="505" t="s">
        <v>2102</v>
      </c>
      <c r="L619" s="505" t="s">
        <v>153</v>
      </c>
      <c r="M619" s="371"/>
      <c r="N619" s="371"/>
      <c r="O619" s="371"/>
    </row>
    <row r="620" spans="1:15" s="325" customFormat="1" ht="15">
      <c r="A620" s="543">
        <v>45985</v>
      </c>
      <c r="B620" s="544" t="s">
        <v>4704</v>
      </c>
      <c r="C620" s="505" t="s">
        <v>121</v>
      </c>
      <c r="D620" s="505" t="s">
        <v>115</v>
      </c>
      <c r="E620" s="518">
        <v>200000</v>
      </c>
      <c r="F620" s="502">
        <f t="shared" si="11"/>
        <v>374.88074106424892</v>
      </c>
      <c r="G620" s="503">
        <v>533.50300000000004</v>
      </c>
      <c r="H620" s="125" t="s">
        <v>146</v>
      </c>
      <c r="I620" s="125" t="s">
        <v>4714</v>
      </c>
      <c r="J620" s="505" t="s">
        <v>96</v>
      </c>
      <c r="K620" s="505" t="s">
        <v>2102</v>
      </c>
      <c r="L620" s="505" t="s">
        <v>153</v>
      </c>
    </row>
    <row r="621" spans="1:15" s="325" customFormat="1" ht="15">
      <c r="A621" s="543">
        <v>45985</v>
      </c>
      <c r="B621" s="544" t="s">
        <v>4705</v>
      </c>
      <c r="C621" s="505" t="s">
        <v>121</v>
      </c>
      <c r="D621" s="505" t="s">
        <v>115</v>
      </c>
      <c r="E621" s="518">
        <v>300000</v>
      </c>
      <c r="F621" s="502">
        <f t="shared" si="11"/>
        <v>562.32111159637338</v>
      </c>
      <c r="G621" s="503">
        <v>533.50300000000004</v>
      </c>
      <c r="H621" s="125" t="s">
        <v>146</v>
      </c>
      <c r="I621" s="125" t="s">
        <v>4715</v>
      </c>
      <c r="J621" s="505" t="s">
        <v>96</v>
      </c>
      <c r="K621" s="505" t="s">
        <v>2102</v>
      </c>
      <c r="L621" s="505" t="s">
        <v>153</v>
      </c>
    </row>
    <row r="622" spans="1:15" s="325" customFormat="1" ht="15">
      <c r="A622" s="529">
        <v>45986</v>
      </c>
      <c r="B622" s="505" t="s">
        <v>4429</v>
      </c>
      <c r="C622" s="505" t="s">
        <v>175</v>
      </c>
      <c r="D622" s="505" t="s">
        <v>115</v>
      </c>
      <c r="E622" s="530">
        <v>15000</v>
      </c>
      <c r="F622" s="502">
        <f t="shared" si="11"/>
        <v>28.116055579818667</v>
      </c>
      <c r="G622" s="503">
        <v>533.50300000000004</v>
      </c>
      <c r="H622" s="298" t="s">
        <v>435</v>
      </c>
      <c r="I622" s="505" t="s">
        <v>4454</v>
      </c>
      <c r="J622" s="505" t="s">
        <v>96</v>
      </c>
      <c r="K622" s="505" t="s">
        <v>2102</v>
      </c>
      <c r="L622" s="505" t="s">
        <v>153</v>
      </c>
    </row>
    <row r="623" spans="1:15" s="325" customFormat="1" ht="15">
      <c r="A623" s="629">
        <v>45986</v>
      </c>
      <c r="B623" s="298" t="s">
        <v>2106</v>
      </c>
      <c r="C623" s="298" t="s">
        <v>172</v>
      </c>
      <c r="D623" s="506" t="s">
        <v>117</v>
      </c>
      <c r="E623" s="630">
        <v>1000</v>
      </c>
      <c r="F623" s="502">
        <f t="shared" si="11"/>
        <v>1.8744037053212446</v>
      </c>
      <c r="G623" s="503">
        <v>533.50300000000004</v>
      </c>
      <c r="H623" s="631" t="s">
        <v>151</v>
      </c>
      <c r="I623" s="298" t="s">
        <v>4133</v>
      </c>
      <c r="J623" s="505" t="s">
        <v>96</v>
      </c>
      <c r="K623" s="505" t="s">
        <v>2102</v>
      </c>
      <c r="L623" s="505" t="s">
        <v>153</v>
      </c>
      <c r="M623" s="449"/>
      <c r="N623" s="371"/>
      <c r="O623" s="371"/>
    </row>
    <row r="624" spans="1:15" s="325" customFormat="1" ht="15">
      <c r="A624" s="629">
        <v>45986</v>
      </c>
      <c r="B624" s="298" t="s">
        <v>2387</v>
      </c>
      <c r="C624" s="298" t="s">
        <v>172</v>
      </c>
      <c r="D624" s="506" t="s">
        <v>117</v>
      </c>
      <c r="E624" s="630">
        <v>1000</v>
      </c>
      <c r="F624" s="502">
        <f t="shared" si="11"/>
        <v>1.8744037053212446</v>
      </c>
      <c r="G624" s="503">
        <v>533.50300000000004</v>
      </c>
      <c r="H624" s="631" t="s">
        <v>151</v>
      </c>
      <c r="I624" s="298" t="s">
        <v>4133</v>
      </c>
      <c r="J624" s="505" t="s">
        <v>96</v>
      </c>
      <c r="K624" s="505" t="s">
        <v>2102</v>
      </c>
      <c r="L624" s="505" t="s">
        <v>153</v>
      </c>
      <c r="M624" s="449"/>
      <c r="N624" s="371"/>
      <c r="O624" s="371"/>
    </row>
    <row r="625" spans="1:15" s="325" customFormat="1" ht="15">
      <c r="A625" s="517">
        <v>45986</v>
      </c>
      <c r="B625" s="505" t="s">
        <v>4198</v>
      </c>
      <c r="C625" s="505" t="s">
        <v>172</v>
      </c>
      <c r="D625" s="505" t="s">
        <v>116</v>
      </c>
      <c r="E625" s="518">
        <v>1000</v>
      </c>
      <c r="F625" s="502">
        <f t="shared" si="11"/>
        <v>1.8744037053212446</v>
      </c>
      <c r="G625" s="503">
        <v>533.50300000000004</v>
      </c>
      <c r="H625" s="505" t="s">
        <v>581</v>
      </c>
      <c r="I625" s="505" t="s">
        <v>4213</v>
      </c>
      <c r="J625" s="505" t="s">
        <v>96</v>
      </c>
      <c r="K625" s="505" t="s">
        <v>2102</v>
      </c>
      <c r="L625" s="505" t="s">
        <v>153</v>
      </c>
      <c r="M625" s="449"/>
      <c r="N625" s="449"/>
      <c r="O625" s="449"/>
    </row>
    <row r="626" spans="1:15" s="325" customFormat="1" ht="15">
      <c r="A626" s="517">
        <v>45986</v>
      </c>
      <c r="B626" s="505" t="s">
        <v>4201</v>
      </c>
      <c r="C626" s="505" t="s">
        <v>172</v>
      </c>
      <c r="D626" s="505" t="s">
        <v>116</v>
      </c>
      <c r="E626" s="518">
        <v>1000</v>
      </c>
      <c r="F626" s="502">
        <f t="shared" si="11"/>
        <v>1.8744037053212446</v>
      </c>
      <c r="G626" s="503">
        <v>533.50300000000004</v>
      </c>
      <c r="H626" s="505" t="s">
        <v>581</v>
      </c>
      <c r="I626" s="505" t="s">
        <v>4213</v>
      </c>
      <c r="J626" s="505" t="s">
        <v>96</v>
      </c>
      <c r="K626" s="505" t="s">
        <v>2102</v>
      </c>
      <c r="L626" s="505" t="s">
        <v>153</v>
      </c>
      <c r="M626" s="449"/>
      <c r="N626" s="449"/>
      <c r="O626" s="449"/>
    </row>
    <row r="627" spans="1:15" s="325" customFormat="1" ht="15">
      <c r="A627" s="515">
        <v>45986</v>
      </c>
      <c r="B627" s="505" t="s">
        <v>4357</v>
      </c>
      <c r="C627" s="505" t="s">
        <v>172</v>
      </c>
      <c r="D627" s="505" t="s">
        <v>115</v>
      </c>
      <c r="E627" s="518">
        <v>1000</v>
      </c>
      <c r="F627" s="502">
        <f t="shared" si="11"/>
        <v>1.8744037053212446</v>
      </c>
      <c r="G627" s="503">
        <v>533.50300000000004</v>
      </c>
      <c r="H627" s="505" t="s">
        <v>188</v>
      </c>
      <c r="I627" s="505" t="s">
        <v>4359</v>
      </c>
      <c r="J627" s="505" t="s">
        <v>96</v>
      </c>
      <c r="K627" s="505" t="s">
        <v>2102</v>
      </c>
      <c r="L627" s="505" t="s">
        <v>153</v>
      </c>
      <c r="M627" s="449"/>
      <c r="N627" s="449"/>
      <c r="O627" s="449"/>
    </row>
    <row r="628" spans="1:15" s="325" customFormat="1" ht="15">
      <c r="A628" s="515">
        <v>45986</v>
      </c>
      <c r="B628" s="505" t="s">
        <v>4358</v>
      </c>
      <c r="C628" s="505" t="s">
        <v>172</v>
      </c>
      <c r="D628" s="505" t="s">
        <v>115</v>
      </c>
      <c r="E628" s="518">
        <v>1000</v>
      </c>
      <c r="F628" s="502">
        <f t="shared" si="11"/>
        <v>1.8744037053212446</v>
      </c>
      <c r="G628" s="503">
        <v>533.50300000000004</v>
      </c>
      <c r="H628" s="505" t="s">
        <v>188</v>
      </c>
      <c r="I628" s="505" t="s">
        <v>4359</v>
      </c>
      <c r="J628" s="505" t="s">
        <v>96</v>
      </c>
      <c r="K628" s="505" t="s">
        <v>2102</v>
      </c>
      <c r="L628" s="505" t="s">
        <v>153</v>
      </c>
      <c r="M628" s="449"/>
      <c r="N628" s="449"/>
      <c r="O628" s="449"/>
    </row>
    <row r="629" spans="1:15" s="325" customFormat="1" ht="15">
      <c r="A629" s="529">
        <v>45986</v>
      </c>
      <c r="B629" s="505" t="s">
        <v>2628</v>
      </c>
      <c r="C629" s="298" t="s">
        <v>194</v>
      </c>
      <c r="D629" s="298" t="s">
        <v>115</v>
      </c>
      <c r="E629" s="530">
        <v>500</v>
      </c>
      <c r="F629" s="502">
        <f t="shared" si="11"/>
        <v>0.93720185266062228</v>
      </c>
      <c r="G629" s="503">
        <v>533.50300000000004</v>
      </c>
      <c r="H629" s="298" t="s">
        <v>435</v>
      </c>
      <c r="I629" s="505" t="s">
        <v>4451</v>
      </c>
      <c r="J629" s="505" t="s">
        <v>96</v>
      </c>
      <c r="K629" s="505" t="s">
        <v>2102</v>
      </c>
      <c r="L629" s="505" t="s">
        <v>153</v>
      </c>
    </row>
    <row r="630" spans="1:15" s="325" customFormat="1" ht="15">
      <c r="A630" s="529">
        <v>45986</v>
      </c>
      <c r="B630" s="505" t="s">
        <v>2629</v>
      </c>
      <c r="C630" s="298" t="s">
        <v>194</v>
      </c>
      <c r="D630" s="298" t="s">
        <v>115</v>
      </c>
      <c r="E630" s="530">
        <v>500</v>
      </c>
      <c r="F630" s="502">
        <f t="shared" si="11"/>
        <v>0.93720185266062228</v>
      </c>
      <c r="G630" s="503">
        <v>533.50300000000004</v>
      </c>
      <c r="H630" s="298" t="s">
        <v>435</v>
      </c>
      <c r="I630" s="505" t="s">
        <v>4451</v>
      </c>
      <c r="J630" s="505" t="s">
        <v>96</v>
      </c>
      <c r="K630" s="505" t="s">
        <v>2102</v>
      </c>
      <c r="L630" s="505" t="s">
        <v>153</v>
      </c>
    </row>
    <row r="631" spans="1:15" s="325" customFormat="1" ht="15">
      <c r="A631" s="515">
        <v>45986</v>
      </c>
      <c r="B631" s="505" t="s">
        <v>4536</v>
      </c>
      <c r="C631" s="505" t="s">
        <v>2092</v>
      </c>
      <c r="D631" s="514" t="s">
        <v>118</v>
      </c>
      <c r="E631" s="518">
        <v>10000</v>
      </c>
      <c r="F631" s="502">
        <f t="shared" si="11"/>
        <v>18.744037053212445</v>
      </c>
      <c r="G631" s="503">
        <v>533.50300000000004</v>
      </c>
      <c r="H631" s="505" t="s">
        <v>211</v>
      </c>
      <c r="I631" s="505" t="s">
        <v>4572</v>
      </c>
      <c r="J631" s="505" t="s">
        <v>96</v>
      </c>
      <c r="K631" s="505" t="s">
        <v>2102</v>
      </c>
      <c r="L631" s="505" t="s">
        <v>153</v>
      </c>
      <c r="M631" s="371"/>
      <c r="N631" s="371"/>
      <c r="O631" s="371"/>
    </row>
    <row r="632" spans="1:15" s="325" customFormat="1" ht="15">
      <c r="A632" s="515">
        <v>45986</v>
      </c>
      <c r="B632" s="505" t="s">
        <v>4537</v>
      </c>
      <c r="C632" s="505" t="s">
        <v>2092</v>
      </c>
      <c r="D632" s="514" t="s">
        <v>118</v>
      </c>
      <c r="E632" s="518">
        <v>10000</v>
      </c>
      <c r="F632" s="502">
        <f t="shared" si="11"/>
        <v>18.744037053212445</v>
      </c>
      <c r="G632" s="503">
        <v>533.50300000000004</v>
      </c>
      <c r="H632" s="505" t="s">
        <v>211</v>
      </c>
      <c r="I632" s="505" t="s">
        <v>4572</v>
      </c>
      <c r="J632" s="505" t="s">
        <v>96</v>
      </c>
      <c r="K632" s="505" t="s">
        <v>2102</v>
      </c>
      <c r="L632" s="505" t="s">
        <v>153</v>
      </c>
      <c r="M632" s="371"/>
      <c r="N632" s="371"/>
      <c r="O632" s="371"/>
    </row>
    <row r="633" spans="1:15" s="325" customFormat="1" ht="15">
      <c r="A633" s="515">
        <v>45986</v>
      </c>
      <c r="B633" s="505" t="s">
        <v>4538</v>
      </c>
      <c r="C633" s="505" t="s">
        <v>2092</v>
      </c>
      <c r="D633" s="514" t="s">
        <v>118</v>
      </c>
      <c r="E633" s="518">
        <v>10000</v>
      </c>
      <c r="F633" s="502">
        <f t="shared" si="11"/>
        <v>18.744037053212445</v>
      </c>
      <c r="G633" s="503">
        <v>533.50300000000004</v>
      </c>
      <c r="H633" s="505" t="s">
        <v>211</v>
      </c>
      <c r="I633" s="505" t="s">
        <v>4572</v>
      </c>
      <c r="J633" s="505" t="s">
        <v>96</v>
      </c>
      <c r="K633" s="505" t="s">
        <v>2102</v>
      </c>
      <c r="L633" s="505" t="s">
        <v>153</v>
      </c>
      <c r="M633" s="371"/>
      <c r="N633" s="371"/>
      <c r="O633" s="371"/>
    </row>
    <row r="634" spans="1:15" s="325" customFormat="1" ht="15">
      <c r="A634" s="515">
        <v>45986</v>
      </c>
      <c r="B634" s="505" t="s">
        <v>4539</v>
      </c>
      <c r="C634" s="505" t="s">
        <v>2092</v>
      </c>
      <c r="D634" s="514" t="s">
        <v>118</v>
      </c>
      <c r="E634" s="518">
        <v>10000</v>
      </c>
      <c r="F634" s="502">
        <f t="shared" si="11"/>
        <v>18.744037053212445</v>
      </c>
      <c r="G634" s="503">
        <v>533.50300000000004</v>
      </c>
      <c r="H634" s="505" t="s">
        <v>211</v>
      </c>
      <c r="I634" s="505" t="s">
        <v>4572</v>
      </c>
      <c r="J634" s="505" t="s">
        <v>96</v>
      </c>
      <c r="K634" s="505" t="s">
        <v>2102</v>
      </c>
      <c r="L634" s="505" t="s">
        <v>153</v>
      </c>
      <c r="M634" s="371"/>
      <c r="N634" s="371"/>
      <c r="O634" s="371"/>
    </row>
    <row r="635" spans="1:15" s="325" customFormat="1" ht="15">
      <c r="A635" s="515">
        <v>45986</v>
      </c>
      <c r="B635" s="505" t="s">
        <v>4540</v>
      </c>
      <c r="C635" s="505" t="s">
        <v>2092</v>
      </c>
      <c r="D635" s="514" t="s">
        <v>118</v>
      </c>
      <c r="E635" s="518">
        <v>10000</v>
      </c>
      <c r="F635" s="502">
        <f t="shared" si="11"/>
        <v>18.744037053212445</v>
      </c>
      <c r="G635" s="503">
        <v>533.50300000000004</v>
      </c>
      <c r="H635" s="505" t="s">
        <v>211</v>
      </c>
      <c r="I635" s="505" t="s">
        <v>4572</v>
      </c>
      <c r="J635" s="505" t="s">
        <v>96</v>
      </c>
      <c r="K635" s="505" t="s">
        <v>2102</v>
      </c>
      <c r="L635" s="505" t="s">
        <v>153</v>
      </c>
      <c r="M635" s="371"/>
      <c r="N635" s="371"/>
      <c r="O635" s="371"/>
    </row>
    <row r="636" spans="1:15" s="325" customFormat="1" ht="15">
      <c r="A636" s="515">
        <v>45986</v>
      </c>
      <c r="B636" s="505" t="s">
        <v>4541</v>
      </c>
      <c r="C636" s="505" t="s">
        <v>2092</v>
      </c>
      <c r="D636" s="514" t="s">
        <v>118</v>
      </c>
      <c r="E636" s="518">
        <v>6000</v>
      </c>
      <c r="F636" s="502">
        <f t="shared" si="11"/>
        <v>11.246422231927466</v>
      </c>
      <c r="G636" s="503">
        <v>533.50300000000004</v>
      </c>
      <c r="H636" s="505" t="s">
        <v>211</v>
      </c>
      <c r="I636" s="505" t="s">
        <v>4573</v>
      </c>
      <c r="J636" s="505" t="s">
        <v>96</v>
      </c>
      <c r="K636" s="505" t="s">
        <v>2102</v>
      </c>
      <c r="L636" s="505" t="s">
        <v>153</v>
      </c>
      <c r="M636" s="449"/>
      <c r="N636" s="371"/>
      <c r="O636" s="371"/>
    </row>
    <row r="637" spans="1:15" s="325" customFormat="1" ht="15">
      <c r="A637" s="515">
        <v>45986</v>
      </c>
      <c r="B637" s="505" t="s">
        <v>4542</v>
      </c>
      <c r="C637" s="505" t="s">
        <v>2092</v>
      </c>
      <c r="D637" s="514" t="s">
        <v>118</v>
      </c>
      <c r="E637" s="518">
        <v>6000</v>
      </c>
      <c r="F637" s="502">
        <f t="shared" si="11"/>
        <v>11.246422231927466</v>
      </c>
      <c r="G637" s="503">
        <v>533.50300000000004</v>
      </c>
      <c r="H637" s="505" t="s">
        <v>211</v>
      </c>
      <c r="I637" s="505" t="s">
        <v>4573</v>
      </c>
      <c r="J637" s="505" t="s">
        <v>96</v>
      </c>
      <c r="K637" s="505" t="s">
        <v>2102</v>
      </c>
      <c r="L637" s="505" t="s">
        <v>153</v>
      </c>
      <c r="M637" s="449"/>
      <c r="N637" s="449"/>
      <c r="O637" s="449"/>
    </row>
    <row r="638" spans="1:15" s="325" customFormat="1" ht="15">
      <c r="A638" s="515">
        <v>45986</v>
      </c>
      <c r="B638" s="505" t="s">
        <v>4543</v>
      </c>
      <c r="C638" s="505" t="s">
        <v>2092</v>
      </c>
      <c r="D638" s="514" t="s">
        <v>118</v>
      </c>
      <c r="E638" s="518">
        <v>6000</v>
      </c>
      <c r="F638" s="502">
        <f t="shared" si="11"/>
        <v>11.246422231927466</v>
      </c>
      <c r="G638" s="503">
        <v>533.50300000000004</v>
      </c>
      <c r="H638" s="505" t="s">
        <v>211</v>
      </c>
      <c r="I638" s="505" t="s">
        <v>4573</v>
      </c>
      <c r="J638" s="505" t="s">
        <v>96</v>
      </c>
      <c r="K638" s="505" t="s">
        <v>2102</v>
      </c>
      <c r="L638" s="505" t="s">
        <v>153</v>
      </c>
      <c r="M638" s="449"/>
      <c r="N638" s="449"/>
      <c r="O638" s="449"/>
    </row>
    <row r="639" spans="1:15" s="325" customFormat="1" ht="15">
      <c r="A639" s="515">
        <v>45986</v>
      </c>
      <c r="B639" s="505" t="s">
        <v>4544</v>
      </c>
      <c r="C639" s="505" t="s">
        <v>2092</v>
      </c>
      <c r="D639" s="514" t="s">
        <v>118</v>
      </c>
      <c r="E639" s="518">
        <v>6000</v>
      </c>
      <c r="F639" s="502">
        <f t="shared" si="11"/>
        <v>11.246422231927466</v>
      </c>
      <c r="G639" s="503">
        <v>533.50300000000004</v>
      </c>
      <c r="H639" s="505" t="s">
        <v>211</v>
      </c>
      <c r="I639" s="505" t="s">
        <v>4573</v>
      </c>
      <c r="J639" s="505" t="s">
        <v>96</v>
      </c>
      <c r="K639" s="505" t="s">
        <v>2102</v>
      </c>
      <c r="L639" s="505" t="s">
        <v>153</v>
      </c>
      <c r="M639" s="449"/>
      <c r="N639" s="449"/>
      <c r="O639" s="449"/>
    </row>
    <row r="640" spans="1:15" s="325" customFormat="1" ht="15">
      <c r="A640" s="515">
        <v>45986</v>
      </c>
      <c r="B640" s="505" t="s">
        <v>4545</v>
      </c>
      <c r="C640" s="505" t="s">
        <v>2092</v>
      </c>
      <c r="D640" s="514" t="s">
        <v>118</v>
      </c>
      <c r="E640" s="518">
        <v>6000</v>
      </c>
      <c r="F640" s="502">
        <f t="shared" si="11"/>
        <v>11.246422231927466</v>
      </c>
      <c r="G640" s="503">
        <v>533.50300000000004</v>
      </c>
      <c r="H640" s="505" t="s">
        <v>211</v>
      </c>
      <c r="I640" s="505" t="s">
        <v>4573</v>
      </c>
      <c r="J640" s="505" t="s">
        <v>96</v>
      </c>
      <c r="K640" s="505" t="s">
        <v>2102</v>
      </c>
      <c r="L640" s="505" t="s">
        <v>153</v>
      </c>
      <c r="M640" s="449"/>
      <c r="N640" s="449"/>
      <c r="O640" s="449"/>
    </row>
    <row r="641" spans="1:15" s="325" customFormat="1" ht="15">
      <c r="A641" s="515">
        <v>45986</v>
      </c>
      <c r="B641" s="505" t="s">
        <v>4546</v>
      </c>
      <c r="C641" s="505" t="s">
        <v>2092</v>
      </c>
      <c r="D641" s="514" t="s">
        <v>118</v>
      </c>
      <c r="E641" s="518">
        <v>6000</v>
      </c>
      <c r="F641" s="502">
        <f t="shared" si="11"/>
        <v>11.246422231927466</v>
      </c>
      <c r="G641" s="503">
        <v>533.50300000000004</v>
      </c>
      <c r="H641" s="505" t="s">
        <v>211</v>
      </c>
      <c r="I641" s="505" t="s">
        <v>4573</v>
      </c>
      <c r="J641" s="505" t="s">
        <v>96</v>
      </c>
      <c r="K641" s="505" t="s">
        <v>2102</v>
      </c>
      <c r="L641" s="505" t="s">
        <v>153</v>
      </c>
      <c r="M641" s="449"/>
      <c r="N641" s="449"/>
      <c r="O641" s="449"/>
    </row>
    <row r="642" spans="1:15" s="325" customFormat="1" ht="15">
      <c r="A642" s="515">
        <v>45986</v>
      </c>
      <c r="B642" s="505" t="s">
        <v>4547</v>
      </c>
      <c r="C642" s="505" t="s">
        <v>2092</v>
      </c>
      <c r="D642" s="514" t="s">
        <v>118</v>
      </c>
      <c r="E642" s="518">
        <v>6000</v>
      </c>
      <c r="F642" s="502">
        <f t="shared" si="11"/>
        <v>11.246422231927466</v>
      </c>
      <c r="G642" s="503">
        <v>533.50300000000004</v>
      </c>
      <c r="H642" s="505" t="s">
        <v>211</v>
      </c>
      <c r="I642" s="505" t="s">
        <v>4573</v>
      </c>
      <c r="J642" s="505" t="s">
        <v>96</v>
      </c>
      <c r="K642" s="505" t="s">
        <v>2102</v>
      </c>
      <c r="L642" s="505" t="s">
        <v>153</v>
      </c>
      <c r="M642" s="449"/>
      <c r="N642" s="371"/>
      <c r="O642" s="371"/>
    </row>
    <row r="643" spans="1:15" s="325" customFormat="1" ht="15">
      <c r="A643" s="515">
        <v>45986</v>
      </c>
      <c r="B643" s="505" t="s">
        <v>4548</v>
      </c>
      <c r="C643" s="505" t="s">
        <v>2092</v>
      </c>
      <c r="D643" s="514" t="s">
        <v>118</v>
      </c>
      <c r="E643" s="518">
        <v>6000</v>
      </c>
      <c r="F643" s="502">
        <f t="shared" si="11"/>
        <v>11.246422231927466</v>
      </c>
      <c r="G643" s="503">
        <v>533.50300000000004</v>
      </c>
      <c r="H643" s="505" t="s">
        <v>211</v>
      </c>
      <c r="I643" s="505" t="s">
        <v>4573</v>
      </c>
      <c r="J643" s="505" t="s">
        <v>96</v>
      </c>
      <c r="K643" s="505" t="s">
        <v>2102</v>
      </c>
      <c r="L643" s="505" t="s">
        <v>153</v>
      </c>
      <c r="M643" s="449"/>
      <c r="N643" s="371"/>
      <c r="O643" s="371"/>
    </row>
    <row r="644" spans="1:15" s="325" customFormat="1" ht="15">
      <c r="A644" s="515">
        <v>45986</v>
      </c>
      <c r="B644" s="505" t="s">
        <v>4549</v>
      </c>
      <c r="C644" s="505" t="s">
        <v>2092</v>
      </c>
      <c r="D644" s="514" t="s">
        <v>118</v>
      </c>
      <c r="E644" s="518">
        <v>6000</v>
      </c>
      <c r="F644" s="502">
        <f t="shared" si="11"/>
        <v>11.246422231927466</v>
      </c>
      <c r="G644" s="503">
        <v>533.50300000000004</v>
      </c>
      <c r="H644" s="505" t="s">
        <v>211</v>
      </c>
      <c r="I644" s="505" t="s">
        <v>4573</v>
      </c>
      <c r="J644" s="505" t="s">
        <v>96</v>
      </c>
      <c r="K644" s="505" t="s">
        <v>2102</v>
      </c>
      <c r="L644" s="505" t="s">
        <v>153</v>
      </c>
      <c r="M644" s="449"/>
      <c r="N644" s="449"/>
      <c r="O644" s="449"/>
    </row>
    <row r="645" spans="1:15" s="325" customFormat="1" ht="15">
      <c r="A645" s="515">
        <v>45986</v>
      </c>
      <c r="B645" s="505" t="s">
        <v>4550</v>
      </c>
      <c r="C645" s="505" t="s">
        <v>2092</v>
      </c>
      <c r="D645" s="514" t="s">
        <v>118</v>
      </c>
      <c r="E645" s="518">
        <v>6000</v>
      </c>
      <c r="F645" s="502">
        <f t="shared" si="11"/>
        <v>11.246422231927466</v>
      </c>
      <c r="G645" s="503">
        <v>533.50300000000004</v>
      </c>
      <c r="H645" s="505" t="s">
        <v>211</v>
      </c>
      <c r="I645" s="505" t="s">
        <v>4573</v>
      </c>
      <c r="J645" s="505" t="s">
        <v>96</v>
      </c>
      <c r="K645" s="505" t="s">
        <v>2102</v>
      </c>
      <c r="L645" s="505" t="s">
        <v>153</v>
      </c>
      <c r="M645" s="449"/>
      <c r="N645" s="449"/>
      <c r="O645" s="449"/>
    </row>
    <row r="646" spans="1:15" s="325" customFormat="1" ht="15">
      <c r="A646" s="515">
        <v>45986</v>
      </c>
      <c r="B646" s="505" t="s">
        <v>4551</v>
      </c>
      <c r="C646" s="505" t="s">
        <v>2092</v>
      </c>
      <c r="D646" s="514" t="s">
        <v>118</v>
      </c>
      <c r="E646" s="518">
        <v>6000</v>
      </c>
      <c r="F646" s="502">
        <f t="shared" si="11"/>
        <v>11.246422231927466</v>
      </c>
      <c r="G646" s="503">
        <v>533.50300000000004</v>
      </c>
      <c r="H646" s="505" t="s">
        <v>211</v>
      </c>
      <c r="I646" s="505" t="s">
        <v>4573</v>
      </c>
      <c r="J646" s="505" t="s">
        <v>96</v>
      </c>
      <c r="K646" s="505" t="s">
        <v>2102</v>
      </c>
      <c r="L646" s="505" t="s">
        <v>153</v>
      </c>
      <c r="M646" s="449"/>
      <c r="N646" s="449"/>
      <c r="O646" s="449"/>
    </row>
    <row r="647" spans="1:15" s="325" customFormat="1" ht="15">
      <c r="A647" s="515">
        <v>45986</v>
      </c>
      <c r="B647" s="505" t="s">
        <v>4552</v>
      </c>
      <c r="C647" s="505" t="s">
        <v>2092</v>
      </c>
      <c r="D647" s="514" t="s">
        <v>118</v>
      </c>
      <c r="E647" s="518">
        <v>6000</v>
      </c>
      <c r="F647" s="502">
        <f t="shared" si="11"/>
        <v>11.246422231927466</v>
      </c>
      <c r="G647" s="503">
        <v>533.50300000000004</v>
      </c>
      <c r="H647" s="505" t="s">
        <v>211</v>
      </c>
      <c r="I647" s="505" t="s">
        <v>4573</v>
      </c>
      <c r="J647" s="505" t="s">
        <v>96</v>
      </c>
      <c r="K647" s="505" t="s">
        <v>2102</v>
      </c>
      <c r="L647" s="505" t="s">
        <v>153</v>
      </c>
      <c r="M647" s="449"/>
      <c r="N647" s="449"/>
      <c r="O647" s="449"/>
    </row>
    <row r="648" spans="1:15" s="325" customFormat="1" ht="15">
      <c r="A648" s="531">
        <v>45986</v>
      </c>
      <c r="B648" s="514" t="s">
        <v>3854</v>
      </c>
      <c r="C648" s="514" t="s">
        <v>172</v>
      </c>
      <c r="D648" s="514" t="s">
        <v>118</v>
      </c>
      <c r="E648" s="518">
        <v>1000</v>
      </c>
      <c r="F648" s="502">
        <f t="shared" si="11"/>
        <v>1.8744037053212446</v>
      </c>
      <c r="G648" s="503">
        <v>533.50300000000004</v>
      </c>
      <c r="H648" s="514" t="s">
        <v>211</v>
      </c>
      <c r="I648" s="514" t="s">
        <v>4559</v>
      </c>
      <c r="J648" s="505" t="s">
        <v>96</v>
      </c>
      <c r="K648" s="505" t="s">
        <v>2102</v>
      </c>
      <c r="L648" s="505" t="s">
        <v>153</v>
      </c>
      <c r="M648" s="449"/>
      <c r="N648" s="449"/>
      <c r="O648" s="449"/>
    </row>
    <row r="649" spans="1:15" s="325" customFormat="1" ht="15">
      <c r="A649" s="531">
        <v>45986</v>
      </c>
      <c r="B649" s="514" t="s">
        <v>2230</v>
      </c>
      <c r="C649" s="514" t="s">
        <v>172</v>
      </c>
      <c r="D649" s="514" t="s">
        <v>118</v>
      </c>
      <c r="E649" s="518">
        <v>1000</v>
      </c>
      <c r="F649" s="502">
        <f t="shared" si="11"/>
        <v>1.8744037053212446</v>
      </c>
      <c r="G649" s="503">
        <v>533.50300000000004</v>
      </c>
      <c r="H649" s="514" t="s">
        <v>211</v>
      </c>
      <c r="I649" s="514" t="s">
        <v>4559</v>
      </c>
      <c r="J649" s="505" t="s">
        <v>96</v>
      </c>
      <c r="K649" s="505" t="s">
        <v>2102</v>
      </c>
      <c r="L649" s="505" t="s">
        <v>153</v>
      </c>
      <c r="M649" s="449"/>
      <c r="N649" s="449"/>
      <c r="O649" s="449"/>
    </row>
    <row r="650" spans="1:15" s="325" customFormat="1" ht="15">
      <c r="A650" s="531">
        <v>45986</v>
      </c>
      <c r="B650" s="514" t="s">
        <v>2231</v>
      </c>
      <c r="C650" s="514" t="s">
        <v>172</v>
      </c>
      <c r="D650" s="514" t="s">
        <v>118</v>
      </c>
      <c r="E650" s="518">
        <v>1000</v>
      </c>
      <c r="F650" s="502">
        <f t="shared" si="11"/>
        <v>1.8744037053212446</v>
      </c>
      <c r="G650" s="503">
        <v>533.50300000000004</v>
      </c>
      <c r="H650" s="514" t="s">
        <v>211</v>
      </c>
      <c r="I650" s="514" t="s">
        <v>4559</v>
      </c>
      <c r="J650" s="505" t="s">
        <v>96</v>
      </c>
      <c r="K650" s="505" t="s">
        <v>2102</v>
      </c>
      <c r="L650" s="505" t="s">
        <v>153</v>
      </c>
      <c r="M650" s="449"/>
      <c r="N650" s="449"/>
      <c r="O650" s="449"/>
    </row>
    <row r="651" spans="1:15" s="325" customFormat="1" ht="15">
      <c r="A651" s="531">
        <v>45986</v>
      </c>
      <c r="B651" s="514" t="s">
        <v>3119</v>
      </c>
      <c r="C651" s="514" t="s">
        <v>172</v>
      </c>
      <c r="D651" s="514" t="s">
        <v>118</v>
      </c>
      <c r="E651" s="518">
        <v>1000</v>
      </c>
      <c r="F651" s="502">
        <f t="shared" si="11"/>
        <v>1.8744037053212446</v>
      </c>
      <c r="G651" s="503">
        <v>533.50300000000004</v>
      </c>
      <c r="H651" s="514" t="s">
        <v>211</v>
      </c>
      <c r="I651" s="514" t="s">
        <v>4559</v>
      </c>
      <c r="J651" s="505" t="s">
        <v>96</v>
      </c>
      <c r="K651" s="505" t="s">
        <v>2102</v>
      </c>
      <c r="L651" s="505" t="s">
        <v>153</v>
      </c>
      <c r="M651" s="449"/>
      <c r="N651" s="449"/>
      <c r="O651" s="449"/>
    </row>
    <row r="652" spans="1:15" s="325" customFormat="1" ht="15">
      <c r="A652" s="515">
        <v>45986</v>
      </c>
      <c r="B652" s="505" t="s">
        <v>4628</v>
      </c>
      <c r="C652" s="505" t="s">
        <v>172</v>
      </c>
      <c r="D652" s="505" t="s">
        <v>115</v>
      </c>
      <c r="E652" s="505">
        <v>1000</v>
      </c>
      <c r="F652" s="502">
        <f t="shared" si="11"/>
        <v>1.8744037053212446</v>
      </c>
      <c r="G652" s="503">
        <v>533.50300000000004</v>
      </c>
      <c r="H652" s="505" t="s">
        <v>185</v>
      </c>
      <c r="I652" s="505" t="s">
        <v>4631</v>
      </c>
      <c r="J652" s="505" t="s">
        <v>96</v>
      </c>
      <c r="K652" s="505" t="s">
        <v>2102</v>
      </c>
      <c r="L652" s="505" t="s">
        <v>153</v>
      </c>
      <c r="M652" s="371"/>
      <c r="N652" s="371"/>
      <c r="O652" s="371"/>
    </row>
    <row r="653" spans="1:15" s="325" customFormat="1" ht="15">
      <c r="A653" s="515">
        <v>45986</v>
      </c>
      <c r="B653" s="505" t="s">
        <v>4629</v>
      </c>
      <c r="C653" s="505" t="s">
        <v>172</v>
      </c>
      <c r="D653" s="505" t="s">
        <v>115</v>
      </c>
      <c r="E653" s="505">
        <v>1000</v>
      </c>
      <c r="F653" s="502">
        <f t="shared" si="11"/>
        <v>1.8744037053212446</v>
      </c>
      <c r="G653" s="503">
        <v>533.50300000000004</v>
      </c>
      <c r="H653" s="505" t="s">
        <v>185</v>
      </c>
      <c r="I653" s="505" t="s">
        <v>4631</v>
      </c>
      <c r="J653" s="505" t="s">
        <v>96</v>
      </c>
      <c r="K653" s="505" t="s">
        <v>2102</v>
      </c>
      <c r="L653" s="505" t="s">
        <v>153</v>
      </c>
      <c r="M653" s="371"/>
      <c r="N653" s="371"/>
      <c r="O653" s="371"/>
    </row>
    <row r="654" spans="1:15" s="325" customFormat="1" ht="15">
      <c r="A654" s="629">
        <v>45987</v>
      </c>
      <c r="B654" s="298" t="s">
        <v>2386</v>
      </c>
      <c r="C654" s="298" t="s">
        <v>172</v>
      </c>
      <c r="D654" s="506" t="s">
        <v>117</v>
      </c>
      <c r="E654" s="630">
        <v>1000</v>
      </c>
      <c r="F654" s="502">
        <f t="shared" si="11"/>
        <v>1.8744037053212446</v>
      </c>
      <c r="G654" s="503">
        <v>533.50300000000004</v>
      </c>
      <c r="H654" s="631" t="s">
        <v>151</v>
      </c>
      <c r="I654" s="298" t="s">
        <v>4133</v>
      </c>
      <c r="J654" s="505" t="s">
        <v>96</v>
      </c>
      <c r="K654" s="505" t="s">
        <v>2102</v>
      </c>
      <c r="L654" s="505" t="s">
        <v>153</v>
      </c>
      <c r="M654" s="449"/>
      <c r="N654" s="371"/>
      <c r="O654" s="371"/>
    </row>
    <row r="655" spans="1:15" s="325" customFormat="1" ht="15">
      <c r="A655" s="629">
        <v>45987</v>
      </c>
      <c r="B655" s="298" t="s">
        <v>4130</v>
      </c>
      <c r="C655" s="298" t="s">
        <v>172</v>
      </c>
      <c r="D655" s="506" t="s">
        <v>117</v>
      </c>
      <c r="E655" s="630">
        <v>1000</v>
      </c>
      <c r="F655" s="502">
        <f t="shared" si="11"/>
        <v>1.8744037053212446</v>
      </c>
      <c r="G655" s="503">
        <v>533.50300000000004</v>
      </c>
      <c r="H655" s="631" t="s">
        <v>151</v>
      </c>
      <c r="I655" s="298" t="s">
        <v>4133</v>
      </c>
      <c r="J655" s="505" t="s">
        <v>96</v>
      </c>
      <c r="K655" s="505" t="s">
        <v>2102</v>
      </c>
      <c r="L655" s="505" t="s">
        <v>153</v>
      </c>
      <c r="M655" s="449"/>
      <c r="N655" s="449"/>
      <c r="O655" s="449"/>
    </row>
    <row r="656" spans="1:15" s="325" customFormat="1" ht="15">
      <c r="A656" s="629">
        <v>45987</v>
      </c>
      <c r="B656" s="298" t="s">
        <v>4127</v>
      </c>
      <c r="C656" s="298" t="s">
        <v>172</v>
      </c>
      <c r="D656" s="506" t="s">
        <v>117</v>
      </c>
      <c r="E656" s="630">
        <v>1000</v>
      </c>
      <c r="F656" s="502">
        <f t="shared" si="11"/>
        <v>1.8744037053212446</v>
      </c>
      <c r="G656" s="503">
        <v>533.50300000000004</v>
      </c>
      <c r="H656" s="631" t="s">
        <v>151</v>
      </c>
      <c r="I656" s="298" t="s">
        <v>4133</v>
      </c>
      <c r="J656" s="505" t="s">
        <v>96</v>
      </c>
      <c r="K656" s="505" t="s">
        <v>2102</v>
      </c>
      <c r="L656" s="505" t="s">
        <v>153</v>
      </c>
      <c r="M656" s="449"/>
      <c r="N656" s="449"/>
      <c r="O656" s="449"/>
    </row>
    <row r="657" spans="1:15" s="325" customFormat="1" ht="15">
      <c r="A657" s="629">
        <v>45987</v>
      </c>
      <c r="B657" s="298" t="s">
        <v>2387</v>
      </c>
      <c r="C657" s="298" t="s">
        <v>172</v>
      </c>
      <c r="D657" s="506" t="s">
        <v>117</v>
      </c>
      <c r="E657" s="630">
        <v>1000</v>
      </c>
      <c r="F657" s="502">
        <f t="shared" si="11"/>
        <v>1.8744037053212446</v>
      </c>
      <c r="G657" s="503">
        <v>533.50300000000004</v>
      </c>
      <c r="H657" s="631" t="s">
        <v>151</v>
      </c>
      <c r="I657" s="298" t="s">
        <v>4133</v>
      </c>
      <c r="J657" s="505" t="s">
        <v>96</v>
      </c>
      <c r="K657" s="505" t="s">
        <v>2102</v>
      </c>
      <c r="L657" s="505" t="s">
        <v>153</v>
      </c>
      <c r="M657" s="449"/>
      <c r="N657" s="449"/>
      <c r="O657" s="449"/>
    </row>
    <row r="658" spans="1:15" s="325" customFormat="1" ht="15">
      <c r="A658" s="515">
        <v>45987</v>
      </c>
      <c r="B658" s="505" t="s">
        <v>4205</v>
      </c>
      <c r="C658" s="505" t="s">
        <v>180</v>
      </c>
      <c r="D658" s="505" t="s">
        <v>116</v>
      </c>
      <c r="E658" s="518">
        <v>4760</v>
      </c>
      <c r="F658" s="502">
        <f t="shared" si="11"/>
        <v>8.9221616373291237</v>
      </c>
      <c r="G658" s="503">
        <v>533.50300000000004</v>
      </c>
      <c r="H658" s="505" t="s">
        <v>581</v>
      </c>
      <c r="I658" s="505" t="s">
        <v>4225</v>
      </c>
      <c r="J658" s="505" t="s">
        <v>96</v>
      </c>
      <c r="K658" s="505" t="s">
        <v>2102</v>
      </c>
      <c r="L658" s="505" t="s">
        <v>153</v>
      </c>
      <c r="M658" s="327"/>
      <c r="N658" s="327"/>
      <c r="O658" s="327"/>
    </row>
    <row r="659" spans="1:15" s="325" customFormat="1" ht="15">
      <c r="A659" s="517">
        <v>45987</v>
      </c>
      <c r="B659" s="505" t="s">
        <v>4206</v>
      </c>
      <c r="C659" s="505" t="s">
        <v>172</v>
      </c>
      <c r="D659" s="505" t="s">
        <v>116</v>
      </c>
      <c r="E659" s="518">
        <v>1000</v>
      </c>
      <c r="F659" s="502">
        <f t="shared" si="11"/>
        <v>1.8744037053212446</v>
      </c>
      <c r="G659" s="503">
        <v>533.50300000000004</v>
      </c>
      <c r="H659" s="505" t="s">
        <v>581</v>
      </c>
      <c r="I659" s="505" t="s">
        <v>4213</v>
      </c>
      <c r="J659" s="505" t="s">
        <v>96</v>
      </c>
      <c r="K659" s="505" t="s">
        <v>2102</v>
      </c>
      <c r="L659" s="505" t="s">
        <v>153</v>
      </c>
      <c r="M659" s="327"/>
      <c r="N659" s="327"/>
      <c r="O659" s="327"/>
    </row>
    <row r="660" spans="1:15" s="325" customFormat="1" ht="15">
      <c r="A660" s="517">
        <v>45987</v>
      </c>
      <c r="B660" s="505" t="s">
        <v>3398</v>
      </c>
      <c r="C660" s="505" t="s">
        <v>172</v>
      </c>
      <c r="D660" s="505" t="s">
        <v>116</v>
      </c>
      <c r="E660" s="518">
        <v>1000</v>
      </c>
      <c r="F660" s="502">
        <f t="shared" si="11"/>
        <v>1.8744037053212446</v>
      </c>
      <c r="G660" s="503">
        <v>533.50300000000004</v>
      </c>
      <c r="H660" s="505" t="s">
        <v>581</v>
      </c>
      <c r="I660" s="505" t="s">
        <v>4213</v>
      </c>
      <c r="J660" s="505" t="s">
        <v>96</v>
      </c>
      <c r="K660" s="505" t="s">
        <v>2102</v>
      </c>
      <c r="L660" s="505" t="s">
        <v>153</v>
      </c>
      <c r="M660" s="327"/>
      <c r="N660" s="327"/>
      <c r="O660" s="327"/>
    </row>
    <row r="661" spans="1:15" s="325" customFormat="1" ht="15">
      <c r="A661" s="529">
        <v>45987</v>
      </c>
      <c r="B661" s="505" t="s">
        <v>4430</v>
      </c>
      <c r="C661" s="298" t="s">
        <v>194</v>
      </c>
      <c r="D661" s="298" t="s">
        <v>115</v>
      </c>
      <c r="E661" s="530">
        <v>500</v>
      </c>
      <c r="F661" s="502">
        <f t="shared" si="11"/>
        <v>0.93720185266062228</v>
      </c>
      <c r="G661" s="503">
        <v>533.50300000000004</v>
      </c>
      <c r="H661" s="298" t="s">
        <v>435</v>
      </c>
      <c r="I661" s="505" t="s">
        <v>4451</v>
      </c>
      <c r="J661" s="505" t="s">
        <v>96</v>
      </c>
      <c r="K661" s="505" t="s">
        <v>2102</v>
      </c>
      <c r="L661" s="505" t="s">
        <v>153</v>
      </c>
      <c r="M661" s="125"/>
      <c r="N661" s="125"/>
      <c r="O661" s="125"/>
    </row>
    <row r="662" spans="1:15" s="325" customFormat="1" ht="15">
      <c r="A662" s="529">
        <v>45987</v>
      </c>
      <c r="B662" s="505" t="s">
        <v>4431</v>
      </c>
      <c r="C662" s="505" t="s">
        <v>3317</v>
      </c>
      <c r="D662" s="298" t="s">
        <v>115</v>
      </c>
      <c r="E662" s="530">
        <v>3000</v>
      </c>
      <c r="F662" s="502">
        <f t="shared" si="11"/>
        <v>5.6232111159637332</v>
      </c>
      <c r="G662" s="503">
        <v>533.50300000000004</v>
      </c>
      <c r="H662" s="298" t="s">
        <v>435</v>
      </c>
      <c r="I662" s="505" t="s">
        <v>4455</v>
      </c>
      <c r="J662" s="505" t="s">
        <v>96</v>
      </c>
      <c r="K662" s="505" t="s">
        <v>2102</v>
      </c>
      <c r="L662" s="505" t="s">
        <v>153</v>
      </c>
      <c r="M662" s="125"/>
      <c r="N662" s="125"/>
      <c r="O662" s="125"/>
    </row>
    <row r="663" spans="1:15" s="325" customFormat="1" ht="15">
      <c r="A663" s="529">
        <v>45987</v>
      </c>
      <c r="B663" s="505" t="s">
        <v>4432</v>
      </c>
      <c r="C663" s="298" t="s">
        <v>194</v>
      </c>
      <c r="D663" s="298" t="s">
        <v>115</v>
      </c>
      <c r="E663" s="530">
        <v>500</v>
      </c>
      <c r="F663" s="502">
        <f t="shared" si="11"/>
        <v>0.93720185266062228</v>
      </c>
      <c r="G663" s="503">
        <v>533.50300000000004</v>
      </c>
      <c r="H663" s="298" t="s">
        <v>435</v>
      </c>
      <c r="I663" s="505" t="s">
        <v>4451</v>
      </c>
      <c r="J663" s="505" t="s">
        <v>96</v>
      </c>
      <c r="K663" s="505" t="s">
        <v>2102</v>
      </c>
      <c r="L663" s="505" t="s">
        <v>153</v>
      </c>
    </row>
    <row r="664" spans="1:15" s="325" customFormat="1" ht="15">
      <c r="A664" s="529">
        <v>45987</v>
      </c>
      <c r="B664" s="505" t="s">
        <v>3067</v>
      </c>
      <c r="C664" s="298" t="s">
        <v>194</v>
      </c>
      <c r="D664" s="298" t="s">
        <v>115</v>
      </c>
      <c r="E664" s="530">
        <v>500</v>
      </c>
      <c r="F664" s="502">
        <f t="shared" si="11"/>
        <v>0.93720185266062228</v>
      </c>
      <c r="G664" s="503">
        <v>533.50300000000004</v>
      </c>
      <c r="H664" s="298" t="s">
        <v>435</v>
      </c>
      <c r="I664" s="505" t="s">
        <v>4451</v>
      </c>
      <c r="J664" s="505" t="s">
        <v>96</v>
      </c>
      <c r="K664" s="505" t="s">
        <v>2102</v>
      </c>
      <c r="L664" s="505" t="s">
        <v>153</v>
      </c>
    </row>
    <row r="665" spans="1:15" s="325" customFormat="1" ht="15">
      <c r="A665" s="529">
        <v>45987</v>
      </c>
      <c r="B665" s="505" t="s">
        <v>4433</v>
      </c>
      <c r="C665" s="298" t="s">
        <v>194</v>
      </c>
      <c r="D665" s="298" t="s">
        <v>115</v>
      </c>
      <c r="E665" s="530">
        <v>500</v>
      </c>
      <c r="F665" s="502">
        <f t="shared" si="11"/>
        <v>0.93720185266062228</v>
      </c>
      <c r="G665" s="503">
        <v>533.50300000000004</v>
      </c>
      <c r="H665" s="298" t="s">
        <v>435</v>
      </c>
      <c r="I665" s="505" t="s">
        <v>4451</v>
      </c>
      <c r="J665" s="505" t="s">
        <v>96</v>
      </c>
      <c r="K665" s="505" t="s">
        <v>2102</v>
      </c>
      <c r="L665" s="505" t="s">
        <v>153</v>
      </c>
    </row>
    <row r="666" spans="1:15" s="325" customFormat="1" ht="15">
      <c r="A666" s="529">
        <v>45987</v>
      </c>
      <c r="B666" s="505" t="s">
        <v>4435</v>
      </c>
      <c r="C666" s="298" t="s">
        <v>194</v>
      </c>
      <c r="D666" s="298" t="s">
        <v>115</v>
      </c>
      <c r="E666" s="530">
        <v>500</v>
      </c>
      <c r="F666" s="502">
        <f t="shared" si="11"/>
        <v>0.93720185266062228</v>
      </c>
      <c r="G666" s="503">
        <v>533.50300000000004</v>
      </c>
      <c r="H666" s="298" t="s">
        <v>435</v>
      </c>
      <c r="I666" s="505" t="s">
        <v>4451</v>
      </c>
      <c r="J666" s="505" t="s">
        <v>96</v>
      </c>
      <c r="K666" s="505" t="s">
        <v>2102</v>
      </c>
      <c r="L666" s="505" t="s">
        <v>153</v>
      </c>
    </row>
    <row r="667" spans="1:15" s="325" customFormat="1" ht="15">
      <c r="A667" s="529">
        <v>45987</v>
      </c>
      <c r="B667" s="505" t="s">
        <v>4434</v>
      </c>
      <c r="C667" s="505" t="s">
        <v>3317</v>
      </c>
      <c r="D667" s="298" t="s">
        <v>115</v>
      </c>
      <c r="E667" s="530">
        <v>3000</v>
      </c>
      <c r="F667" s="502">
        <f t="shared" si="11"/>
        <v>5.6232111159637332</v>
      </c>
      <c r="G667" s="503">
        <v>533.50300000000004</v>
      </c>
      <c r="H667" s="298" t="s">
        <v>435</v>
      </c>
      <c r="I667" s="505" t="s">
        <v>4455</v>
      </c>
      <c r="J667" s="505" t="s">
        <v>96</v>
      </c>
      <c r="K667" s="505" t="s">
        <v>2102</v>
      </c>
      <c r="L667" s="505" t="s">
        <v>153</v>
      </c>
    </row>
    <row r="668" spans="1:15" s="325" customFormat="1" ht="15">
      <c r="A668" s="531">
        <v>45987</v>
      </c>
      <c r="B668" s="514" t="s">
        <v>2227</v>
      </c>
      <c r="C668" s="514" t="s">
        <v>172</v>
      </c>
      <c r="D668" s="514" t="s">
        <v>118</v>
      </c>
      <c r="E668" s="518">
        <v>1000</v>
      </c>
      <c r="F668" s="502">
        <f t="shared" si="11"/>
        <v>1.8744037053212446</v>
      </c>
      <c r="G668" s="503">
        <v>533.50300000000004</v>
      </c>
      <c r="H668" s="514" t="s">
        <v>211</v>
      </c>
      <c r="I668" s="514" t="s">
        <v>4559</v>
      </c>
      <c r="J668" s="505" t="s">
        <v>96</v>
      </c>
      <c r="K668" s="505" t="s">
        <v>2102</v>
      </c>
      <c r="L668" s="505" t="s">
        <v>153</v>
      </c>
    </row>
    <row r="669" spans="1:15" s="325" customFormat="1" ht="15">
      <c r="A669" s="531">
        <v>45987</v>
      </c>
      <c r="B669" s="514" t="s">
        <v>3858</v>
      </c>
      <c r="C669" s="514" t="s">
        <v>172</v>
      </c>
      <c r="D669" s="514" t="s">
        <v>118</v>
      </c>
      <c r="E669" s="518">
        <v>1000</v>
      </c>
      <c r="F669" s="502">
        <f t="shared" si="11"/>
        <v>1.8744037053212446</v>
      </c>
      <c r="G669" s="503">
        <v>533.50300000000004</v>
      </c>
      <c r="H669" s="514" t="s">
        <v>211</v>
      </c>
      <c r="I669" s="514" t="s">
        <v>4559</v>
      </c>
      <c r="J669" s="505" t="s">
        <v>96</v>
      </c>
      <c r="K669" s="505" t="s">
        <v>2102</v>
      </c>
      <c r="L669" s="505" t="s">
        <v>153</v>
      </c>
    </row>
    <row r="670" spans="1:15" s="325" customFormat="1" ht="15">
      <c r="A670" s="531">
        <v>45987</v>
      </c>
      <c r="B670" s="514" t="s">
        <v>4553</v>
      </c>
      <c r="C670" s="514" t="s">
        <v>172</v>
      </c>
      <c r="D670" s="514" t="s">
        <v>118</v>
      </c>
      <c r="E670" s="518">
        <v>1000</v>
      </c>
      <c r="F670" s="502">
        <f t="shared" si="11"/>
        <v>1.8744037053212446</v>
      </c>
      <c r="G670" s="503">
        <v>533.50300000000004</v>
      </c>
      <c r="H670" s="514" t="s">
        <v>211</v>
      </c>
      <c r="I670" s="514" t="s">
        <v>4559</v>
      </c>
      <c r="J670" s="505" t="s">
        <v>96</v>
      </c>
      <c r="K670" s="505" t="s">
        <v>2102</v>
      </c>
      <c r="L670" s="505" t="s">
        <v>153</v>
      </c>
    </row>
    <row r="671" spans="1:15" s="325" customFormat="1" ht="15">
      <c r="A671" s="531">
        <v>45987</v>
      </c>
      <c r="B671" s="514" t="s">
        <v>4533</v>
      </c>
      <c r="C671" s="514" t="s">
        <v>172</v>
      </c>
      <c r="D671" s="514" t="s">
        <v>118</v>
      </c>
      <c r="E671" s="518">
        <v>1000</v>
      </c>
      <c r="F671" s="502">
        <f t="shared" si="11"/>
        <v>1.8744037053212446</v>
      </c>
      <c r="G671" s="503">
        <v>533.50300000000004</v>
      </c>
      <c r="H671" s="514" t="s">
        <v>211</v>
      </c>
      <c r="I671" s="514" t="s">
        <v>4559</v>
      </c>
      <c r="J671" s="505" t="s">
        <v>96</v>
      </c>
      <c r="K671" s="505" t="s">
        <v>2102</v>
      </c>
      <c r="L671" s="505" t="s">
        <v>153</v>
      </c>
      <c r="M671" s="449"/>
      <c r="N671" s="371"/>
      <c r="O671" s="371"/>
    </row>
    <row r="672" spans="1:15" s="325" customFormat="1" ht="15">
      <c r="A672" s="629">
        <v>45988</v>
      </c>
      <c r="B672" s="298" t="s">
        <v>2386</v>
      </c>
      <c r="C672" s="298" t="s">
        <v>172</v>
      </c>
      <c r="D672" s="506" t="s">
        <v>117</v>
      </c>
      <c r="E672" s="630">
        <v>1000</v>
      </c>
      <c r="F672" s="502">
        <f t="shared" si="11"/>
        <v>1.8744037053212446</v>
      </c>
      <c r="G672" s="503">
        <v>533.50300000000004</v>
      </c>
      <c r="H672" s="631" t="s">
        <v>151</v>
      </c>
      <c r="I672" s="298" t="s">
        <v>4133</v>
      </c>
      <c r="J672" s="505" t="s">
        <v>96</v>
      </c>
      <c r="K672" s="505" t="s">
        <v>2102</v>
      </c>
      <c r="L672" s="505" t="s">
        <v>153</v>
      </c>
      <c r="M672" s="371"/>
      <c r="N672" s="371"/>
      <c r="O672" s="371"/>
    </row>
    <row r="673" spans="1:15" s="325" customFormat="1" ht="15">
      <c r="A673" s="629">
        <v>45988</v>
      </c>
      <c r="B673" s="298" t="s">
        <v>2116</v>
      </c>
      <c r="C673" s="298" t="s">
        <v>172</v>
      </c>
      <c r="D673" s="506" t="s">
        <v>117</v>
      </c>
      <c r="E673" s="630">
        <v>1000</v>
      </c>
      <c r="F673" s="502">
        <f t="shared" si="11"/>
        <v>1.8744037053212446</v>
      </c>
      <c r="G673" s="503">
        <v>533.50300000000004</v>
      </c>
      <c r="H673" s="631" t="s">
        <v>151</v>
      </c>
      <c r="I673" s="298" t="s">
        <v>4133</v>
      </c>
      <c r="J673" s="505" t="s">
        <v>96</v>
      </c>
      <c r="K673" s="505" t="s">
        <v>2102</v>
      </c>
      <c r="L673" s="505" t="s">
        <v>153</v>
      </c>
      <c r="M673" s="371"/>
      <c r="N673" s="371"/>
      <c r="O673" s="371"/>
    </row>
    <row r="674" spans="1:15" s="325" customFormat="1" ht="15">
      <c r="A674" s="517">
        <v>45988</v>
      </c>
      <c r="B674" s="505" t="s">
        <v>4211</v>
      </c>
      <c r="C674" s="505" t="s">
        <v>172</v>
      </c>
      <c r="D674" s="505" t="s">
        <v>116</v>
      </c>
      <c r="E674" s="518">
        <v>1000</v>
      </c>
      <c r="F674" s="502">
        <f t="shared" si="11"/>
        <v>1.8744037053212446</v>
      </c>
      <c r="G674" s="503">
        <v>533.50300000000004</v>
      </c>
      <c r="H674" s="505" t="s">
        <v>581</v>
      </c>
      <c r="I674" s="505" t="s">
        <v>4213</v>
      </c>
      <c r="J674" s="505" t="s">
        <v>96</v>
      </c>
      <c r="K674" s="505" t="s">
        <v>2102</v>
      </c>
      <c r="L674" s="505" t="s">
        <v>153</v>
      </c>
      <c r="M674" s="371"/>
      <c r="N674" s="371"/>
      <c r="O674" s="371"/>
    </row>
    <row r="675" spans="1:15" s="325" customFormat="1" ht="15">
      <c r="A675" s="515">
        <v>45988</v>
      </c>
      <c r="B675" s="505" t="s">
        <v>4207</v>
      </c>
      <c r="C675" s="505" t="s">
        <v>302</v>
      </c>
      <c r="D675" s="505" t="s">
        <v>116</v>
      </c>
      <c r="E675" s="518">
        <v>40000</v>
      </c>
      <c r="F675" s="502">
        <f t="shared" si="11"/>
        <v>74.976148212849779</v>
      </c>
      <c r="G675" s="503">
        <v>533.50300000000004</v>
      </c>
      <c r="H675" s="505" t="s">
        <v>581</v>
      </c>
      <c r="I675" s="505" t="s">
        <v>4226</v>
      </c>
      <c r="J675" s="505" t="s">
        <v>96</v>
      </c>
      <c r="K675" s="505" t="s">
        <v>2102</v>
      </c>
      <c r="L675" s="505" t="s">
        <v>153</v>
      </c>
      <c r="M675" s="371"/>
      <c r="N675" s="371"/>
      <c r="O675" s="371"/>
    </row>
    <row r="676" spans="1:15" s="325" customFormat="1" ht="15">
      <c r="A676" s="515">
        <v>45988</v>
      </c>
      <c r="B676" s="505" t="s">
        <v>4208</v>
      </c>
      <c r="C676" s="505" t="s">
        <v>302</v>
      </c>
      <c r="D676" s="505" t="s">
        <v>116</v>
      </c>
      <c r="E676" s="518">
        <v>80000</v>
      </c>
      <c r="F676" s="502">
        <f t="shared" si="11"/>
        <v>149.95229642569956</v>
      </c>
      <c r="G676" s="503">
        <v>533.50300000000004</v>
      </c>
      <c r="H676" s="505" t="s">
        <v>581</v>
      </c>
      <c r="I676" s="505" t="s">
        <v>4227</v>
      </c>
      <c r="J676" s="505" t="s">
        <v>96</v>
      </c>
      <c r="K676" s="505" t="s">
        <v>2102</v>
      </c>
      <c r="L676" s="505" t="s">
        <v>153</v>
      </c>
      <c r="M676" s="371"/>
      <c r="N676" s="371"/>
      <c r="O676" s="371"/>
    </row>
    <row r="677" spans="1:15" s="325" customFormat="1" ht="15">
      <c r="A677" s="515">
        <v>45988</v>
      </c>
      <c r="B677" s="505" t="s">
        <v>4209</v>
      </c>
      <c r="C677" s="505" t="s">
        <v>124</v>
      </c>
      <c r="D677" s="505" t="s">
        <v>116</v>
      </c>
      <c r="E677" s="518">
        <v>8000</v>
      </c>
      <c r="F677" s="502">
        <f t="shared" si="11"/>
        <v>14.995229642569956</v>
      </c>
      <c r="G677" s="503">
        <v>533.50300000000004</v>
      </c>
      <c r="H677" s="505" t="s">
        <v>581</v>
      </c>
      <c r="I677" s="505" t="s">
        <v>4228</v>
      </c>
      <c r="J677" s="505" t="s">
        <v>96</v>
      </c>
      <c r="K677" s="505" t="s">
        <v>2102</v>
      </c>
      <c r="L677" s="505" t="s">
        <v>153</v>
      </c>
      <c r="M677" s="371"/>
      <c r="N677" s="371"/>
      <c r="O677" s="371"/>
    </row>
    <row r="678" spans="1:15" s="325" customFormat="1" ht="15">
      <c r="A678" s="515">
        <v>45988</v>
      </c>
      <c r="B678" s="505" t="s">
        <v>4210</v>
      </c>
      <c r="C678" s="505" t="s">
        <v>624</v>
      </c>
      <c r="D678" s="505" t="s">
        <v>116</v>
      </c>
      <c r="E678" s="518">
        <v>45050</v>
      </c>
      <c r="F678" s="502">
        <f t="shared" si="11"/>
        <v>84.44188692472207</v>
      </c>
      <c r="G678" s="503">
        <v>533.50300000000004</v>
      </c>
      <c r="H678" s="505" t="s">
        <v>581</v>
      </c>
      <c r="I678" s="505" t="s">
        <v>4229</v>
      </c>
      <c r="J678" s="505" t="s">
        <v>96</v>
      </c>
      <c r="K678" s="505" t="s">
        <v>2102</v>
      </c>
      <c r="L678" s="505" t="s">
        <v>153</v>
      </c>
      <c r="M678" s="371"/>
      <c r="N678" s="371"/>
      <c r="O678" s="371"/>
    </row>
    <row r="679" spans="1:15" s="325" customFormat="1" ht="15">
      <c r="A679" s="517">
        <v>45988</v>
      </c>
      <c r="B679" s="505" t="s">
        <v>4212</v>
      </c>
      <c r="C679" s="505" t="s">
        <v>172</v>
      </c>
      <c r="D679" s="505" t="s">
        <v>116</v>
      </c>
      <c r="E679" s="518">
        <v>1000</v>
      </c>
      <c r="F679" s="502">
        <f t="shared" si="11"/>
        <v>1.8744037053212446</v>
      </c>
      <c r="G679" s="503">
        <v>533.50300000000004</v>
      </c>
      <c r="H679" s="505" t="s">
        <v>581</v>
      </c>
      <c r="I679" s="505" t="s">
        <v>4213</v>
      </c>
      <c r="J679" s="505" t="s">
        <v>96</v>
      </c>
      <c r="K679" s="505" t="s">
        <v>2102</v>
      </c>
      <c r="L679" s="505" t="s">
        <v>153</v>
      </c>
      <c r="M679" s="371"/>
      <c r="N679" s="371"/>
      <c r="O679" s="371"/>
    </row>
    <row r="680" spans="1:15" s="325" customFormat="1" ht="15">
      <c r="A680" s="523">
        <v>45988</v>
      </c>
      <c r="B680" s="510" t="s">
        <v>4917</v>
      </c>
      <c r="C680" s="510" t="s">
        <v>172</v>
      </c>
      <c r="D680" s="510" t="s">
        <v>119</v>
      </c>
      <c r="E680" s="510">
        <v>1000</v>
      </c>
      <c r="F680" s="502">
        <f t="shared" si="11"/>
        <v>1.8744037053212446</v>
      </c>
      <c r="G680" s="503">
        <v>533.50300000000004</v>
      </c>
      <c r="H680" s="510" t="s">
        <v>182</v>
      </c>
      <c r="I680" s="510" t="s">
        <v>4237</v>
      </c>
      <c r="J680" s="505" t="s">
        <v>96</v>
      </c>
      <c r="K680" s="505" t="s">
        <v>2102</v>
      </c>
      <c r="L680" s="505" t="s">
        <v>153</v>
      </c>
      <c r="M680" s="449"/>
      <c r="N680" s="371"/>
      <c r="O680" s="371"/>
    </row>
    <row r="681" spans="1:15" s="325" customFormat="1" ht="15">
      <c r="A681" s="523">
        <v>45988</v>
      </c>
      <c r="B681" s="510" t="s">
        <v>4917</v>
      </c>
      <c r="C681" s="510" t="s">
        <v>172</v>
      </c>
      <c r="D681" s="510" t="s">
        <v>119</v>
      </c>
      <c r="E681" s="510">
        <v>1500</v>
      </c>
      <c r="F681" s="502">
        <f t="shared" si="11"/>
        <v>2.8116055579818666</v>
      </c>
      <c r="G681" s="503">
        <v>533.50300000000004</v>
      </c>
      <c r="H681" s="510" t="s">
        <v>182</v>
      </c>
      <c r="I681" s="510" t="s">
        <v>4237</v>
      </c>
      <c r="J681" s="505" t="s">
        <v>96</v>
      </c>
      <c r="K681" s="505" t="s">
        <v>2102</v>
      </c>
      <c r="L681" s="505" t="s">
        <v>153</v>
      </c>
      <c r="M681" s="449"/>
      <c r="N681" s="371"/>
      <c r="O681" s="371"/>
    </row>
    <row r="682" spans="1:15" s="325" customFormat="1" ht="15">
      <c r="A682" s="523">
        <v>45988</v>
      </c>
      <c r="B682" s="510" t="s">
        <v>4758</v>
      </c>
      <c r="C682" s="510" t="s">
        <v>172</v>
      </c>
      <c r="D682" s="510" t="s">
        <v>119</v>
      </c>
      <c r="E682" s="510">
        <v>6000</v>
      </c>
      <c r="F682" s="502">
        <f t="shared" si="11"/>
        <v>11.246422231927466</v>
      </c>
      <c r="G682" s="503">
        <v>533.50300000000004</v>
      </c>
      <c r="H682" s="510" t="s">
        <v>182</v>
      </c>
      <c r="I682" s="510" t="s">
        <v>4252</v>
      </c>
      <c r="J682" s="505" t="s">
        <v>96</v>
      </c>
      <c r="K682" s="505" t="s">
        <v>2102</v>
      </c>
      <c r="L682" s="505" t="s">
        <v>153</v>
      </c>
      <c r="M682" s="449"/>
      <c r="N682" s="371"/>
      <c r="O682" s="371"/>
    </row>
    <row r="683" spans="1:15" s="325" customFormat="1" ht="15">
      <c r="A683" s="515">
        <v>45988</v>
      </c>
      <c r="B683" s="505" t="s">
        <v>4876</v>
      </c>
      <c r="C683" s="505" t="s">
        <v>172</v>
      </c>
      <c r="D683" s="510" t="s">
        <v>119</v>
      </c>
      <c r="E683" s="505">
        <v>1000</v>
      </c>
      <c r="F683" s="502">
        <f t="shared" ref="F683:F746" si="12">E683/G683</f>
        <v>1.8744037053212446</v>
      </c>
      <c r="G683" s="503">
        <v>533.50300000000004</v>
      </c>
      <c r="H683" s="505" t="s">
        <v>315</v>
      </c>
      <c r="I683" s="505" t="s">
        <v>4288</v>
      </c>
      <c r="J683" s="505" t="s">
        <v>96</v>
      </c>
      <c r="K683" s="505" t="s">
        <v>2102</v>
      </c>
      <c r="L683" s="505" t="s">
        <v>153</v>
      </c>
      <c r="M683" s="449"/>
      <c r="N683" s="449"/>
      <c r="O683" s="449"/>
    </row>
    <row r="684" spans="1:15" s="325" customFormat="1" ht="15">
      <c r="A684" s="515">
        <v>45988</v>
      </c>
      <c r="B684" s="505" t="s">
        <v>4876</v>
      </c>
      <c r="C684" s="505" t="s">
        <v>172</v>
      </c>
      <c r="D684" s="510" t="s">
        <v>119</v>
      </c>
      <c r="E684" s="505">
        <v>2000</v>
      </c>
      <c r="F684" s="502">
        <f t="shared" si="12"/>
        <v>3.7488074106424891</v>
      </c>
      <c r="G684" s="503">
        <v>533.50300000000004</v>
      </c>
      <c r="H684" s="505" t="s">
        <v>315</v>
      </c>
      <c r="I684" s="505" t="s">
        <v>4288</v>
      </c>
      <c r="J684" s="505" t="s">
        <v>96</v>
      </c>
      <c r="K684" s="505" t="s">
        <v>2102</v>
      </c>
      <c r="L684" s="505" t="s">
        <v>153</v>
      </c>
      <c r="M684" s="449"/>
      <c r="N684" s="449"/>
      <c r="O684" s="449"/>
    </row>
    <row r="685" spans="1:15" s="325" customFormat="1" ht="15">
      <c r="A685" s="529">
        <v>45988</v>
      </c>
      <c r="B685" s="505" t="s">
        <v>4436</v>
      </c>
      <c r="C685" s="298" t="s">
        <v>194</v>
      </c>
      <c r="D685" s="298" t="s">
        <v>115</v>
      </c>
      <c r="E685" s="530">
        <v>500</v>
      </c>
      <c r="F685" s="502">
        <f t="shared" si="12"/>
        <v>0.93720185266062228</v>
      </c>
      <c r="G685" s="503">
        <v>533.50300000000004</v>
      </c>
      <c r="H685" s="298" t="s">
        <v>435</v>
      </c>
      <c r="I685" s="505" t="s">
        <v>4451</v>
      </c>
      <c r="J685" s="505" t="s">
        <v>96</v>
      </c>
      <c r="K685" s="505" t="s">
        <v>2102</v>
      </c>
      <c r="L685" s="505" t="s">
        <v>153</v>
      </c>
    </row>
    <row r="686" spans="1:15" s="325" customFormat="1" ht="15">
      <c r="A686" s="529">
        <v>45988</v>
      </c>
      <c r="B686" s="505" t="s">
        <v>2665</v>
      </c>
      <c r="C686" s="298" t="s">
        <v>194</v>
      </c>
      <c r="D686" s="298" t="s">
        <v>115</v>
      </c>
      <c r="E686" s="530">
        <v>500</v>
      </c>
      <c r="F686" s="502">
        <f t="shared" si="12"/>
        <v>0.93720185266062228</v>
      </c>
      <c r="G686" s="503">
        <v>533.50300000000004</v>
      </c>
      <c r="H686" s="298" t="s">
        <v>435</v>
      </c>
      <c r="I686" s="505" t="s">
        <v>4451</v>
      </c>
      <c r="J686" s="505" t="s">
        <v>96</v>
      </c>
      <c r="K686" s="505" t="s">
        <v>2102</v>
      </c>
      <c r="L686" s="505" t="s">
        <v>153</v>
      </c>
    </row>
    <row r="687" spans="1:15" s="325" customFormat="1" ht="15">
      <c r="A687" s="529">
        <v>45988</v>
      </c>
      <c r="B687" s="505" t="s">
        <v>4431</v>
      </c>
      <c r="C687" s="505" t="s">
        <v>3317</v>
      </c>
      <c r="D687" s="298" t="s">
        <v>115</v>
      </c>
      <c r="E687" s="530">
        <v>3000</v>
      </c>
      <c r="F687" s="502">
        <f t="shared" si="12"/>
        <v>5.6232111159637332</v>
      </c>
      <c r="G687" s="503">
        <v>533.50300000000004</v>
      </c>
      <c r="H687" s="298" t="s">
        <v>435</v>
      </c>
      <c r="I687" s="505" t="s">
        <v>4455</v>
      </c>
      <c r="J687" s="505" t="s">
        <v>96</v>
      </c>
      <c r="K687" s="505" t="s">
        <v>2102</v>
      </c>
      <c r="L687" s="505" t="s">
        <v>153</v>
      </c>
    </row>
    <row r="688" spans="1:15" s="325" customFormat="1" ht="15">
      <c r="A688" s="529">
        <v>45988</v>
      </c>
      <c r="B688" s="505" t="s">
        <v>4437</v>
      </c>
      <c r="C688" s="298" t="s">
        <v>194</v>
      </c>
      <c r="D688" s="298" t="s">
        <v>115</v>
      </c>
      <c r="E688" s="530">
        <v>500</v>
      </c>
      <c r="F688" s="502">
        <f t="shared" si="12"/>
        <v>0.93720185266062228</v>
      </c>
      <c r="G688" s="503">
        <v>533.50300000000004</v>
      </c>
      <c r="H688" s="298" t="s">
        <v>435</v>
      </c>
      <c r="I688" s="505" t="s">
        <v>4451</v>
      </c>
      <c r="J688" s="505" t="s">
        <v>96</v>
      </c>
      <c r="K688" s="505" t="s">
        <v>2102</v>
      </c>
      <c r="L688" s="505" t="s">
        <v>153</v>
      </c>
    </row>
    <row r="689" spans="1:15" s="325" customFormat="1" ht="15">
      <c r="A689" s="529">
        <v>45988</v>
      </c>
      <c r="B689" s="505" t="s">
        <v>4438</v>
      </c>
      <c r="C689" s="298" t="s">
        <v>194</v>
      </c>
      <c r="D689" s="298" t="s">
        <v>115</v>
      </c>
      <c r="E689" s="530">
        <v>500</v>
      </c>
      <c r="F689" s="502">
        <f t="shared" si="12"/>
        <v>0.93720185266062228</v>
      </c>
      <c r="G689" s="503">
        <v>533.50300000000004</v>
      </c>
      <c r="H689" s="298" t="s">
        <v>435</v>
      </c>
      <c r="I689" s="505" t="s">
        <v>4451</v>
      </c>
      <c r="J689" s="505" t="s">
        <v>96</v>
      </c>
      <c r="K689" s="505" t="s">
        <v>2102</v>
      </c>
      <c r="L689" s="505" t="s">
        <v>153</v>
      </c>
    </row>
    <row r="690" spans="1:15" s="325" customFormat="1" ht="15">
      <c r="A690" s="529">
        <v>45988</v>
      </c>
      <c r="B690" s="505" t="s">
        <v>4435</v>
      </c>
      <c r="C690" s="298" t="s">
        <v>194</v>
      </c>
      <c r="D690" s="298" t="s">
        <v>115</v>
      </c>
      <c r="E690" s="530">
        <v>500</v>
      </c>
      <c r="F690" s="502">
        <f t="shared" si="12"/>
        <v>0.93720185266062228</v>
      </c>
      <c r="G690" s="503">
        <v>533.50300000000004</v>
      </c>
      <c r="H690" s="298" t="s">
        <v>435</v>
      </c>
      <c r="I690" s="505" t="s">
        <v>4451</v>
      </c>
      <c r="J690" s="505" t="s">
        <v>96</v>
      </c>
      <c r="K690" s="505" t="s">
        <v>2102</v>
      </c>
      <c r="L690" s="505" t="s">
        <v>153</v>
      </c>
    </row>
    <row r="691" spans="1:15" s="325" customFormat="1" ht="15">
      <c r="A691" s="529">
        <v>45988</v>
      </c>
      <c r="B691" s="505" t="s">
        <v>4434</v>
      </c>
      <c r="C691" s="505" t="s">
        <v>3317</v>
      </c>
      <c r="D691" s="298" t="s">
        <v>115</v>
      </c>
      <c r="E691" s="530">
        <v>3000</v>
      </c>
      <c r="F691" s="502">
        <f t="shared" si="12"/>
        <v>5.6232111159637332</v>
      </c>
      <c r="G691" s="503">
        <v>533.50300000000004</v>
      </c>
      <c r="H691" s="298" t="s">
        <v>435</v>
      </c>
      <c r="I691" s="505" t="s">
        <v>4455</v>
      </c>
      <c r="J691" s="505" t="s">
        <v>96</v>
      </c>
      <c r="K691" s="505" t="s">
        <v>2102</v>
      </c>
      <c r="L691" s="505" t="s">
        <v>153</v>
      </c>
    </row>
    <row r="692" spans="1:15" s="325" customFormat="1" ht="15">
      <c r="A692" s="531">
        <v>45988</v>
      </c>
      <c r="B692" s="514" t="s">
        <v>4554</v>
      </c>
      <c r="C692" s="514" t="s">
        <v>172</v>
      </c>
      <c r="D692" s="514" t="s">
        <v>118</v>
      </c>
      <c r="E692" s="518">
        <v>1000</v>
      </c>
      <c r="F692" s="502">
        <f t="shared" si="12"/>
        <v>1.8744037053212446</v>
      </c>
      <c r="G692" s="503">
        <v>533.50300000000004</v>
      </c>
      <c r="H692" s="514" t="s">
        <v>211</v>
      </c>
      <c r="I692" s="514" t="s">
        <v>4559</v>
      </c>
      <c r="J692" s="505" t="s">
        <v>96</v>
      </c>
      <c r="K692" s="505" t="s">
        <v>2102</v>
      </c>
      <c r="L692" s="505" t="s">
        <v>153</v>
      </c>
      <c r="M692" s="449"/>
      <c r="N692" s="371"/>
      <c r="O692" s="371"/>
    </row>
    <row r="693" spans="1:15" s="325" customFormat="1" ht="15">
      <c r="A693" s="531">
        <v>45988</v>
      </c>
      <c r="B693" s="514" t="s">
        <v>4556</v>
      </c>
      <c r="C693" s="514" t="s">
        <v>172</v>
      </c>
      <c r="D693" s="514" t="s">
        <v>118</v>
      </c>
      <c r="E693" s="518">
        <v>1000</v>
      </c>
      <c r="F693" s="502">
        <f t="shared" si="12"/>
        <v>1.8744037053212446</v>
      </c>
      <c r="G693" s="503">
        <v>533.50300000000004</v>
      </c>
      <c r="H693" s="514" t="s">
        <v>211</v>
      </c>
      <c r="I693" s="514" t="s">
        <v>4559</v>
      </c>
      <c r="J693" s="505" t="s">
        <v>96</v>
      </c>
      <c r="K693" s="505" t="s">
        <v>2102</v>
      </c>
      <c r="L693" s="505" t="s">
        <v>153</v>
      </c>
      <c r="M693" s="449"/>
      <c r="N693" s="449"/>
      <c r="O693" s="449"/>
    </row>
    <row r="694" spans="1:15" s="325" customFormat="1" ht="15">
      <c r="A694" s="531">
        <v>45988</v>
      </c>
      <c r="B694" s="514" t="s">
        <v>4555</v>
      </c>
      <c r="C694" s="514" t="s">
        <v>175</v>
      </c>
      <c r="D694" s="514" t="s">
        <v>118</v>
      </c>
      <c r="E694" s="518">
        <v>3100</v>
      </c>
      <c r="F694" s="502">
        <f t="shared" si="12"/>
        <v>5.8106514864958578</v>
      </c>
      <c r="G694" s="503">
        <v>533.50300000000004</v>
      </c>
      <c r="H694" s="514" t="s">
        <v>211</v>
      </c>
      <c r="I694" s="514" t="s">
        <v>4575</v>
      </c>
      <c r="J694" s="505" t="s">
        <v>96</v>
      </c>
      <c r="K694" s="505" t="s">
        <v>2102</v>
      </c>
      <c r="L694" s="505" t="s">
        <v>153</v>
      </c>
      <c r="M694" s="449"/>
      <c r="N694" s="371"/>
      <c r="O694" s="371"/>
    </row>
    <row r="695" spans="1:15" s="325" customFormat="1" ht="15">
      <c r="A695" s="531">
        <v>45988</v>
      </c>
      <c r="B695" s="514" t="s">
        <v>4464</v>
      </c>
      <c r="C695" s="514" t="s">
        <v>172</v>
      </c>
      <c r="D695" s="514" t="s">
        <v>118</v>
      </c>
      <c r="E695" s="518">
        <v>1000</v>
      </c>
      <c r="F695" s="502">
        <f t="shared" si="12"/>
        <v>1.8744037053212446</v>
      </c>
      <c r="G695" s="503">
        <v>533.50300000000004</v>
      </c>
      <c r="H695" s="514" t="s">
        <v>211</v>
      </c>
      <c r="I695" s="514" t="s">
        <v>4559</v>
      </c>
      <c r="J695" s="505" t="s">
        <v>96</v>
      </c>
      <c r="K695" s="505" t="s">
        <v>2102</v>
      </c>
      <c r="L695" s="505" t="s">
        <v>153</v>
      </c>
      <c r="M695" s="449"/>
      <c r="N695" s="449"/>
      <c r="O695" s="449"/>
    </row>
    <row r="696" spans="1:15" s="325" customFormat="1" ht="15">
      <c r="A696" s="531">
        <v>45988</v>
      </c>
      <c r="B696" s="514" t="s">
        <v>4557</v>
      </c>
      <c r="C696" s="514" t="s">
        <v>172</v>
      </c>
      <c r="D696" s="514" t="s">
        <v>118</v>
      </c>
      <c r="E696" s="518">
        <v>1000</v>
      </c>
      <c r="F696" s="502">
        <f t="shared" si="12"/>
        <v>1.8744037053212446</v>
      </c>
      <c r="G696" s="503">
        <v>533.50300000000004</v>
      </c>
      <c r="H696" s="514" t="s">
        <v>211</v>
      </c>
      <c r="I696" s="514" t="s">
        <v>4559</v>
      </c>
      <c r="J696" s="505" t="s">
        <v>96</v>
      </c>
      <c r="K696" s="505" t="s">
        <v>2102</v>
      </c>
      <c r="L696" s="505" t="s">
        <v>153</v>
      </c>
      <c r="M696" s="449"/>
      <c r="N696" s="449"/>
      <c r="O696" s="449"/>
    </row>
    <row r="697" spans="1:15" s="325" customFormat="1" ht="15">
      <c r="A697" s="531">
        <v>45988</v>
      </c>
      <c r="B697" s="514" t="s">
        <v>4558</v>
      </c>
      <c r="C697" s="514" t="s">
        <v>172</v>
      </c>
      <c r="D697" s="514" t="s">
        <v>118</v>
      </c>
      <c r="E697" s="518">
        <v>1000</v>
      </c>
      <c r="F697" s="502">
        <f t="shared" si="12"/>
        <v>1.8744037053212446</v>
      </c>
      <c r="G697" s="503">
        <v>533.50300000000004</v>
      </c>
      <c r="H697" s="514" t="s">
        <v>211</v>
      </c>
      <c r="I697" s="514" t="s">
        <v>4559</v>
      </c>
      <c r="J697" s="505" t="s">
        <v>96</v>
      </c>
      <c r="K697" s="505" t="s">
        <v>2102</v>
      </c>
      <c r="L697" s="505" t="s">
        <v>153</v>
      </c>
      <c r="M697" s="449"/>
      <c r="N697" s="449"/>
      <c r="O697" s="449"/>
    </row>
    <row r="698" spans="1:15" s="325" customFormat="1" ht="15">
      <c r="A698" s="529">
        <v>45989</v>
      </c>
      <c r="B698" s="505" t="s">
        <v>2048</v>
      </c>
      <c r="C698" s="298" t="s">
        <v>194</v>
      </c>
      <c r="D698" s="298" t="s">
        <v>115</v>
      </c>
      <c r="E698" s="530">
        <v>37000</v>
      </c>
      <c r="F698" s="502">
        <f t="shared" si="12"/>
        <v>69.352937096886052</v>
      </c>
      <c r="G698" s="503">
        <v>533.50300000000004</v>
      </c>
      <c r="H698" s="298" t="s">
        <v>435</v>
      </c>
      <c r="I698" s="505" t="s">
        <v>4456</v>
      </c>
      <c r="J698" s="505" t="s">
        <v>96</v>
      </c>
      <c r="K698" s="505" t="s">
        <v>2102</v>
      </c>
      <c r="L698" s="505" t="s">
        <v>153</v>
      </c>
    </row>
    <row r="699" spans="1:15" s="325" customFormat="1" ht="15">
      <c r="A699" s="523">
        <v>45989</v>
      </c>
      <c r="B699" s="510" t="s">
        <v>4761</v>
      </c>
      <c r="C699" s="510" t="s">
        <v>175</v>
      </c>
      <c r="D699" s="510" t="s">
        <v>119</v>
      </c>
      <c r="E699" s="510">
        <v>40000</v>
      </c>
      <c r="F699" s="502">
        <f t="shared" si="12"/>
        <v>74.976148212849779</v>
      </c>
      <c r="G699" s="503">
        <v>533.50300000000004</v>
      </c>
      <c r="H699" s="510" t="s">
        <v>182</v>
      </c>
      <c r="I699" s="510" t="s">
        <v>4253</v>
      </c>
      <c r="J699" s="505" t="s">
        <v>96</v>
      </c>
      <c r="K699" s="505" t="s">
        <v>2102</v>
      </c>
      <c r="L699" s="505" t="s">
        <v>153</v>
      </c>
      <c r="M699" s="449"/>
      <c r="N699" s="371"/>
      <c r="O699" s="371"/>
    </row>
    <row r="700" spans="1:15" s="325" customFormat="1" ht="15">
      <c r="A700" s="523">
        <v>45989</v>
      </c>
      <c r="B700" s="510" t="s">
        <v>4880</v>
      </c>
      <c r="C700" s="510" t="s">
        <v>172</v>
      </c>
      <c r="D700" s="510" t="s">
        <v>119</v>
      </c>
      <c r="E700" s="510">
        <v>1500</v>
      </c>
      <c r="F700" s="502">
        <f t="shared" si="12"/>
        <v>2.8116055579818666</v>
      </c>
      <c r="G700" s="503">
        <v>533.50300000000004</v>
      </c>
      <c r="H700" s="510" t="s">
        <v>182</v>
      </c>
      <c r="I700" s="510" t="s">
        <v>4237</v>
      </c>
      <c r="J700" s="505" t="s">
        <v>96</v>
      </c>
      <c r="K700" s="505" t="s">
        <v>2102</v>
      </c>
      <c r="L700" s="505" t="s">
        <v>153</v>
      </c>
      <c r="M700" s="449"/>
      <c r="N700" s="371"/>
      <c r="O700" s="371"/>
    </row>
    <row r="701" spans="1:15" s="325" customFormat="1" ht="15">
      <c r="A701" s="523">
        <v>45989</v>
      </c>
      <c r="B701" s="510" t="s">
        <v>4917</v>
      </c>
      <c r="C701" s="510" t="s">
        <v>172</v>
      </c>
      <c r="D701" s="510" t="s">
        <v>119</v>
      </c>
      <c r="E701" s="510">
        <v>1000</v>
      </c>
      <c r="F701" s="502">
        <f t="shared" si="12"/>
        <v>1.8744037053212446</v>
      </c>
      <c r="G701" s="503">
        <v>533.50300000000004</v>
      </c>
      <c r="H701" s="510" t="s">
        <v>182</v>
      </c>
      <c r="I701" s="510" t="s">
        <v>4237</v>
      </c>
      <c r="J701" s="505" t="s">
        <v>96</v>
      </c>
      <c r="K701" s="505" t="s">
        <v>2102</v>
      </c>
      <c r="L701" s="505" t="s">
        <v>153</v>
      </c>
      <c r="M701" s="449"/>
      <c r="N701" s="371"/>
      <c r="O701" s="371"/>
    </row>
    <row r="702" spans="1:15" s="325" customFormat="1" ht="15">
      <c r="A702" s="515">
        <v>45989</v>
      </c>
      <c r="B702" s="505" t="s">
        <v>4748</v>
      </c>
      <c r="C702" s="505" t="s">
        <v>175</v>
      </c>
      <c r="D702" s="510" t="s">
        <v>119</v>
      </c>
      <c r="E702" s="505">
        <v>40000</v>
      </c>
      <c r="F702" s="502">
        <f t="shared" si="12"/>
        <v>74.976148212849779</v>
      </c>
      <c r="G702" s="503">
        <v>533.50300000000004</v>
      </c>
      <c r="H702" s="505" t="s">
        <v>315</v>
      </c>
      <c r="I702" s="505" t="s">
        <v>4303</v>
      </c>
      <c r="J702" s="505" t="s">
        <v>96</v>
      </c>
      <c r="K702" s="505" t="s">
        <v>2102</v>
      </c>
      <c r="L702" s="505" t="s">
        <v>153</v>
      </c>
      <c r="M702" s="449"/>
      <c r="N702" s="449"/>
      <c r="O702" s="449"/>
    </row>
    <row r="703" spans="1:15" s="325" customFormat="1" ht="15">
      <c r="A703" s="515">
        <v>45989</v>
      </c>
      <c r="B703" s="505" t="s">
        <v>4995</v>
      </c>
      <c r="C703" s="505" t="s">
        <v>172</v>
      </c>
      <c r="D703" s="510" t="s">
        <v>119</v>
      </c>
      <c r="E703" s="505">
        <v>2000</v>
      </c>
      <c r="F703" s="502">
        <f t="shared" si="12"/>
        <v>3.7488074106424891</v>
      </c>
      <c r="G703" s="503">
        <v>533.50300000000004</v>
      </c>
      <c r="H703" s="505" t="s">
        <v>315</v>
      </c>
      <c r="I703" s="505" t="s">
        <v>4288</v>
      </c>
      <c r="J703" s="505" t="s">
        <v>96</v>
      </c>
      <c r="K703" s="505" t="s">
        <v>2102</v>
      </c>
      <c r="L703" s="505" t="s">
        <v>153</v>
      </c>
      <c r="M703" s="449"/>
      <c r="N703" s="449"/>
      <c r="O703" s="449"/>
    </row>
    <row r="704" spans="1:15" s="325" customFormat="1" ht="15">
      <c r="A704" s="515">
        <v>45989</v>
      </c>
      <c r="B704" s="505" t="s">
        <v>4749</v>
      </c>
      <c r="C704" s="505" t="s">
        <v>172</v>
      </c>
      <c r="D704" s="510" t="s">
        <v>119</v>
      </c>
      <c r="E704" s="505">
        <v>5000</v>
      </c>
      <c r="F704" s="502">
        <f t="shared" si="12"/>
        <v>9.3720185266062224</v>
      </c>
      <c r="G704" s="503">
        <v>533.50300000000004</v>
      </c>
      <c r="H704" s="505" t="s">
        <v>315</v>
      </c>
      <c r="I704" s="505" t="s">
        <v>4304</v>
      </c>
      <c r="J704" s="505" t="s">
        <v>96</v>
      </c>
      <c r="K704" s="505" t="s">
        <v>2102</v>
      </c>
      <c r="L704" s="505" t="s">
        <v>153</v>
      </c>
      <c r="M704" s="449"/>
      <c r="N704" s="449"/>
      <c r="O704" s="449"/>
    </row>
    <row r="705" spans="1:15" s="325" customFormat="1" ht="15">
      <c r="A705" s="515">
        <v>45989</v>
      </c>
      <c r="B705" s="505" t="s">
        <v>4996</v>
      </c>
      <c r="C705" s="505" t="s">
        <v>172</v>
      </c>
      <c r="D705" s="510" t="s">
        <v>119</v>
      </c>
      <c r="E705" s="505">
        <v>500</v>
      </c>
      <c r="F705" s="502">
        <f t="shared" si="12"/>
        <v>0.93720185266062228</v>
      </c>
      <c r="G705" s="503">
        <v>533.50300000000004</v>
      </c>
      <c r="H705" s="505" t="s">
        <v>315</v>
      </c>
      <c r="I705" s="505" t="s">
        <v>4288</v>
      </c>
      <c r="J705" s="505" t="s">
        <v>96</v>
      </c>
      <c r="K705" s="505" t="s">
        <v>2102</v>
      </c>
      <c r="L705" s="505" t="s">
        <v>153</v>
      </c>
      <c r="M705" s="449"/>
      <c r="N705" s="449"/>
      <c r="O705" s="449"/>
    </row>
    <row r="706" spans="1:15" s="325" customFormat="1" ht="15">
      <c r="A706" s="515">
        <v>45989</v>
      </c>
      <c r="B706" s="505" t="s">
        <v>4996</v>
      </c>
      <c r="C706" s="505" t="s">
        <v>172</v>
      </c>
      <c r="D706" s="510" t="s">
        <v>119</v>
      </c>
      <c r="E706" s="505">
        <v>500</v>
      </c>
      <c r="F706" s="502">
        <f t="shared" si="12"/>
        <v>0.93720185266062228</v>
      </c>
      <c r="G706" s="503">
        <v>533.50300000000004</v>
      </c>
      <c r="H706" s="505" t="s">
        <v>315</v>
      </c>
      <c r="I706" s="505" t="s">
        <v>4288</v>
      </c>
      <c r="J706" s="505" t="s">
        <v>96</v>
      </c>
      <c r="K706" s="505" t="s">
        <v>2102</v>
      </c>
      <c r="L706" s="505" t="s">
        <v>153</v>
      </c>
      <c r="M706" s="449"/>
      <c r="N706" s="449"/>
      <c r="O706" s="449"/>
    </row>
    <row r="707" spans="1:15" s="325" customFormat="1" ht="15">
      <c r="A707" s="515">
        <v>45989</v>
      </c>
      <c r="B707" s="505" t="s">
        <v>4888</v>
      </c>
      <c r="C707" s="505" t="s">
        <v>172</v>
      </c>
      <c r="D707" s="510" t="s">
        <v>119</v>
      </c>
      <c r="E707" s="505">
        <v>500</v>
      </c>
      <c r="F707" s="502">
        <f t="shared" si="12"/>
        <v>0.93720185266062228</v>
      </c>
      <c r="G707" s="503">
        <v>533.50300000000004</v>
      </c>
      <c r="H707" s="505" t="s">
        <v>315</v>
      </c>
      <c r="I707" s="505" t="s">
        <v>4288</v>
      </c>
      <c r="J707" s="505" t="s">
        <v>96</v>
      </c>
      <c r="K707" s="505" t="s">
        <v>2102</v>
      </c>
      <c r="L707" s="505" t="s">
        <v>153</v>
      </c>
      <c r="M707" s="449"/>
      <c r="N707" s="449"/>
      <c r="O707" s="449"/>
    </row>
    <row r="708" spans="1:15" s="325" customFormat="1" ht="15">
      <c r="A708" s="515">
        <v>45989</v>
      </c>
      <c r="B708" s="505" t="s">
        <v>4750</v>
      </c>
      <c r="C708" s="505" t="s">
        <v>2394</v>
      </c>
      <c r="D708" s="510" t="s">
        <v>119</v>
      </c>
      <c r="E708" s="530">
        <v>40000</v>
      </c>
      <c r="F708" s="502">
        <f t="shared" si="12"/>
        <v>74.976148212849779</v>
      </c>
      <c r="G708" s="503">
        <v>533.50300000000004</v>
      </c>
      <c r="H708" s="505" t="s">
        <v>321</v>
      </c>
      <c r="I708" s="505" t="s">
        <v>4329</v>
      </c>
      <c r="J708" s="505" t="s">
        <v>96</v>
      </c>
      <c r="K708" s="505" t="s">
        <v>2102</v>
      </c>
      <c r="L708" s="505" t="s">
        <v>153</v>
      </c>
      <c r="M708" s="449"/>
      <c r="N708" s="371"/>
      <c r="O708" s="371"/>
    </row>
    <row r="709" spans="1:15" s="325" customFormat="1" ht="15">
      <c r="A709" s="515">
        <v>45989</v>
      </c>
      <c r="B709" s="505" t="s">
        <v>4907</v>
      </c>
      <c r="C709" s="505" t="s">
        <v>172</v>
      </c>
      <c r="D709" s="510" t="s">
        <v>119</v>
      </c>
      <c r="E709" s="530">
        <v>1000</v>
      </c>
      <c r="F709" s="502">
        <f t="shared" si="12"/>
        <v>1.8744037053212446</v>
      </c>
      <c r="G709" s="503">
        <v>533.50300000000004</v>
      </c>
      <c r="H709" s="505" t="s">
        <v>321</v>
      </c>
      <c r="I709" s="505" t="s">
        <v>4314</v>
      </c>
      <c r="J709" s="505" t="s">
        <v>96</v>
      </c>
      <c r="K709" s="505" t="s">
        <v>2102</v>
      </c>
      <c r="L709" s="505" t="s">
        <v>153</v>
      </c>
      <c r="M709" s="449"/>
      <c r="N709" s="371"/>
      <c r="O709" s="371"/>
    </row>
    <row r="710" spans="1:15" s="325" customFormat="1" ht="15">
      <c r="A710" s="515">
        <v>45989</v>
      </c>
      <c r="B710" s="505" t="s">
        <v>4752</v>
      </c>
      <c r="C710" s="505" t="s">
        <v>172</v>
      </c>
      <c r="D710" s="510" t="s">
        <v>119</v>
      </c>
      <c r="E710" s="530">
        <v>5000</v>
      </c>
      <c r="F710" s="502">
        <f t="shared" si="12"/>
        <v>9.3720185266062224</v>
      </c>
      <c r="G710" s="503">
        <v>533.50300000000004</v>
      </c>
      <c r="H710" s="505" t="s">
        <v>321</v>
      </c>
      <c r="I710" s="505" t="s">
        <v>4330</v>
      </c>
      <c r="J710" s="505" t="s">
        <v>96</v>
      </c>
      <c r="K710" s="505" t="s">
        <v>2102</v>
      </c>
      <c r="L710" s="505" t="s">
        <v>153</v>
      </c>
      <c r="M710" s="449"/>
      <c r="N710" s="371"/>
      <c r="O710" s="371"/>
    </row>
    <row r="711" spans="1:15" s="325" customFormat="1" ht="15">
      <c r="A711" s="515">
        <v>45989</v>
      </c>
      <c r="B711" s="505" t="s">
        <v>4888</v>
      </c>
      <c r="C711" s="505" t="s">
        <v>172</v>
      </c>
      <c r="D711" s="510" t="s">
        <v>119</v>
      </c>
      <c r="E711" s="530">
        <v>500</v>
      </c>
      <c r="F711" s="502">
        <f t="shared" si="12"/>
        <v>0.93720185266062228</v>
      </c>
      <c r="G711" s="503">
        <v>533.50300000000004</v>
      </c>
      <c r="H711" s="505" t="s">
        <v>321</v>
      </c>
      <c r="I711" s="505" t="s">
        <v>4314</v>
      </c>
      <c r="J711" s="505" t="s">
        <v>96</v>
      </c>
      <c r="K711" s="505" t="s">
        <v>2102</v>
      </c>
      <c r="L711" s="505" t="s">
        <v>153</v>
      </c>
      <c r="M711" s="449"/>
      <c r="N711" s="371"/>
      <c r="O711" s="371"/>
    </row>
    <row r="712" spans="1:15" s="325" customFormat="1" ht="15">
      <c r="A712" s="515">
        <v>45989</v>
      </c>
      <c r="B712" s="505" t="s">
        <v>4945</v>
      </c>
      <c r="C712" s="505" t="s">
        <v>172</v>
      </c>
      <c r="D712" s="510" t="s">
        <v>119</v>
      </c>
      <c r="E712" s="530">
        <v>500</v>
      </c>
      <c r="F712" s="502">
        <f t="shared" si="12"/>
        <v>0.93720185266062228</v>
      </c>
      <c r="G712" s="503">
        <v>533.50300000000004</v>
      </c>
      <c r="H712" s="505" t="s">
        <v>321</v>
      </c>
      <c r="I712" s="505" t="s">
        <v>4314</v>
      </c>
      <c r="J712" s="505" t="s">
        <v>96</v>
      </c>
      <c r="K712" s="505" t="s">
        <v>2102</v>
      </c>
      <c r="L712" s="505" t="s">
        <v>153</v>
      </c>
      <c r="M712" s="449"/>
      <c r="N712" s="371"/>
      <c r="O712" s="371"/>
    </row>
    <row r="713" spans="1:15" s="325" customFormat="1" ht="15">
      <c r="A713" s="515">
        <v>45989</v>
      </c>
      <c r="B713" s="505" t="s">
        <v>4967</v>
      </c>
      <c r="C713" s="505" t="s">
        <v>172</v>
      </c>
      <c r="D713" s="510" t="s">
        <v>119</v>
      </c>
      <c r="E713" s="530">
        <v>500</v>
      </c>
      <c r="F713" s="502">
        <f t="shared" si="12"/>
        <v>0.93720185266062228</v>
      </c>
      <c r="G713" s="503">
        <v>533.50300000000004</v>
      </c>
      <c r="H713" s="505" t="s">
        <v>321</v>
      </c>
      <c r="I713" s="505" t="s">
        <v>4314</v>
      </c>
      <c r="J713" s="505" t="s">
        <v>96</v>
      </c>
      <c r="K713" s="505" t="s">
        <v>2102</v>
      </c>
      <c r="L713" s="505" t="s">
        <v>153</v>
      </c>
      <c r="M713" s="449"/>
      <c r="N713" s="449"/>
      <c r="O713" s="449"/>
    </row>
    <row r="714" spans="1:15" s="325" customFormat="1" ht="15">
      <c r="A714" s="515">
        <v>45989</v>
      </c>
      <c r="B714" s="505" t="s">
        <v>4310</v>
      </c>
      <c r="C714" s="505" t="s">
        <v>366</v>
      </c>
      <c r="D714" s="510" t="s">
        <v>119</v>
      </c>
      <c r="E714" s="530">
        <v>1500</v>
      </c>
      <c r="F714" s="502">
        <f t="shared" si="12"/>
        <v>2.7602044759475781</v>
      </c>
      <c r="G714" s="503">
        <v>543.43799999999999</v>
      </c>
      <c r="H714" s="505" t="s">
        <v>321</v>
      </c>
      <c r="I714" s="505" t="s">
        <v>4321</v>
      </c>
      <c r="J714" s="505" t="s">
        <v>96</v>
      </c>
      <c r="K714" s="505" t="s">
        <v>4104</v>
      </c>
      <c r="L714" s="505" t="s">
        <v>153</v>
      </c>
      <c r="M714" s="449"/>
      <c r="N714" s="449"/>
      <c r="O714" s="449"/>
    </row>
    <row r="715" spans="1:15" s="325" customFormat="1" ht="15">
      <c r="A715" s="515">
        <v>45989</v>
      </c>
      <c r="B715" s="505" t="s">
        <v>4967</v>
      </c>
      <c r="C715" s="505" t="s">
        <v>172</v>
      </c>
      <c r="D715" s="510" t="s">
        <v>119</v>
      </c>
      <c r="E715" s="530">
        <v>500</v>
      </c>
      <c r="F715" s="502">
        <f t="shared" si="12"/>
        <v>0.93720185266062228</v>
      </c>
      <c r="G715" s="503">
        <v>533.50300000000004</v>
      </c>
      <c r="H715" s="505" t="s">
        <v>321</v>
      </c>
      <c r="I715" s="505" t="s">
        <v>4314</v>
      </c>
      <c r="J715" s="505" t="s">
        <v>96</v>
      </c>
      <c r="K715" s="505" t="s">
        <v>2102</v>
      </c>
      <c r="L715" s="505" t="s">
        <v>153</v>
      </c>
      <c r="M715" s="449"/>
      <c r="N715" s="449"/>
      <c r="O715" s="449"/>
    </row>
    <row r="716" spans="1:15" s="325" customFormat="1" ht="15">
      <c r="A716" s="529">
        <v>45989</v>
      </c>
      <c r="B716" s="505" t="s">
        <v>4439</v>
      </c>
      <c r="C716" s="505" t="s">
        <v>175</v>
      </c>
      <c r="D716" s="505" t="s">
        <v>115</v>
      </c>
      <c r="E716" s="530">
        <v>45000</v>
      </c>
      <c r="F716" s="502">
        <f t="shared" si="12"/>
        <v>84.348166739456005</v>
      </c>
      <c r="G716" s="503">
        <v>533.50300000000004</v>
      </c>
      <c r="H716" s="298" t="s">
        <v>435</v>
      </c>
      <c r="I716" s="505" t="s">
        <v>4457</v>
      </c>
      <c r="J716" s="505" t="s">
        <v>96</v>
      </c>
      <c r="K716" s="505" t="s">
        <v>2102</v>
      </c>
      <c r="L716" s="505" t="s">
        <v>153</v>
      </c>
    </row>
    <row r="717" spans="1:15" s="325" customFormat="1" ht="15">
      <c r="A717" s="529">
        <v>45989</v>
      </c>
      <c r="B717" s="505" t="s">
        <v>3084</v>
      </c>
      <c r="C717" s="298" t="s">
        <v>194</v>
      </c>
      <c r="D717" s="298" t="s">
        <v>115</v>
      </c>
      <c r="E717" s="530">
        <v>500</v>
      </c>
      <c r="F717" s="502">
        <f t="shared" si="12"/>
        <v>0.93720185266062228</v>
      </c>
      <c r="G717" s="503">
        <v>533.50300000000004</v>
      </c>
      <c r="H717" s="298" t="s">
        <v>435</v>
      </c>
      <c r="I717" s="505" t="s">
        <v>4451</v>
      </c>
      <c r="J717" s="505" t="s">
        <v>96</v>
      </c>
      <c r="K717" s="505" t="s">
        <v>2102</v>
      </c>
      <c r="L717" s="505" t="s">
        <v>153</v>
      </c>
    </row>
    <row r="718" spans="1:15" s="325" customFormat="1" ht="15">
      <c r="A718" s="529">
        <v>45989</v>
      </c>
      <c r="B718" s="505" t="s">
        <v>3085</v>
      </c>
      <c r="C718" s="298" t="s">
        <v>194</v>
      </c>
      <c r="D718" s="298" t="s">
        <v>115</v>
      </c>
      <c r="E718" s="530">
        <v>500</v>
      </c>
      <c r="F718" s="502">
        <f t="shared" si="12"/>
        <v>0.93720185266062228</v>
      </c>
      <c r="G718" s="503">
        <v>533.50300000000004</v>
      </c>
      <c r="H718" s="298" t="s">
        <v>435</v>
      </c>
      <c r="I718" s="505" t="s">
        <v>4451</v>
      </c>
      <c r="J718" s="505" t="s">
        <v>96</v>
      </c>
      <c r="K718" s="505" t="s">
        <v>2102</v>
      </c>
      <c r="L718" s="505" t="s">
        <v>153</v>
      </c>
    </row>
    <row r="719" spans="1:15" s="325" customFormat="1" ht="15">
      <c r="A719" s="629">
        <v>45990</v>
      </c>
      <c r="B719" s="298" t="s">
        <v>4132</v>
      </c>
      <c r="C719" s="298" t="s">
        <v>125</v>
      </c>
      <c r="D719" s="506" t="s">
        <v>117</v>
      </c>
      <c r="E719" s="630">
        <v>174625</v>
      </c>
      <c r="F719" s="502">
        <f t="shared" si="12"/>
        <v>327.31774704172233</v>
      </c>
      <c r="G719" s="503">
        <v>533.50300000000004</v>
      </c>
      <c r="H719" s="631" t="s">
        <v>151</v>
      </c>
      <c r="I719" s="298" t="s">
        <v>4142</v>
      </c>
      <c r="J719" s="505" t="s">
        <v>96</v>
      </c>
      <c r="K719" s="505" t="s">
        <v>2102</v>
      </c>
      <c r="L719" s="505" t="s">
        <v>153</v>
      </c>
      <c r="M719" s="371"/>
      <c r="N719" s="371"/>
      <c r="O719" s="371"/>
    </row>
    <row r="720" spans="1:15" s="325" customFormat="1" ht="15">
      <c r="A720" s="523">
        <v>45990</v>
      </c>
      <c r="B720" s="510" t="s">
        <v>4886</v>
      </c>
      <c r="C720" s="510" t="s">
        <v>172</v>
      </c>
      <c r="D720" s="510" t="s">
        <v>119</v>
      </c>
      <c r="E720" s="510">
        <v>700</v>
      </c>
      <c r="F720" s="502">
        <f t="shared" si="12"/>
        <v>1.3120825937248712</v>
      </c>
      <c r="G720" s="503">
        <v>533.50300000000004</v>
      </c>
      <c r="H720" s="510" t="s">
        <v>182</v>
      </c>
      <c r="I720" s="510" t="s">
        <v>4237</v>
      </c>
      <c r="J720" s="505" t="s">
        <v>96</v>
      </c>
      <c r="K720" s="505" t="s">
        <v>2102</v>
      </c>
      <c r="L720" s="505" t="s">
        <v>153</v>
      </c>
      <c r="M720" s="449"/>
      <c r="N720" s="371"/>
      <c r="O720" s="371"/>
    </row>
    <row r="721" spans="1:15" s="325" customFormat="1" ht="15">
      <c r="A721" s="523">
        <v>45990</v>
      </c>
      <c r="B721" s="510" t="s">
        <v>4886</v>
      </c>
      <c r="C721" s="510" t="s">
        <v>172</v>
      </c>
      <c r="D721" s="510" t="s">
        <v>119</v>
      </c>
      <c r="E721" s="510">
        <v>700</v>
      </c>
      <c r="F721" s="502">
        <f t="shared" si="12"/>
        <v>1.3120825937248712</v>
      </c>
      <c r="G721" s="503">
        <v>533.50300000000004</v>
      </c>
      <c r="H721" s="510" t="s">
        <v>182</v>
      </c>
      <c r="I721" s="510" t="s">
        <v>4237</v>
      </c>
      <c r="J721" s="505" t="s">
        <v>96</v>
      </c>
      <c r="K721" s="505" t="s">
        <v>2102</v>
      </c>
      <c r="L721" s="505" t="s">
        <v>153</v>
      </c>
      <c r="M721" s="449"/>
      <c r="N721" s="449"/>
      <c r="O721" s="449"/>
    </row>
    <row r="722" spans="1:15" s="325" customFormat="1" ht="15">
      <c r="A722" s="523">
        <v>45990</v>
      </c>
      <c r="B722" s="510" t="s">
        <v>4894</v>
      </c>
      <c r="C722" s="510" t="s">
        <v>172</v>
      </c>
      <c r="D722" s="510" t="s">
        <v>119</v>
      </c>
      <c r="E722" s="510">
        <v>700</v>
      </c>
      <c r="F722" s="502">
        <f t="shared" si="12"/>
        <v>1.3120825937248712</v>
      </c>
      <c r="G722" s="503">
        <v>533.50300000000004</v>
      </c>
      <c r="H722" s="510" t="s">
        <v>182</v>
      </c>
      <c r="I722" s="510" t="s">
        <v>4237</v>
      </c>
      <c r="J722" s="505" t="s">
        <v>96</v>
      </c>
      <c r="K722" s="505" t="s">
        <v>2102</v>
      </c>
      <c r="L722" s="505" t="s">
        <v>153</v>
      </c>
      <c r="M722" s="371"/>
      <c r="N722" s="371"/>
      <c r="O722" s="371"/>
    </row>
    <row r="723" spans="1:15" s="325" customFormat="1" ht="15">
      <c r="A723" s="523">
        <v>45990</v>
      </c>
      <c r="B723" s="510" t="s">
        <v>4894</v>
      </c>
      <c r="C723" s="510" t="s">
        <v>172</v>
      </c>
      <c r="D723" s="510" t="s">
        <v>119</v>
      </c>
      <c r="E723" s="510">
        <v>700</v>
      </c>
      <c r="F723" s="502">
        <f t="shared" si="12"/>
        <v>1.3120825937248712</v>
      </c>
      <c r="G723" s="503">
        <v>533.50300000000004</v>
      </c>
      <c r="H723" s="510" t="s">
        <v>182</v>
      </c>
      <c r="I723" s="510" t="s">
        <v>4237</v>
      </c>
      <c r="J723" s="505" t="s">
        <v>96</v>
      </c>
      <c r="K723" s="505" t="s">
        <v>2102</v>
      </c>
      <c r="L723" s="505" t="s">
        <v>153</v>
      </c>
      <c r="M723" s="371"/>
      <c r="N723" s="371"/>
      <c r="O723" s="371"/>
    </row>
    <row r="724" spans="1:15" s="325" customFormat="1" ht="15">
      <c r="A724" s="523">
        <v>45990</v>
      </c>
      <c r="B724" s="510" t="s">
        <v>4232</v>
      </c>
      <c r="C724" s="510" t="s">
        <v>366</v>
      </c>
      <c r="D724" s="510" t="s">
        <v>119</v>
      </c>
      <c r="E724" s="510">
        <v>2000</v>
      </c>
      <c r="F724" s="502">
        <f t="shared" si="12"/>
        <v>3.6802726345967711</v>
      </c>
      <c r="G724" s="503">
        <v>543.43799999999999</v>
      </c>
      <c r="H724" s="510" t="s">
        <v>182</v>
      </c>
      <c r="I724" s="510" t="s">
        <v>4238</v>
      </c>
      <c r="J724" s="505" t="s">
        <v>96</v>
      </c>
      <c r="K724" s="505" t="s">
        <v>4104</v>
      </c>
      <c r="L724" s="505" t="s">
        <v>153</v>
      </c>
      <c r="M724" s="371"/>
      <c r="N724" s="371"/>
      <c r="O724" s="371"/>
    </row>
    <row r="725" spans="1:15" s="325" customFormat="1" ht="15">
      <c r="A725" s="515">
        <v>45990</v>
      </c>
      <c r="B725" s="505" t="s">
        <v>4888</v>
      </c>
      <c r="C725" s="505" t="s">
        <v>172</v>
      </c>
      <c r="D725" s="510" t="s">
        <v>119</v>
      </c>
      <c r="E725" s="505">
        <v>500</v>
      </c>
      <c r="F725" s="502">
        <f t="shared" si="12"/>
        <v>0.93720185266062228</v>
      </c>
      <c r="G725" s="503">
        <v>533.50300000000004</v>
      </c>
      <c r="H725" s="505" t="s">
        <v>315</v>
      </c>
      <c r="I725" s="505" t="s">
        <v>4288</v>
      </c>
      <c r="J725" s="505" t="s">
        <v>96</v>
      </c>
      <c r="K725" s="505" t="s">
        <v>2102</v>
      </c>
      <c r="L725" s="505" t="s">
        <v>153</v>
      </c>
      <c r="M725" s="449"/>
      <c r="N725" s="449"/>
      <c r="O725" s="449"/>
    </row>
    <row r="726" spans="1:15" s="325" customFormat="1" ht="15">
      <c r="A726" s="515">
        <v>45990</v>
      </c>
      <c r="B726" s="505" t="s">
        <v>4286</v>
      </c>
      <c r="C726" s="505" t="s">
        <v>363</v>
      </c>
      <c r="D726" s="510" t="s">
        <v>119</v>
      </c>
      <c r="E726" s="505">
        <v>2000</v>
      </c>
      <c r="F726" s="502">
        <f t="shared" si="12"/>
        <v>3.6802726345967711</v>
      </c>
      <c r="G726" s="503">
        <v>543.43799999999999</v>
      </c>
      <c r="H726" s="505" t="s">
        <v>315</v>
      </c>
      <c r="I726" s="505" t="s">
        <v>4291</v>
      </c>
      <c r="J726" s="505" t="s">
        <v>96</v>
      </c>
      <c r="K726" s="505" t="s">
        <v>4104</v>
      </c>
      <c r="L726" s="505" t="s">
        <v>153</v>
      </c>
      <c r="M726" s="449"/>
      <c r="N726" s="449"/>
      <c r="O726" s="449"/>
    </row>
    <row r="727" spans="1:15" s="325" customFormat="1" ht="15">
      <c r="A727" s="515">
        <v>45990</v>
      </c>
      <c r="B727" s="505" t="s">
        <v>4896</v>
      </c>
      <c r="C727" s="505" t="s">
        <v>172</v>
      </c>
      <c r="D727" s="510" t="s">
        <v>119</v>
      </c>
      <c r="E727" s="505">
        <v>500</v>
      </c>
      <c r="F727" s="502">
        <f t="shared" si="12"/>
        <v>0.93720185266062228</v>
      </c>
      <c r="G727" s="503">
        <v>533.50300000000004</v>
      </c>
      <c r="H727" s="505" t="s">
        <v>315</v>
      </c>
      <c r="I727" s="505" t="s">
        <v>4288</v>
      </c>
      <c r="J727" s="505" t="s">
        <v>96</v>
      </c>
      <c r="K727" s="505" t="s">
        <v>2102</v>
      </c>
      <c r="L727" s="505" t="s">
        <v>153</v>
      </c>
      <c r="M727" s="449"/>
      <c r="N727" s="449"/>
      <c r="O727" s="449"/>
    </row>
    <row r="728" spans="1:15" s="325" customFormat="1" ht="15">
      <c r="A728" s="515">
        <v>45990</v>
      </c>
      <c r="B728" s="505" t="s">
        <v>4888</v>
      </c>
      <c r="C728" s="505" t="s">
        <v>172</v>
      </c>
      <c r="D728" s="510" t="s">
        <v>119</v>
      </c>
      <c r="E728" s="505">
        <v>500</v>
      </c>
      <c r="F728" s="502">
        <f t="shared" si="12"/>
        <v>0.93720185266062228</v>
      </c>
      <c r="G728" s="503">
        <v>533.50300000000004</v>
      </c>
      <c r="H728" s="505" t="s">
        <v>315</v>
      </c>
      <c r="I728" s="505" t="s">
        <v>4288</v>
      </c>
      <c r="J728" s="505" t="s">
        <v>96</v>
      </c>
      <c r="K728" s="505" t="s">
        <v>2102</v>
      </c>
      <c r="L728" s="505" t="s">
        <v>153</v>
      </c>
      <c r="M728" s="449"/>
      <c r="N728" s="449"/>
      <c r="O728" s="449"/>
    </row>
    <row r="729" spans="1:15" s="325" customFormat="1" ht="15">
      <c r="A729" s="515">
        <v>45990</v>
      </c>
      <c r="B729" s="505" t="s">
        <v>4888</v>
      </c>
      <c r="C729" s="505" t="s">
        <v>172</v>
      </c>
      <c r="D729" s="510" t="s">
        <v>119</v>
      </c>
      <c r="E729" s="505">
        <v>500</v>
      </c>
      <c r="F729" s="502">
        <f t="shared" si="12"/>
        <v>0.93720185266062228</v>
      </c>
      <c r="G729" s="503">
        <v>533.50300000000004</v>
      </c>
      <c r="H729" s="505" t="s">
        <v>315</v>
      </c>
      <c r="I729" s="505" t="s">
        <v>4288</v>
      </c>
      <c r="J729" s="505" t="s">
        <v>96</v>
      </c>
      <c r="K729" s="505" t="s">
        <v>2102</v>
      </c>
      <c r="L729" s="505" t="s">
        <v>153</v>
      </c>
      <c r="M729" s="449"/>
      <c r="N729" s="449"/>
      <c r="O729" s="449"/>
    </row>
    <row r="730" spans="1:15" s="325" customFormat="1" ht="15">
      <c r="A730" s="515">
        <v>45990</v>
      </c>
      <c r="B730" s="505" t="s">
        <v>4967</v>
      </c>
      <c r="C730" s="505" t="s">
        <v>172</v>
      </c>
      <c r="D730" s="510" t="s">
        <v>119</v>
      </c>
      <c r="E730" s="530">
        <v>500</v>
      </c>
      <c r="F730" s="502">
        <f t="shared" si="12"/>
        <v>0.93720185266062228</v>
      </c>
      <c r="G730" s="503">
        <v>533.50300000000004</v>
      </c>
      <c r="H730" s="505" t="s">
        <v>321</v>
      </c>
      <c r="I730" s="505" t="s">
        <v>4314</v>
      </c>
      <c r="J730" s="505" t="s">
        <v>96</v>
      </c>
      <c r="K730" s="505" t="s">
        <v>2102</v>
      </c>
      <c r="L730" s="505" t="s">
        <v>153</v>
      </c>
      <c r="M730" s="449"/>
      <c r="N730" s="449"/>
      <c r="O730" s="449"/>
    </row>
    <row r="731" spans="1:15" s="325" customFormat="1" ht="15">
      <c r="A731" s="515">
        <v>45990</v>
      </c>
      <c r="B731" s="505" t="s">
        <v>4967</v>
      </c>
      <c r="C731" s="505" t="s">
        <v>172</v>
      </c>
      <c r="D731" s="510" t="s">
        <v>119</v>
      </c>
      <c r="E731" s="530">
        <v>500</v>
      </c>
      <c r="F731" s="502">
        <f t="shared" si="12"/>
        <v>0.93720185266062228</v>
      </c>
      <c r="G731" s="503">
        <v>533.50300000000004</v>
      </c>
      <c r="H731" s="505" t="s">
        <v>321</v>
      </c>
      <c r="I731" s="505" t="s">
        <v>4314</v>
      </c>
      <c r="J731" s="505" t="s">
        <v>96</v>
      </c>
      <c r="K731" s="505" t="s">
        <v>2102</v>
      </c>
      <c r="L731" s="505" t="s">
        <v>153</v>
      </c>
      <c r="M731" s="449"/>
      <c r="N731" s="449"/>
      <c r="O731" s="449"/>
    </row>
    <row r="732" spans="1:15" s="325" customFormat="1" ht="15">
      <c r="A732" s="515">
        <v>45990</v>
      </c>
      <c r="B732" s="505" t="s">
        <v>4310</v>
      </c>
      <c r="C732" s="505" t="s">
        <v>366</v>
      </c>
      <c r="D732" s="510" t="s">
        <v>119</v>
      </c>
      <c r="E732" s="530">
        <v>1500</v>
      </c>
      <c r="F732" s="502">
        <f t="shared" si="12"/>
        <v>2.7602044759475781</v>
      </c>
      <c r="G732" s="503">
        <v>543.43799999999999</v>
      </c>
      <c r="H732" s="505" t="s">
        <v>321</v>
      </c>
      <c r="I732" s="505" t="s">
        <v>4321</v>
      </c>
      <c r="J732" s="505" t="s">
        <v>96</v>
      </c>
      <c r="K732" s="505" t="s">
        <v>4104</v>
      </c>
      <c r="L732" s="505" t="s">
        <v>153</v>
      </c>
      <c r="M732" s="449"/>
      <c r="N732" s="449"/>
      <c r="O732" s="449"/>
    </row>
    <row r="733" spans="1:15" s="325" customFormat="1" ht="15">
      <c r="A733" s="515">
        <v>45990</v>
      </c>
      <c r="B733" s="505" t="s">
        <v>4967</v>
      </c>
      <c r="C733" s="505" t="s">
        <v>172</v>
      </c>
      <c r="D733" s="510" t="s">
        <v>119</v>
      </c>
      <c r="E733" s="530">
        <v>500</v>
      </c>
      <c r="F733" s="502">
        <f t="shared" si="12"/>
        <v>0.93720185266062228</v>
      </c>
      <c r="G733" s="503">
        <v>533.50300000000004</v>
      </c>
      <c r="H733" s="505" t="s">
        <v>321</v>
      </c>
      <c r="I733" s="505" t="s">
        <v>4314</v>
      </c>
      <c r="J733" s="505" t="s">
        <v>96</v>
      </c>
      <c r="K733" s="505" t="s">
        <v>2102</v>
      </c>
      <c r="L733" s="505" t="s">
        <v>153</v>
      </c>
      <c r="M733" s="449"/>
      <c r="N733" s="449"/>
      <c r="O733" s="449"/>
    </row>
    <row r="734" spans="1:15" s="325" customFormat="1" ht="15">
      <c r="A734" s="515">
        <v>45990</v>
      </c>
      <c r="B734" s="505" t="s">
        <v>4967</v>
      </c>
      <c r="C734" s="505" t="s">
        <v>172</v>
      </c>
      <c r="D734" s="510" t="s">
        <v>119</v>
      </c>
      <c r="E734" s="530">
        <v>500</v>
      </c>
      <c r="F734" s="502">
        <f t="shared" si="12"/>
        <v>0.93720185266062228</v>
      </c>
      <c r="G734" s="503">
        <v>533.50300000000004</v>
      </c>
      <c r="H734" s="505" t="s">
        <v>321</v>
      </c>
      <c r="I734" s="505" t="s">
        <v>4314</v>
      </c>
      <c r="J734" s="505" t="s">
        <v>96</v>
      </c>
      <c r="K734" s="505" t="s">
        <v>2102</v>
      </c>
      <c r="L734" s="505" t="s">
        <v>153</v>
      </c>
      <c r="M734" s="449"/>
      <c r="N734" s="449"/>
      <c r="O734" s="449"/>
    </row>
    <row r="735" spans="1:15" s="325" customFormat="1" ht="15.6" customHeight="1">
      <c r="A735" s="529">
        <v>45990</v>
      </c>
      <c r="B735" s="505" t="s">
        <v>4440</v>
      </c>
      <c r="C735" s="505" t="s">
        <v>175</v>
      </c>
      <c r="D735" s="505" t="s">
        <v>115</v>
      </c>
      <c r="E735" s="530">
        <v>15000</v>
      </c>
      <c r="F735" s="502">
        <f t="shared" si="12"/>
        <v>28.116055579818667</v>
      </c>
      <c r="G735" s="503">
        <v>533.50300000000004</v>
      </c>
      <c r="H735" s="298" t="s">
        <v>435</v>
      </c>
      <c r="I735" s="505" t="s">
        <v>4458</v>
      </c>
      <c r="J735" s="505" t="s">
        <v>96</v>
      </c>
      <c r="K735" s="505" t="s">
        <v>2102</v>
      </c>
      <c r="L735" s="505" t="s">
        <v>153</v>
      </c>
    </row>
    <row r="736" spans="1:15" s="325" customFormat="1" ht="15">
      <c r="A736" s="529">
        <v>45990</v>
      </c>
      <c r="B736" s="505" t="s">
        <v>3087</v>
      </c>
      <c r="C736" s="298" t="s">
        <v>194</v>
      </c>
      <c r="D736" s="298" t="s">
        <v>115</v>
      </c>
      <c r="E736" s="530">
        <v>500</v>
      </c>
      <c r="F736" s="502">
        <f t="shared" si="12"/>
        <v>0.93720185266062228</v>
      </c>
      <c r="G736" s="503">
        <v>533.50300000000004</v>
      </c>
      <c r="H736" s="298" t="s">
        <v>435</v>
      </c>
      <c r="I736" s="505" t="s">
        <v>4451</v>
      </c>
      <c r="J736" s="505" t="s">
        <v>96</v>
      </c>
      <c r="K736" s="505" t="s">
        <v>2102</v>
      </c>
      <c r="L736" s="505" t="s">
        <v>153</v>
      </c>
      <c r="M736" s="449"/>
      <c r="N736" s="449"/>
      <c r="O736" s="449"/>
    </row>
    <row r="737" spans="1:15" s="325" customFormat="1" ht="15">
      <c r="A737" s="529">
        <v>45990</v>
      </c>
      <c r="B737" s="505" t="s">
        <v>4441</v>
      </c>
      <c r="C737" s="298" t="s">
        <v>194</v>
      </c>
      <c r="D737" s="298" t="s">
        <v>115</v>
      </c>
      <c r="E737" s="530">
        <v>500</v>
      </c>
      <c r="F737" s="502">
        <f t="shared" si="12"/>
        <v>0.93720185266062228</v>
      </c>
      <c r="G737" s="503">
        <v>533.50300000000004</v>
      </c>
      <c r="H737" s="298" t="s">
        <v>435</v>
      </c>
      <c r="I737" s="505" t="s">
        <v>4451</v>
      </c>
      <c r="J737" s="505" t="s">
        <v>96</v>
      </c>
      <c r="K737" s="505" t="s">
        <v>2102</v>
      </c>
      <c r="L737" s="505" t="s">
        <v>153</v>
      </c>
      <c r="M737" s="449"/>
      <c r="N737" s="449"/>
      <c r="O737" s="449"/>
    </row>
    <row r="738" spans="1:15" s="325" customFormat="1" ht="15">
      <c r="A738" s="629">
        <v>45991</v>
      </c>
      <c r="B738" s="298" t="s">
        <v>2103</v>
      </c>
      <c r="C738" s="298" t="s">
        <v>172</v>
      </c>
      <c r="D738" s="506" t="s">
        <v>117</v>
      </c>
      <c r="E738" s="630">
        <v>1000</v>
      </c>
      <c r="F738" s="502">
        <f t="shared" si="12"/>
        <v>1.8744037053212446</v>
      </c>
      <c r="G738" s="503">
        <v>533.50300000000004</v>
      </c>
      <c r="H738" s="631" t="s">
        <v>151</v>
      </c>
      <c r="I738" s="298" t="s">
        <v>4133</v>
      </c>
      <c r="J738" s="505" t="s">
        <v>96</v>
      </c>
      <c r="K738" s="505" t="s">
        <v>2102</v>
      </c>
      <c r="L738" s="505" t="s">
        <v>153</v>
      </c>
      <c r="M738" s="371"/>
      <c r="N738" s="371"/>
      <c r="O738" s="371"/>
    </row>
    <row r="739" spans="1:15" s="325" customFormat="1" ht="15">
      <c r="A739" s="629">
        <v>45991</v>
      </c>
      <c r="B739" s="298" t="s">
        <v>2387</v>
      </c>
      <c r="C739" s="298" t="s">
        <v>172</v>
      </c>
      <c r="D739" s="506" t="s">
        <v>117</v>
      </c>
      <c r="E739" s="630">
        <v>1000</v>
      </c>
      <c r="F739" s="502">
        <f t="shared" si="12"/>
        <v>1.8744037053212446</v>
      </c>
      <c r="G739" s="503">
        <v>533.50300000000004</v>
      </c>
      <c r="H739" s="631" t="s">
        <v>151</v>
      </c>
      <c r="I739" s="298" t="s">
        <v>4133</v>
      </c>
      <c r="J739" s="505" t="s">
        <v>96</v>
      </c>
      <c r="K739" s="505" t="s">
        <v>2102</v>
      </c>
      <c r="L739" s="505" t="s">
        <v>153</v>
      </c>
      <c r="M739" s="449"/>
      <c r="N739" s="449"/>
      <c r="O739" s="449"/>
    </row>
    <row r="740" spans="1:15" s="325" customFormat="1" ht="15">
      <c r="A740" s="523">
        <v>45991</v>
      </c>
      <c r="B740" s="510" t="s">
        <v>4917</v>
      </c>
      <c r="C740" s="510" t="s">
        <v>172</v>
      </c>
      <c r="D740" s="510" t="s">
        <v>119</v>
      </c>
      <c r="E740" s="510">
        <v>1000</v>
      </c>
      <c r="F740" s="502">
        <f t="shared" si="12"/>
        <v>1.8744037053212446</v>
      </c>
      <c r="G740" s="503">
        <v>533.50300000000004</v>
      </c>
      <c r="H740" s="510" t="s">
        <v>182</v>
      </c>
      <c r="I740" s="510" t="s">
        <v>4237</v>
      </c>
      <c r="J740" s="505" t="s">
        <v>96</v>
      </c>
      <c r="K740" s="505" t="s">
        <v>2102</v>
      </c>
      <c r="L740" s="505" t="s">
        <v>153</v>
      </c>
      <c r="M740" s="371"/>
      <c r="N740" s="371"/>
      <c r="O740" s="371"/>
    </row>
    <row r="741" spans="1:15" s="325" customFormat="1" ht="15">
      <c r="A741" s="523">
        <v>45991</v>
      </c>
      <c r="B741" s="510" t="s">
        <v>4917</v>
      </c>
      <c r="C741" s="510" t="s">
        <v>172</v>
      </c>
      <c r="D741" s="510" t="s">
        <v>119</v>
      </c>
      <c r="E741" s="510">
        <v>1000</v>
      </c>
      <c r="F741" s="502">
        <f t="shared" si="12"/>
        <v>1.8744037053212446</v>
      </c>
      <c r="G741" s="503">
        <v>533.50300000000004</v>
      </c>
      <c r="H741" s="510" t="s">
        <v>182</v>
      </c>
      <c r="I741" s="510" t="s">
        <v>4237</v>
      </c>
      <c r="J741" s="505" t="s">
        <v>96</v>
      </c>
      <c r="K741" s="505" t="s">
        <v>2102</v>
      </c>
      <c r="L741" s="505" t="s">
        <v>153</v>
      </c>
      <c r="M741" s="371"/>
      <c r="N741" s="371"/>
      <c r="O741" s="371"/>
    </row>
    <row r="742" spans="1:15" s="325" customFormat="1" ht="15">
      <c r="A742" s="523">
        <v>45991</v>
      </c>
      <c r="B742" s="510" t="s">
        <v>4759</v>
      </c>
      <c r="C742" s="510" t="s">
        <v>175</v>
      </c>
      <c r="D742" s="510" t="s">
        <v>119</v>
      </c>
      <c r="E742" s="510">
        <v>30000</v>
      </c>
      <c r="F742" s="502">
        <f t="shared" si="12"/>
        <v>56.232111159637334</v>
      </c>
      <c r="G742" s="503">
        <v>533.50300000000004</v>
      </c>
      <c r="H742" s="510" t="s">
        <v>182</v>
      </c>
      <c r="I742" s="510" t="s">
        <v>4254</v>
      </c>
      <c r="J742" s="505" t="s">
        <v>96</v>
      </c>
      <c r="K742" s="505" t="s">
        <v>2102</v>
      </c>
      <c r="L742" s="505" t="s">
        <v>153</v>
      </c>
      <c r="M742" s="371"/>
      <c r="N742" s="371"/>
      <c r="O742" s="371"/>
    </row>
    <row r="743" spans="1:15" s="325" customFormat="1" ht="15">
      <c r="A743" s="523">
        <v>45991</v>
      </c>
      <c r="B743" s="510" t="s">
        <v>4758</v>
      </c>
      <c r="C743" s="510" t="s">
        <v>172</v>
      </c>
      <c r="D743" s="510" t="s">
        <v>119</v>
      </c>
      <c r="E743" s="510">
        <v>5000</v>
      </c>
      <c r="F743" s="502">
        <f t="shared" si="12"/>
        <v>9.3720185266062224</v>
      </c>
      <c r="G743" s="503">
        <v>533.50300000000004</v>
      </c>
      <c r="H743" s="510" t="s">
        <v>182</v>
      </c>
      <c r="I743" s="510" t="s">
        <v>4255</v>
      </c>
      <c r="J743" s="505" t="s">
        <v>96</v>
      </c>
      <c r="K743" s="505" t="s">
        <v>2102</v>
      </c>
      <c r="L743" s="505" t="s">
        <v>153</v>
      </c>
      <c r="M743" s="371"/>
      <c r="N743" s="371"/>
      <c r="O743" s="371"/>
    </row>
    <row r="744" spans="1:15" s="325" customFormat="1" ht="15">
      <c r="A744" s="515">
        <v>45991</v>
      </c>
      <c r="B744" s="505" t="s">
        <v>4762</v>
      </c>
      <c r="C744" s="505" t="s">
        <v>175</v>
      </c>
      <c r="D744" s="510" t="s">
        <v>119</v>
      </c>
      <c r="E744" s="505">
        <v>30000</v>
      </c>
      <c r="F744" s="502">
        <f t="shared" si="12"/>
        <v>56.232111159637334</v>
      </c>
      <c r="G744" s="503">
        <v>533.50300000000004</v>
      </c>
      <c r="H744" s="505" t="s">
        <v>315</v>
      </c>
      <c r="I744" s="505" t="s">
        <v>4305</v>
      </c>
      <c r="J744" s="505" t="s">
        <v>96</v>
      </c>
      <c r="K744" s="505" t="s">
        <v>2102</v>
      </c>
      <c r="L744" s="505" t="s">
        <v>153</v>
      </c>
      <c r="M744" s="449"/>
      <c r="N744" s="449"/>
      <c r="O744" s="449"/>
    </row>
    <row r="745" spans="1:15" s="325" customFormat="1" ht="15">
      <c r="A745" s="515">
        <v>45991</v>
      </c>
      <c r="B745" s="505" t="s">
        <v>4888</v>
      </c>
      <c r="C745" s="505" t="s">
        <v>172</v>
      </c>
      <c r="D745" s="510" t="s">
        <v>119</v>
      </c>
      <c r="E745" s="505">
        <v>500</v>
      </c>
      <c r="F745" s="502">
        <f t="shared" si="12"/>
        <v>0.93720185266062228</v>
      </c>
      <c r="G745" s="503">
        <v>533.50300000000004</v>
      </c>
      <c r="H745" s="505" t="s">
        <v>315</v>
      </c>
      <c r="I745" s="505" t="s">
        <v>4288</v>
      </c>
      <c r="J745" s="505" t="s">
        <v>96</v>
      </c>
      <c r="K745" s="505" t="s">
        <v>2102</v>
      </c>
      <c r="L745" s="505" t="s">
        <v>153</v>
      </c>
      <c r="M745" s="371"/>
      <c r="N745" s="371"/>
      <c r="O745" s="371"/>
    </row>
    <row r="746" spans="1:15" s="325" customFormat="1" ht="15">
      <c r="A746" s="515">
        <v>45991</v>
      </c>
      <c r="B746" s="505" t="s">
        <v>4749</v>
      </c>
      <c r="C746" s="505" t="s">
        <v>172</v>
      </c>
      <c r="D746" s="510" t="s">
        <v>119</v>
      </c>
      <c r="E746" s="505">
        <v>3000</v>
      </c>
      <c r="F746" s="502">
        <f t="shared" si="12"/>
        <v>5.6232111159637332</v>
      </c>
      <c r="G746" s="503">
        <v>533.50300000000004</v>
      </c>
      <c r="H746" s="505" t="s">
        <v>315</v>
      </c>
      <c r="I746" s="505" t="s">
        <v>4306</v>
      </c>
      <c r="J746" s="505" t="s">
        <v>96</v>
      </c>
      <c r="K746" s="505" t="s">
        <v>2102</v>
      </c>
      <c r="L746" s="505" t="s">
        <v>153</v>
      </c>
      <c r="M746" s="449"/>
      <c r="N746" s="449"/>
      <c r="O746" s="449"/>
    </row>
    <row r="747" spans="1:15" s="325" customFormat="1" ht="15">
      <c r="A747" s="515">
        <v>45991</v>
      </c>
      <c r="B747" s="505" t="s">
        <v>4888</v>
      </c>
      <c r="C747" s="505" t="s">
        <v>172</v>
      </c>
      <c r="D747" s="510" t="s">
        <v>119</v>
      </c>
      <c r="E747" s="505">
        <v>500</v>
      </c>
      <c r="F747" s="502">
        <f t="shared" ref="F747:F759" si="13">E747/G747</f>
        <v>0.93720185266062228</v>
      </c>
      <c r="G747" s="503">
        <v>533.50300000000004</v>
      </c>
      <c r="H747" s="505" t="s">
        <v>315</v>
      </c>
      <c r="I747" s="505" t="s">
        <v>4288</v>
      </c>
      <c r="J747" s="505" t="s">
        <v>96</v>
      </c>
      <c r="K747" s="505" t="s">
        <v>2102</v>
      </c>
      <c r="L747" s="505" t="s">
        <v>153</v>
      </c>
      <c r="M747" s="449"/>
      <c r="N747" s="449"/>
      <c r="O747" s="449"/>
    </row>
    <row r="748" spans="1:15" s="325" customFormat="1" ht="15">
      <c r="A748" s="515">
        <v>45991</v>
      </c>
      <c r="B748" s="505" t="s">
        <v>4888</v>
      </c>
      <c r="C748" s="505" t="s">
        <v>172</v>
      </c>
      <c r="D748" s="510" t="s">
        <v>119</v>
      </c>
      <c r="E748" s="505">
        <v>500</v>
      </c>
      <c r="F748" s="502">
        <f t="shared" si="13"/>
        <v>0.93720185266062228</v>
      </c>
      <c r="G748" s="503">
        <v>533.50300000000004</v>
      </c>
      <c r="H748" s="505" t="s">
        <v>315</v>
      </c>
      <c r="I748" s="505" t="s">
        <v>4288</v>
      </c>
      <c r="J748" s="505" t="s">
        <v>96</v>
      </c>
      <c r="K748" s="505" t="s">
        <v>2102</v>
      </c>
      <c r="L748" s="505" t="s">
        <v>153</v>
      </c>
      <c r="M748" s="449"/>
      <c r="N748" s="449"/>
      <c r="O748" s="449"/>
    </row>
    <row r="749" spans="1:15" s="325" customFormat="1" ht="15">
      <c r="A749" s="515">
        <v>45991</v>
      </c>
      <c r="B749" s="505" t="s">
        <v>2513</v>
      </c>
      <c r="C749" s="505" t="s">
        <v>363</v>
      </c>
      <c r="D749" s="510" t="s">
        <v>119</v>
      </c>
      <c r="E749" s="505">
        <v>1700</v>
      </c>
      <c r="F749" s="502">
        <f t="shared" si="13"/>
        <v>3.1282317394072554</v>
      </c>
      <c r="G749" s="503">
        <v>543.43799999999999</v>
      </c>
      <c r="H749" s="505" t="s">
        <v>315</v>
      </c>
      <c r="I749" s="505" t="s">
        <v>4291</v>
      </c>
      <c r="J749" s="505" t="s">
        <v>96</v>
      </c>
      <c r="K749" s="505" t="s">
        <v>4104</v>
      </c>
      <c r="L749" s="505" t="s">
        <v>153</v>
      </c>
      <c r="M749" s="449"/>
      <c r="N749" s="449"/>
      <c r="O749" s="449"/>
    </row>
    <row r="750" spans="1:15" s="325" customFormat="1" ht="15">
      <c r="A750" s="515">
        <v>45991</v>
      </c>
      <c r="B750" s="505" t="s">
        <v>4888</v>
      </c>
      <c r="C750" s="505" t="s">
        <v>172</v>
      </c>
      <c r="D750" s="510" t="s">
        <v>119</v>
      </c>
      <c r="E750" s="505">
        <v>500</v>
      </c>
      <c r="F750" s="502">
        <f t="shared" si="13"/>
        <v>0.93720185266062228</v>
      </c>
      <c r="G750" s="503">
        <v>533.50300000000004</v>
      </c>
      <c r="H750" s="505" t="s">
        <v>315</v>
      </c>
      <c r="I750" s="505" t="s">
        <v>4288</v>
      </c>
      <c r="J750" s="505" t="s">
        <v>96</v>
      </c>
      <c r="K750" s="505" t="s">
        <v>2102</v>
      </c>
      <c r="L750" s="505" t="s">
        <v>153</v>
      </c>
      <c r="M750" s="449"/>
      <c r="N750" s="371"/>
      <c r="O750" s="371"/>
    </row>
    <row r="751" spans="1:15" s="325" customFormat="1" ht="15">
      <c r="A751" s="515">
        <v>45991</v>
      </c>
      <c r="B751" s="505" t="s">
        <v>4888</v>
      </c>
      <c r="C751" s="505" t="s">
        <v>172</v>
      </c>
      <c r="D751" s="510" t="s">
        <v>119</v>
      </c>
      <c r="E751" s="505">
        <v>500</v>
      </c>
      <c r="F751" s="502">
        <f t="shared" si="13"/>
        <v>0.93720185266062228</v>
      </c>
      <c r="G751" s="503">
        <v>533.50300000000004</v>
      </c>
      <c r="H751" s="505" t="s">
        <v>315</v>
      </c>
      <c r="I751" s="505" t="s">
        <v>4288</v>
      </c>
      <c r="J751" s="505" t="s">
        <v>96</v>
      </c>
      <c r="K751" s="505" t="s">
        <v>2102</v>
      </c>
      <c r="L751" s="505" t="s">
        <v>153</v>
      </c>
      <c r="M751" s="449"/>
      <c r="N751" s="371"/>
      <c r="O751" s="371"/>
    </row>
    <row r="752" spans="1:15" s="325" customFormat="1" ht="15">
      <c r="A752" s="515">
        <v>45991</v>
      </c>
      <c r="B752" s="505" t="s">
        <v>4751</v>
      </c>
      <c r="C752" s="505" t="s">
        <v>2394</v>
      </c>
      <c r="D752" s="510" t="s">
        <v>119</v>
      </c>
      <c r="E752" s="530">
        <v>30000</v>
      </c>
      <c r="F752" s="502">
        <f t="shared" si="13"/>
        <v>56.232111159637334</v>
      </c>
      <c r="G752" s="503">
        <v>533.50300000000004</v>
      </c>
      <c r="H752" s="505" t="s">
        <v>321</v>
      </c>
      <c r="I752" s="505" t="s">
        <v>4331</v>
      </c>
      <c r="J752" s="505" t="s">
        <v>96</v>
      </c>
      <c r="K752" s="505" t="s">
        <v>2102</v>
      </c>
      <c r="L752" s="505" t="s">
        <v>153</v>
      </c>
      <c r="M752" s="449"/>
      <c r="N752" s="449"/>
      <c r="O752" s="449"/>
    </row>
    <row r="753" spans="1:15" s="325" customFormat="1" ht="15">
      <c r="A753" s="515">
        <v>45991</v>
      </c>
      <c r="B753" s="505" t="s">
        <v>4752</v>
      </c>
      <c r="C753" s="505" t="s">
        <v>172</v>
      </c>
      <c r="D753" s="510" t="s">
        <v>119</v>
      </c>
      <c r="E753" s="530">
        <v>2000</v>
      </c>
      <c r="F753" s="502">
        <f t="shared" si="13"/>
        <v>3.7488074106424891</v>
      </c>
      <c r="G753" s="503">
        <v>533.50300000000004</v>
      </c>
      <c r="H753" s="505" t="s">
        <v>321</v>
      </c>
      <c r="I753" s="505" t="s">
        <v>4332</v>
      </c>
      <c r="J753" s="505" t="s">
        <v>96</v>
      </c>
      <c r="K753" s="505" t="s">
        <v>2102</v>
      </c>
      <c r="L753" s="505" t="s">
        <v>153</v>
      </c>
      <c r="M753" s="449"/>
      <c r="N753" s="449"/>
      <c r="O753" s="449"/>
    </row>
    <row r="754" spans="1:15" s="325" customFormat="1" ht="15">
      <c r="A754" s="515">
        <v>45991</v>
      </c>
      <c r="B754" s="505" t="s">
        <v>4967</v>
      </c>
      <c r="C754" s="505" t="s">
        <v>172</v>
      </c>
      <c r="D754" s="510" t="s">
        <v>119</v>
      </c>
      <c r="E754" s="530">
        <v>500</v>
      </c>
      <c r="F754" s="502">
        <f t="shared" si="13"/>
        <v>0.93720185266062228</v>
      </c>
      <c r="G754" s="503">
        <v>533.50300000000004</v>
      </c>
      <c r="H754" s="505" t="s">
        <v>321</v>
      </c>
      <c r="I754" s="505" t="s">
        <v>4314</v>
      </c>
      <c r="J754" s="505" t="s">
        <v>96</v>
      </c>
      <c r="K754" s="505" t="s">
        <v>2102</v>
      </c>
      <c r="L754" s="505" t="s">
        <v>153</v>
      </c>
      <c r="M754" s="449"/>
      <c r="N754" s="449"/>
      <c r="O754" s="449"/>
    </row>
    <row r="755" spans="1:15" s="325" customFormat="1" ht="15">
      <c r="A755" s="515">
        <v>45991</v>
      </c>
      <c r="B755" s="505" t="s">
        <v>4967</v>
      </c>
      <c r="C755" s="505" t="s">
        <v>172</v>
      </c>
      <c r="D755" s="510" t="s">
        <v>119</v>
      </c>
      <c r="E755" s="530">
        <v>1000</v>
      </c>
      <c r="F755" s="502">
        <f t="shared" si="13"/>
        <v>1.8744037053212446</v>
      </c>
      <c r="G755" s="503">
        <v>533.50300000000004</v>
      </c>
      <c r="H755" s="505" t="s">
        <v>321</v>
      </c>
      <c r="I755" s="505" t="s">
        <v>4314</v>
      </c>
      <c r="J755" s="505" t="s">
        <v>96</v>
      </c>
      <c r="K755" s="505" t="s">
        <v>2102</v>
      </c>
      <c r="L755" s="505" t="s">
        <v>153</v>
      </c>
      <c r="M755" s="327"/>
      <c r="N755" s="125"/>
      <c r="O755" s="125"/>
    </row>
    <row r="756" spans="1:15" s="325" customFormat="1" ht="15">
      <c r="A756" s="515">
        <v>45991</v>
      </c>
      <c r="B756" s="505" t="s">
        <v>4967</v>
      </c>
      <c r="C756" s="545" t="s">
        <v>172</v>
      </c>
      <c r="D756" s="510" t="s">
        <v>119</v>
      </c>
      <c r="E756" s="530">
        <v>500</v>
      </c>
      <c r="F756" s="502">
        <f t="shared" si="13"/>
        <v>0.93720185266062228</v>
      </c>
      <c r="G756" s="503">
        <v>533.50300000000004</v>
      </c>
      <c r="H756" s="505" t="s">
        <v>321</v>
      </c>
      <c r="I756" s="505" t="s">
        <v>4314</v>
      </c>
      <c r="J756" s="505" t="s">
        <v>96</v>
      </c>
      <c r="K756" s="505" t="s">
        <v>2102</v>
      </c>
      <c r="L756" s="505" t="s">
        <v>153</v>
      </c>
      <c r="M756" s="449"/>
      <c r="N756" s="371"/>
      <c r="O756" s="371"/>
    </row>
    <row r="757" spans="1:15" s="325" customFormat="1" ht="15">
      <c r="A757" s="515">
        <v>45991</v>
      </c>
      <c r="B757" s="505" t="s">
        <v>4310</v>
      </c>
      <c r="C757" s="505" t="s">
        <v>366</v>
      </c>
      <c r="D757" s="510" t="s">
        <v>119</v>
      </c>
      <c r="E757" s="530">
        <v>1500</v>
      </c>
      <c r="F757" s="502">
        <f t="shared" si="13"/>
        <v>2.7602044759475781</v>
      </c>
      <c r="G757" s="503">
        <v>543.43799999999999</v>
      </c>
      <c r="H757" s="505" t="s">
        <v>321</v>
      </c>
      <c r="I757" s="505" t="s">
        <v>4321</v>
      </c>
      <c r="J757" s="505" t="s">
        <v>96</v>
      </c>
      <c r="K757" s="505" t="s">
        <v>4104</v>
      </c>
      <c r="L757" s="505" t="s">
        <v>153</v>
      </c>
      <c r="M757" s="449"/>
      <c r="N757" s="371"/>
      <c r="O757" s="371"/>
    </row>
    <row r="758" spans="1:15" s="325" customFormat="1" ht="15">
      <c r="A758" s="515">
        <v>45991</v>
      </c>
      <c r="B758" s="505" t="s">
        <v>4945</v>
      </c>
      <c r="C758" s="545" t="s">
        <v>172</v>
      </c>
      <c r="D758" s="510" t="s">
        <v>119</v>
      </c>
      <c r="E758" s="530">
        <v>500</v>
      </c>
      <c r="F758" s="502">
        <f t="shared" si="13"/>
        <v>0.93720185266062228</v>
      </c>
      <c r="G758" s="503">
        <v>533.50300000000004</v>
      </c>
      <c r="H758" s="505" t="s">
        <v>321</v>
      </c>
      <c r="I758" s="505" t="s">
        <v>4314</v>
      </c>
      <c r="J758" s="505" t="s">
        <v>96</v>
      </c>
      <c r="K758" s="505" t="s">
        <v>2102</v>
      </c>
      <c r="L758" s="505" t="s">
        <v>153</v>
      </c>
      <c r="M758" s="449"/>
      <c r="N758" s="371"/>
      <c r="O758" s="371"/>
    </row>
    <row r="759" spans="1:15" s="325" customFormat="1" ht="15">
      <c r="A759" s="529">
        <v>45991</v>
      </c>
      <c r="B759" s="505" t="s">
        <v>4442</v>
      </c>
      <c r="C759" s="545" t="s">
        <v>175</v>
      </c>
      <c r="D759" s="505" t="s">
        <v>115</v>
      </c>
      <c r="E759" s="530">
        <v>15000</v>
      </c>
      <c r="F759" s="502">
        <f t="shared" si="13"/>
        <v>28.116055579818667</v>
      </c>
      <c r="G759" s="503">
        <v>533.50300000000004</v>
      </c>
      <c r="H759" s="298" t="s">
        <v>435</v>
      </c>
      <c r="I759" s="505" t="s">
        <v>4459</v>
      </c>
      <c r="J759" s="505" t="s">
        <v>96</v>
      </c>
      <c r="K759" s="505" t="s">
        <v>2102</v>
      </c>
      <c r="L759" s="505" t="s">
        <v>153</v>
      </c>
      <c r="M759" s="449"/>
      <c r="N759" s="371"/>
      <c r="O759" s="371"/>
    </row>
    <row r="760" spans="1:15" s="325" customFormat="1" ht="15">
      <c r="A760" s="529">
        <v>45991</v>
      </c>
      <c r="B760" s="505" t="s">
        <v>4443</v>
      </c>
      <c r="C760" s="551" t="s">
        <v>194</v>
      </c>
      <c r="D760" s="551" t="s">
        <v>115</v>
      </c>
      <c r="E760" s="530">
        <v>500</v>
      </c>
      <c r="F760" s="502">
        <f t="shared" ref="F760:F761" si="14">E760/G760</f>
        <v>0.93720185266062228</v>
      </c>
      <c r="G760" s="503">
        <v>533.50300000000004</v>
      </c>
      <c r="H760" s="298" t="s">
        <v>435</v>
      </c>
      <c r="I760" s="505" t="s">
        <v>4451</v>
      </c>
      <c r="J760" s="505" t="s">
        <v>96</v>
      </c>
      <c r="K760" s="505" t="s">
        <v>2102</v>
      </c>
      <c r="L760" s="505" t="s">
        <v>153</v>
      </c>
      <c r="M760" s="449"/>
      <c r="N760" s="371"/>
      <c r="O760" s="371"/>
    </row>
    <row r="761" spans="1:15" s="325" customFormat="1" ht="15">
      <c r="A761" s="529">
        <v>45991</v>
      </c>
      <c r="B761" s="505" t="s">
        <v>3091</v>
      </c>
      <c r="C761" s="551" t="s">
        <v>194</v>
      </c>
      <c r="D761" s="298" t="s">
        <v>115</v>
      </c>
      <c r="E761" s="530">
        <v>3000</v>
      </c>
      <c r="F761" s="502">
        <f t="shared" si="14"/>
        <v>5.6232111159637332</v>
      </c>
      <c r="G761" s="503">
        <v>533.50300000000004</v>
      </c>
      <c r="H761" s="298" t="s">
        <v>435</v>
      </c>
      <c r="I761" s="505" t="s">
        <v>4451</v>
      </c>
      <c r="J761" s="505" t="s">
        <v>96</v>
      </c>
      <c r="K761" s="505" t="s">
        <v>2102</v>
      </c>
      <c r="L761" s="505" t="s">
        <v>153</v>
      </c>
      <c r="M761" s="449"/>
      <c r="N761" s="449"/>
      <c r="O761" s="449"/>
    </row>
    <row r="762" spans="1:15" s="325" customFormat="1">
      <c r="A762" s="639"/>
      <c r="E762" s="475"/>
      <c r="F762" s="475"/>
    </row>
    <row r="763" spans="1:15" s="325" customFormat="1">
      <c r="A763" s="639"/>
      <c r="E763" s="475"/>
      <c r="F763" s="475"/>
    </row>
    <row r="764" spans="1:15" s="325" customFormat="1">
      <c r="A764" s="639"/>
      <c r="E764" s="475"/>
      <c r="F764" s="475"/>
    </row>
    <row r="765" spans="1:15" s="325" customFormat="1">
      <c r="A765" s="639"/>
      <c r="E765" s="475"/>
      <c r="F765" s="475"/>
    </row>
    <row r="766" spans="1:15" s="325" customFormat="1">
      <c r="A766" s="639"/>
      <c r="E766" s="475"/>
      <c r="F766" s="475"/>
    </row>
    <row r="767" spans="1:15" s="325" customFormat="1">
      <c r="A767" s="639"/>
      <c r="E767" s="475"/>
      <c r="F767" s="475"/>
    </row>
    <row r="768" spans="1:15" s="325" customFormat="1">
      <c r="A768" s="639"/>
      <c r="E768" s="475"/>
      <c r="F768" s="475"/>
    </row>
    <row r="769" spans="1:6" s="325" customFormat="1">
      <c r="A769" s="639"/>
      <c r="E769" s="475"/>
      <c r="F769" s="475"/>
    </row>
    <row r="770" spans="1:6" s="325" customFormat="1">
      <c r="A770" s="639"/>
      <c r="E770" s="475"/>
      <c r="F770" s="475"/>
    </row>
    <row r="771" spans="1:6" s="325" customFormat="1">
      <c r="A771" s="639"/>
      <c r="E771" s="475"/>
      <c r="F771" s="475"/>
    </row>
    <row r="772" spans="1:6" s="325" customFormat="1">
      <c r="A772" s="639"/>
      <c r="E772" s="475"/>
      <c r="F772" s="475"/>
    </row>
    <row r="773" spans="1:6" s="325" customFormat="1">
      <c r="A773" s="639"/>
      <c r="E773" s="475"/>
      <c r="F773" s="475"/>
    </row>
    <row r="774" spans="1:6" s="325" customFormat="1">
      <c r="A774" s="639"/>
      <c r="E774" s="475"/>
      <c r="F774" s="475"/>
    </row>
    <row r="775" spans="1:6" s="325" customFormat="1">
      <c r="A775" s="639"/>
      <c r="E775" s="475"/>
      <c r="F775" s="475"/>
    </row>
    <row r="776" spans="1:6" s="325" customFormat="1">
      <c r="A776" s="639"/>
      <c r="E776" s="475"/>
      <c r="F776" s="475"/>
    </row>
    <row r="777" spans="1:6" s="325" customFormat="1">
      <c r="A777" s="639"/>
      <c r="E777" s="475"/>
      <c r="F777" s="475"/>
    </row>
    <row r="778" spans="1:6" s="325" customFormat="1">
      <c r="A778" s="639"/>
      <c r="E778" s="475"/>
      <c r="F778" s="475"/>
    </row>
    <row r="779" spans="1:6" s="325" customFormat="1">
      <c r="A779" s="639"/>
      <c r="E779" s="475"/>
      <c r="F779" s="475"/>
    </row>
    <row r="780" spans="1:6" s="325" customFormat="1">
      <c r="A780" s="639"/>
      <c r="E780" s="475"/>
      <c r="F780" s="475"/>
    </row>
    <row r="781" spans="1:6" s="325" customFormat="1">
      <c r="A781" s="639"/>
      <c r="E781" s="475"/>
      <c r="F781" s="475"/>
    </row>
    <row r="782" spans="1:6" s="325" customFormat="1">
      <c r="A782" s="639"/>
      <c r="E782" s="475"/>
      <c r="F782" s="475"/>
    </row>
    <row r="783" spans="1:6" s="325" customFormat="1">
      <c r="A783" s="639"/>
      <c r="E783" s="475"/>
      <c r="F783" s="475"/>
    </row>
    <row r="784" spans="1:6" s="325" customFormat="1">
      <c r="A784" s="639"/>
      <c r="E784" s="475"/>
      <c r="F784" s="475"/>
    </row>
    <row r="785" spans="1:8" s="325" customFormat="1">
      <c r="A785" s="639"/>
      <c r="E785" s="475"/>
      <c r="F785" s="475"/>
    </row>
    <row r="786" spans="1:8" s="325" customFormat="1">
      <c r="A786" s="639"/>
      <c r="E786" s="475"/>
      <c r="F786" s="475"/>
    </row>
    <row r="787" spans="1:8" s="325" customFormat="1">
      <c r="A787" s="639"/>
      <c r="E787" s="475"/>
      <c r="F787" s="475"/>
    </row>
    <row r="788" spans="1:8" s="325" customFormat="1">
      <c r="A788" s="639"/>
      <c r="E788" s="475"/>
      <c r="F788" s="475"/>
    </row>
    <row r="789" spans="1:8" s="325" customFormat="1">
      <c r="A789" s="639"/>
      <c r="E789" s="475"/>
      <c r="F789" s="475"/>
    </row>
    <row r="790" spans="1:8" s="325" customFormat="1">
      <c r="A790" s="639"/>
      <c r="E790" s="475"/>
      <c r="F790" s="475"/>
    </row>
    <row r="791" spans="1:8" s="325" customFormat="1">
      <c r="A791" s="639"/>
      <c r="E791" s="475"/>
      <c r="F791" s="475"/>
    </row>
    <row r="792" spans="1:8">
      <c r="E792" s="475"/>
      <c r="F792" s="475"/>
      <c r="G792" s="325"/>
      <c r="H792" s="325"/>
    </row>
    <row r="793" spans="1:8">
      <c r="E793" s="475"/>
      <c r="F793" s="475"/>
      <c r="G793" s="325"/>
      <c r="H793" s="325"/>
    </row>
    <row r="794" spans="1:8">
      <c r="E794" s="475"/>
      <c r="F794" s="475"/>
      <c r="G794" s="325"/>
      <c r="H794" s="325"/>
    </row>
    <row r="795" spans="1:8">
      <c r="E795" s="475"/>
      <c r="F795" s="475"/>
      <c r="G795" s="325"/>
      <c r="H795" s="325"/>
    </row>
    <row r="796" spans="1:8">
      <c r="E796" s="475"/>
      <c r="F796" s="475"/>
      <c r="G796" s="325"/>
      <c r="H796" s="325"/>
    </row>
    <row r="797" spans="1:8">
      <c r="E797" s="475"/>
      <c r="F797" s="475"/>
      <c r="G797" s="325"/>
      <c r="H797" s="325"/>
    </row>
    <row r="798" spans="1:8">
      <c r="E798" s="475"/>
      <c r="F798" s="475"/>
      <c r="G798" s="325"/>
      <c r="H798" s="325"/>
    </row>
    <row r="799" spans="1:8">
      <c r="E799" s="475"/>
      <c r="F799" s="475"/>
      <c r="G799" s="325"/>
      <c r="H799" s="325"/>
    </row>
    <row r="800" spans="1:8">
      <c r="E800" s="475"/>
      <c r="F800" s="475"/>
      <c r="G800" s="325"/>
      <c r="H800" s="325"/>
    </row>
    <row r="801" spans="5:8">
      <c r="E801" s="475"/>
      <c r="F801" s="475"/>
      <c r="G801" s="325"/>
      <c r="H801" s="325"/>
    </row>
    <row r="802" spans="5:8">
      <c r="E802" s="475"/>
      <c r="F802" s="475"/>
      <c r="G802" s="325"/>
      <c r="H802" s="325"/>
    </row>
    <row r="803" spans="5:8">
      <c r="E803" s="475"/>
      <c r="F803" s="475"/>
      <c r="G803" s="325"/>
      <c r="H803" s="325"/>
    </row>
    <row r="804" spans="5:8">
      <c r="E804" s="475"/>
      <c r="F804" s="475"/>
      <c r="G804" s="325"/>
      <c r="H804" s="325"/>
    </row>
    <row r="805" spans="5:8">
      <c r="E805" s="475"/>
      <c r="F805" s="475"/>
      <c r="G805" s="325"/>
      <c r="H805" s="325"/>
    </row>
    <row r="806" spans="5:8">
      <c r="E806" s="475"/>
      <c r="F806" s="475"/>
      <c r="G806" s="325"/>
      <c r="H806" s="325"/>
    </row>
    <row r="807" spans="5:8">
      <c r="E807" s="475"/>
      <c r="F807" s="475"/>
      <c r="G807" s="325"/>
      <c r="H807" s="325"/>
    </row>
    <row r="808" spans="5:8">
      <c r="E808" s="475"/>
      <c r="F808" s="475"/>
      <c r="G808" s="325"/>
      <c r="H808" s="325"/>
    </row>
    <row r="809" spans="5:8">
      <c r="E809" s="475"/>
      <c r="F809" s="475"/>
      <c r="G809" s="325"/>
      <c r="H809" s="325"/>
    </row>
    <row r="810" spans="5:8">
      <c r="E810" s="475"/>
      <c r="F810" s="475"/>
      <c r="G810" s="325"/>
      <c r="H810" s="325"/>
    </row>
    <row r="811" spans="5:8">
      <c r="E811" s="475"/>
      <c r="F811" s="475"/>
      <c r="G811" s="325"/>
      <c r="H811" s="325"/>
    </row>
    <row r="812" spans="5:8">
      <c r="E812" s="475"/>
      <c r="F812" s="475"/>
      <c r="G812" s="325"/>
      <c r="H812" s="325"/>
    </row>
    <row r="813" spans="5:8">
      <c r="E813" s="475"/>
      <c r="F813" s="475"/>
      <c r="G813" s="325"/>
      <c r="H813" s="325"/>
    </row>
    <row r="814" spans="5:8">
      <c r="E814" s="475"/>
      <c r="F814" s="475"/>
      <c r="G814" s="325"/>
      <c r="H814" s="325"/>
    </row>
    <row r="815" spans="5:8">
      <c r="E815" s="475"/>
      <c r="F815" s="475"/>
      <c r="G815" s="325"/>
      <c r="H815" s="325"/>
    </row>
    <row r="816" spans="5:8">
      <c r="E816" s="475"/>
      <c r="F816" s="475"/>
      <c r="G816" s="325"/>
      <c r="H816" s="325"/>
    </row>
    <row r="817" spans="5:8">
      <c r="E817" s="475"/>
      <c r="F817" s="475"/>
      <c r="G817" s="325"/>
      <c r="H817" s="325"/>
    </row>
    <row r="818" spans="5:8">
      <c r="E818" s="475"/>
      <c r="F818" s="475"/>
      <c r="G818" s="325"/>
      <c r="H818" s="325"/>
    </row>
    <row r="819" spans="5:8">
      <c r="E819" s="475"/>
      <c r="F819" s="475"/>
      <c r="G819" s="325"/>
      <c r="H819" s="325"/>
    </row>
    <row r="820" spans="5:8">
      <c r="E820" s="475"/>
      <c r="F820" s="475"/>
      <c r="G820" s="325"/>
      <c r="H820" s="325"/>
    </row>
    <row r="821" spans="5:8">
      <c r="E821" s="475"/>
      <c r="F821" s="475"/>
      <c r="G821" s="325"/>
      <c r="H821" s="325"/>
    </row>
    <row r="822" spans="5:8">
      <c r="E822" s="475"/>
      <c r="F822" s="475"/>
      <c r="G822" s="325"/>
      <c r="H822" s="325"/>
    </row>
    <row r="823" spans="5:8">
      <c r="E823" s="475"/>
      <c r="F823" s="475"/>
      <c r="G823" s="325"/>
      <c r="H823" s="325"/>
    </row>
    <row r="824" spans="5:8">
      <c r="E824" s="475"/>
      <c r="F824" s="475"/>
      <c r="G824" s="325"/>
      <c r="H824" s="325"/>
    </row>
    <row r="825" spans="5:8">
      <c r="E825" s="475"/>
      <c r="F825" s="475"/>
      <c r="G825" s="325"/>
      <c r="H825" s="325"/>
    </row>
    <row r="826" spans="5:8">
      <c r="E826" s="475"/>
      <c r="F826" s="475"/>
      <c r="G826" s="325"/>
      <c r="H826" s="325"/>
    </row>
    <row r="827" spans="5:8">
      <c r="E827" s="475"/>
      <c r="F827" s="475"/>
      <c r="G827" s="325"/>
      <c r="H827" s="325"/>
    </row>
    <row r="828" spans="5:8">
      <c r="E828" s="475"/>
      <c r="F828" s="475"/>
      <c r="G828" s="325"/>
      <c r="H828" s="325"/>
    </row>
    <row r="829" spans="5:8">
      <c r="E829" s="475"/>
      <c r="F829" s="475"/>
      <c r="G829" s="325"/>
      <c r="H829" s="325"/>
    </row>
    <row r="830" spans="5:8">
      <c r="E830" s="475"/>
      <c r="F830" s="475"/>
      <c r="G830" s="325"/>
      <c r="H830" s="325"/>
    </row>
    <row r="831" spans="5:8">
      <c r="E831" s="475"/>
      <c r="F831" s="475"/>
      <c r="G831" s="325"/>
      <c r="H831" s="325"/>
    </row>
    <row r="832" spans="5:8">
      <c r="E832" s="475"/>
      <c r="F832" s="475"/>
      <c r="G832" s="325"/>
      <c r="H832" s="325"/>
    </row>
    <row r="833" spans="5:8">
      <c r="E833" s="475"/>
      <c r="F833" s="475"/>
      <c r="G833" s="325"/>
      <c r="H833" s="325"/>
    </row>
    <row r="834" spans="5:8">
      <c r="E834" s="475"/>
      <c r="F834" s="475"/>
      <c r="G834" s="325"/>
      <c r="H834" s="325"/>
    </row>
    <row r="835" spans="5:8">
      <c r="E835" s="475"/>
      <c r="F835" s="475"/>
      <c r="G835" s="325"/>
      <c r="H835" s="325"/>
    </row>
    <row r="836" spans="5:8">
      <c r="E836" s="475"/>
      <c r="F836" s="475"/>
      <c r="G836" s="325"/>
      <c r="H836" s="325"/>
    </row>
    <row r="837" spans="5:8">
      <c r="E837" s="475"/>
      <c r="F837" s="475"/>
      <c r="G837" s="325"/>
      <c r="H837" s="325"/>
    </row>
    <row r="838" spans="5:8">
      <c r="E838" s="475"/>
      <c r="F838" s="475"/>
      <c r="G838" s="325"/>
      <c r="H838" s="325"/>
    </row>
    <row r="839" spans="5:8">
      <c r="E839" s="475"/>
      <c r="F839" s="475"/>
      <c r="G839" s="325"/>
      <c r="H839" s="325"/>
    </row>
    <row r="840" spans="5:8">
      <c r="E840" s="475"/>
      <c r="F840" s="475"/>
      <c r="G840" s="325"/>
      <c r="H840" s="325"/>
    </row>
    <row r="841" spans="5:8">
      <c r="E841" s="475"/>
      <c r="F841" s="475"/>
      <c r="G841" s="325"/>
      <c r="H841" s="325"/>
    </row>
    <row r="842" spans="5:8">
      <c r="E842" s="475"/>
      <c r="F842" s="475"/>
      <c r="G842" s="325"/>
      <c r="H842" s="325"/>
    </row>
    <row r="843" spans="5:8">
      <c r="E843" s="475"/>
      <c r="F843" s="475"/>
      <c r="G843" s="325"/>
      <c r="H843" s="325"/>
    </row>
    <row r="844" spans="5:8">
      <c r="E844" s="475"/>
      <c r="F844" s="475"/>
      <c r="G844" s="325"/>
      <c r="H844" s="325"/>
    </row>
    <row r="845" spans="5:8">
      <c r="E845" s="475"/>
      <c r="F845" s="475"/>
      <c r="G845" s="325"/>
      <c r="H845" s="325"/>
    </row>
    <row r="846" spans="5:8">
      <c r="E846" s="475"/>
      <c r="F846" s="475"/>
      <c r="G846" s="325"/>
      <c r="H846" s="325"/>
    </row>
    <row r="847" spans="5:8">
      <c r="E847" s="475"/>
      <c r="F847" s="475"/>
      <c r="G847" s="325"/>
      <c r="H847" s="325"/>
    </row>
    <row r="848" spans="5:8">
      <c r="E848" s="475"/>
      <c r="F848" s="475"/>
      <c r="G848" s="325"/>
      <c r="H848" s="325"/>
    </row>
    <row r="849" spans="5:8">
      <c r="E849" s="475"/>
      <c r="F849" s="475"/>
      <c r="G849" s="325"/>
      <c r="H849" s="325"/>
    </row>
    <row r="850" spans="5:8">
      <c r="E850" s="475"/>
      <c r="F850" s="475"/>
      <c r="G850" s="325"/>
      <c r="H850" s="325"/>
    </row>
    <row r="851" spans="5:8">
      <c r="E851" s="475"/>
      <c r="F851" s="475"/>
      <c r="G851" s="325"/>
      <c r="H851" s="325"/>
    </row>
    <row r="852" spans="5:8">
      <c r="E852" s="475"/>
      <c r="F852" s="475"/>
      <c r="G852" s="325"/>
      <c r="H852" s="325"/>
    </row>
    <row r="853" spans="5:8">
      <c r="E853" s="475"/>
      <c r="F853" s="475"/>
      <c r="G853" s="325"/>
      <c r="H853" s="325"/>
    </row>
    <row r="854" spans="5:8">
      <c r="E854" s="475"/>
      <c r="F854" s="475"/>
      <c r="G854" s="325"/>
      <c r="H854" s="325"/>
    </row>
    <row r="855" spans="5:8">
      <c r="E855" s="475"/>
      <c r="F855" s="475"/>
      <c r="G855" s="325"/>
      <c r="H855" s="325"/>
    </row>
    <row r="856" spans="5:8">
      <c r="E856" s="475"/>
      <c r="F856" s="475"/>
      <c r="G856" s="325"/>
      <c r="H856" s="325"/>
    </row>
    <row r="857" spans="5:8">
      <c r="E857" s="475"/>
      <c r="F857" s="475"/>
      <c r="G857" s="325"/>
      <c r="H857" s="325"/>
    </row>
    <row r="858" spans="5:8">
      <c r="E858" s="475"/>
      <c r="F858" s="475"/>
      <c r="G858" s="325"/>
      <c r="H858" s="325"/>
    </row>
    <row r="859" spans="5:8">
      <c r="E859" s="475"/>
      <c r="F859" s="475"/>
      <c r="G859" s="325"/>
      <c r="H859" s="325"/>
    </row>
    <row r="860" spans="5:8">
      <c r="E860" s="475"/>
      <c r="F860" s="475"/>
      <c r="G860" s="325"/>
      <c r="H860" s="325"/>
    </row>
    <row r="861" spans="5:8">
      <c r="E861" s="475"/>
      <c r="F861" s="475"/>
      <c r="G861" s="325"/>
      <c r="H861" s="325"/>
    </row>
    <row r="862" spans="5:8">
      <c r="E862" s="475"/>
      <c r="F862" s="475"/>
      <c r="G862" s="325"/>
      <c r="H862" s="325"/>
    </row>
    <row r="863" spans="5:8">
      <c r="E863" s="475"/>
      <c r="F863" s="475"/>
      <c r="G863" s="325"/>
      <c r="H863" s="325"/>
    </row>
    <row r="864" spans="5:8">
      <c r="E864" s="475"/>
      <c r="F864" s="475"/>
      <c r="G864" s="325"/>
      <c r="H864" s="325"/>
    </row>
    <row r="865" spans="5:8">
      <c r="E865" s="475"/>
      <c r="F865" s="475"/>
      <c r="G865" s="325"/>
      <c r="H865" s="325"/>
    </row>
    <row r="866" spans="5:8">
      <c r="E866" s="475"/>
      <c r="F866" s="475"/>
      <c r="G866" s="325"/>
      <c r="H866" s="325"/>
    </row>
    <row r="867" spans="5:8">
      <c r="E867" s="475"/>
      <c r="F867" s="475"/>
      <c r="G867" s="325"/>
      <c r="H867" s="325"/>
    </row>
    <row r="868" spans="5:8">
      <c r="E868" s="475"/>
      <c r="F868" s="475"/>
      <c r="G868" s="325"/>
      <c r="H868" s="325"/>
    </row>
    <row r="869" spans="5:8">
      <c r="E869" s="475"/>
      <c r="F869" s="475"/>
      <c r="G869" s="325"/>
      <c r="H869" s="325"/>
    </row>
    <row r="870" spans="5:8">
      <c r="E870" s="475"/>
      <c r="F870" s="475"/>
      <c r="G870" s="325"/>
      <c r="H870" s="325"/>
    </row>
    <row r="871" spans="5:8">
      <c r="E871" s="475"/>
      <c r="F871" s="475"/>
      <c r="G871" s="325"/>
      <c r="H871" s="325"/>
    </row>
    <row r="872" spans="5:8">
      <c r="E872" s="475"/>
      <c r="F872" s="475"/>
      <c r="G872" s="325"/>
      <c r="H872" s="325"/>
    </row>
    <row r="873" spans="5:8">
      <c r="E873" s="475"/>
      <c r="F873" s="475"/>
      <c r="G873" s="325"/>
      <c r="H873" s="325"/>
    </row>
    <row r="874" spans="5:8">
      <c r="E874" s="475"/>
      <c r="F874" s="475"/>
      <c r="G874" s="325"/>
      <c r="H874" s="325"/>
    </row>
    <row r="875" spans="5:8">
      <c r="E875" s="475"/>
      <c r="F875" s="475"/>
      <c r="G875" s="325"/>
      <c r="H875" s="325"/>
    </row>
    <row r="876" spans="5:8">
      <c r="E876" s="475"/>
      <c r="F876" s="475"/>
      <c r="G876" s="325"/>
      <c r="H876" s="325"/>
    </row>
    <row r="877" spans="5:8">
      <c r="E877" s="475"/>
      <c r="F877" s="475"/>
      <c r="G877" s="325"/>
      <c r="H877" s="325"/>
    </row>
    <row r="878" spans="5:8">
      <c r="E878" s="475"/>
      <c r="F878" s="475"/>
      <c r="G878" s="325"/>
      <c r="H878" s="325"/>
    </row>
    <row r="879" spans="5:8">
      <c r="E879" s="475"/>
      <c r="F879" s="475"/>
      <c r="G879" s="325"/>
      <c r="H879" s="325"/>
    </row>
    <row r="880" spans="5:8">
      <c r="E880" s="475"/>
      <c r="F880" s="475"/>
      <c r="G880" s="325"/>
      <c r="H880" s="325"/>
    </row>
    <row r="881" spans="5:8">
      <c r="E881" s="475"/>
      <c r="F881" s="475"/>
      <c r="G881" s="325"/>
      <c r="H881" s="325"/>
    </row>
    <row r="882" spans="5:8">
      <c r="E882" s="475"/>
      <c r="F882" s="475"/>
      <c r="G882" s="325"/>
      <c r="H882" s="325"/>
    </row>
    <row r="883" spans="5:8">
      <c r="E883" s="475"/>
      <c r="F883" s="475"/>
      <c r="G883" s="325"/>
      <c r="H883" s="325"/>
    </row>
    <row r="884" spans="5:8">
      <c r="E884" s="475"/>
      <c r="F884" s="475"/>
      <c r="G884" s="325"/>
      <c r="H884" s="325"/>
    </row>
    <row r="885" spans="5:8">
      <c r="E885" s="475"/>
      <c r="F885" s="475"/>
      <c r="G885" s="325"/>
      <c r="H885" s="325"/>
    </row>
    <row r="886" spans="5:8">
      <c r="E886" s="475"/>
      <c r="F886" s="475"/>
      <c r="G886" s="325"/>
      <c r="H886" s="325"/>
    </row>
    <row r="887" spans="5:8">
      <c r="E887" s="475"/>
      <c r="F887" s="475"/>
      <c r="G887" s="325"/>
      <c r="H887" s="325"/>
    </row>
    <row r="888" spans="5:8">
      <c r="E888" s="475"/>
      <c r="F888" s="475"/>
      <c r="G888" s="325"/>
      <c r="H888" s="325"/>
    </row>
    <row r="889" spans="5:8">
      <c r="E889" s="475"/>
      <c r="F889" s="475"/>
      <c r="G889" s="325"/>
      <c r="H889" s="325"/>
    </row>
    <row r="890" spans="5:8">
      <c r="E890" s="475"/>
      <c r="F890" s="475"/>
      <c r="G890" s="325"/>
      <c r="H890" s="325"/>
    </row>
    <row r="891" spans="5:8">
      <c r="E891" s="475"/>
      <c r="F891" s="475"/>
      <c r="G891" s="325"/>
      <c r="H891" s="325"/>
    </row>
    <row r="892" spans="5:8">
      <c r="E892" s="475"/>
      <c r="F892" s="475"/>
      <c r="G892" s="325"/>
      <c r="H892" s="325"/>
    </row>
    <row r="893" spans="5:8">
      <c r="E893" s="475"/>
      <c r="F893" s="475"/>
      <c r="G893" s="325"/>
      <c r="H893" s="325"/>
    </row>
    <row r="894" spans="5:8">
      <c r="E894" s="475"/>
      <c r="F894" s="475"/>
      <c r="G894" s="325"/>
      <c r="H894" s="325"/>
    </row>
    <row r="895" spans="5:8">
      <c r="E895" s="475"/>
      <c r="F895" s="475"/>
      <c r="G895" s="325"/>
      <c r="H895" s="325"/>
    </row>
    <row r="896" spans="5:8">
      <c r="E896" s="475"/>
      <c r="F896" s="475"/>
      <c r="G896" s="325"/>
      <c r="H896" s="325"/>
    </row>
    <row r="897" spans="5:8">
      <c r="E897" s="475"/>
      <c r="F897" s="475"/>
      <c r="G897" s="325"/>
      <c r="H897" s="325"/>
    </row>
    <row r="898" spans="5:8">
      <c r="E898" s="475"/>
      <c r="F898" s="475"/>
      <c r="G898" s="325"/>
      <c r="H898" s="325"/>
    </row>
    <row r="899" spans="5:8">
      <c r="E899" s="475"/>
      <c r="F899" s="475"/>
      <c r="G899" s="325"/>
      <c r="H899" s="325"/>
    </row>
    <row r="900" spans="5:8">
      <c r="E900" s="475"/>
      <c r="F900" s="475"/>
      <c r="G900" s="325"/>
      <c r="H900" s="325"/>
    </row>
    <row r="901" spans="5:8">
      <c r="E901" s="475"/>
      <c r="F901" s="475"/>
      <c r="G901" s="325"/>
      <c r="H901" s="325"/>
    </row>
    <row r="902" spans="5:8">
      <c r="E902" s="475"/>
      <c r="F902" s="475"/>
      <c r="G902" s="325"/>
      <c r="H902" s="325"/>
    </row>
    <row r="903" spans="5:8">
      <c r="E903" s="475"/>
      <c r="F903" s="475"/>
      <c r="G903" s="325"/>
      <c r="H903" s="325"/>
    </row>
    <row r="904" spans="5:8">
      <c r="E904" s="475"/>
      <c r="F904" s="475"/>
      <c r="G904" s="325"/>
      <c r="H904" s="325"/>
    </row>
    <row r="905" spans="5:8">
      <c r="E905" s="475"/>
      <c r="F905" s="475"/>
      <c r="G905" s="325"/>
      <c r="H905" s="325"/>
    </row>
    <row r="906" spans="5:8">
      <c r="E906" s="475"/>
      <c r="F906" s="475"/>
      <c r="G906" s="325"/>
      <c r="H906" s="325"/>
    </row>
    <row r="907" spans="5:8">
      <c r="E907" s="475"/>
      <c r="F907" s="475"/>
      <c r="G907" s="325"/>
      <c r="H907" s="325"/>
    </row>
    <row r="908" spans="5:8">
      <c r="E908" s="475"/>
      <c r="F908" s="475"/>
      <c r="G908" s="325"/>
      <c r="H908" s="325"/>
    </row>
    <row r="909" spans="5:8">
      <c r="E909" s="475"/>
      <c r="F909" s="475"/>
      <c r="G909" s="325"/>
      <c r="H909" s="325"/>
    </row>
    <row r="910" spans="5:8">
      <c r="E910" s="475"/>
      <c r="F910" s="475"/>
      <c r="G910" s="325"/>
      <c r="H910" s="325"/>
    </row>
    <row r="911" spans="5:8">
      <c r="E911" s="475"/>
      <c r="F911" s="475"/>
      <c r="G911" s="325"/>
      <c r="H911" s="325"/>
    </row>
    <row r="912" spans="5:8">
      <c r="E912" s="475"/>
      <c r="F912" s="475"/>
      <c r="G912" s="325"/>
      <c r="H912" s="325"/>
    </row>
    <row r="913" spans="5:8">
      <c r="E913" s="475"/>
      <c r="F913" s="475"/>
      <c r="G913" s="325"/>
      <c r="H913" s="325"/>
    </row>
    <row r="914" spans="5:8">
      <c r="E914" s="475"/>
      <c r="F914" s="475"/>
      <c r="G914" s="325"/>
      <c r="H914" s="325"/>
    </row>
    <row r="915" spans="5:8">
      <c r="E915" s="475"/>
      <c r="F915" s="475"/>
      <c r="G915" s="325"/>
      <c r="H915" s="325"/>
    </row>
    <row r="916" spans="5:8">
      <c r="E916" s="475"/>
      <c r="F916" s="475"/>
      <c r="G916" s="325"/>
      <c r="H916" s="325"/>
    </row>
    <row r="917" spans="5:8">
      <c r="E917" s="475"/>
      <c r="F917" s="475"/>
      <c r="G917" s="325"/>
      <c r="H917" s="325"/>
    </row>
    <row r="918" spans="5:8">
      <c r="E918" s="475"/>
      <c r="F918" s="475"/>
      <c r="G918" s="325"/>
      <c r="H918" s="325"/>
    </row>
    <row r="919" spans="5:8">
      <c r="E919" s="475"/>
      <c r="F919" s="475"/>
      <c r="G919" s="325"/>
      <c r="H919" s="325"/>
    </row>
    <row r="920" spans="5:8">
      <c r="E920" s="475"/>
      <c r="F920" s="475"/>
      <c r="G920" s="325"/>
      <c r="H920" s="325"/>
    </row>
    <row r="921" spans="5:8">
      <c r="E921" s="475"/>
      <c r="F921" s="475"/>
      <c r="G921" s="325"/>
      <c r="H921" s="325"/>
    </row>
    <row r="922" spans="5:8">
      <c r="E922" s="475"/>
      <c r="F922" s="475"/>
      <c r="G922" s="325"/>
      <c r="H922" s="325"/>
    </row>
    <row r="923" spans="5:8">
      <c r="E923" s="475"/>
      <c r="F923" s="475"/>
      <c r="G923" s="325"/>
      <c r="H923" s="325"/>
    </row>
    <row r="924" spans="5:8">
      <c r="E924" s="475"/>
      <c r="F924" s="475"/>
      <c r="G924" s="325"/>
      <c r="H924" s="325"/>
    </row>
    <row r="925" spans="5:8">
      <c r="E925" s="475"/>
      <c r="F925" s="475"/>
      <c r="G925" s="325"/>
      <c r="H925" s="325"/>
    </row>
    <row r="926" spans="5:8">
      <c r="E926" s="475"/>
      <c r="F926" s="475"/>
      <c r="G926" s="325"/>
      <c r="H926" s="325"/>
    </row>
    <row r="927" spans="5:8">
      <c r="E927" s="475"/>
      <c r="F927" s="475"/>
      <c r="G927" s="325"/>
      <c r="H927" s="325"/>
    </row>
    <row r="928" spans="5:8">
      <c r="E928" s="475"/>
      <c r="F928" s="475"/>
      <c r="G928" s="325"/>
      <c r="H928" s="325"/>
    </row>
    <row r="929" spans="5:8">
      <c r="E929" s="475"/>
      <c r="F929" s="475"/>
      <c r="G929" s="325"/>
      <c r="H929" s="325"/>
    </row>
    <row r="930" spans="5:8">
      <c r="E930" s="475"/>
      <c r="F930" s="475"/>
      <c r="G930" s="325"/>
      <c r="H930" s="325"/>
    </row>
    <row r="931" spans="5:8">
      <c r="E931" s="475"/>
      <c r="F931" s="475"/>
      <c r="G931" s="325"/>
      <c r="H931" s="325"/>
    </row>
    <row r="932" spans="5:8">
      <c r="E932" s="475"/>
      <c r="F932" s="475"/>
      <c r="G932" s="325"/>
      <c r="H932" s="325"/>
    </row>
    <row r="933" spans="5:8">
      <c r="E933" s="475"/>
      <c r="F933" s="475"/>
      <c r="G933" s="325"/>
      <c r="H933" s="325"/>
    </row>
    <row r="934" spans="5:8">
      <c r="E934" s="475"/>
      <c r="F934" s="475"/>
      <c r="G934" s="325"/>
      <c r="H934" s="325"/>
    </row>
    <row r="935" spans="5:8">
      <c r="E935" s="475"/>
      <c r="F935" s="475"/>
      <c r="G935" s="325"/>
      <c r="H935" s="325"/>
    </row>
    <row r="936" spans="5:8">
      <c r="E936" s="475"/>
      <c r="F936" s="475"/>
      <c r="G936" s="325"/>
      <c r="H936" s="325"/>
    </row>
    <row r="937" spans="5:8">
      <c r="E937" s="475"/>
      <c r="F937" s="475"/>
      <c r="G937" s="325"/>
      <c r="H937" s="325"/>
    </row>
    <row r="938" spans="5:8">
      <c r="E938" s="475"/>
      <c r="F938" s="475"/>
      <c r="G938" s="325"/>
      <c r="H938" s="325"/>
    </row>
    <row r="939" spans="5:8">
      <c r="E939" s="475"/>
      <c r="F939" s="475"/>
      <c r="G939" s="325"/>
      <c r="H939" s="325"/>
    </row>
    <row r="940" spans="5:8">
      <c r="E940" s="475"/>
      <c r="F940" s="475"/>
      <c r="G940" s="325"/>
      <c r="H940" s="325"/>
    </row>
    <row r="941" spans="5:8">
      <c r="E941" s="475"/>
      <c r="F941" s="475"/>
      <c r="G941" s="325"/>
      <c r="H941" s="325"/>
    </row>
    <row r="942" spans="5:8">
      <c r="E942" s="475"/>
      <c r="F942" s="475"/>
      <c r="G942" s="325"/>
      <c r="H942" s="325"/>
    </row>
    <row r="943" spans="5:8">
      <c r="E943" s="475"/>
      <c r="F943" s="475"/>
      <c r="G943" s="325"/>
      <c r="H943" s="325"/>
    </row>
    <row r="944" spans="5:8">
      <c r="E944" s="475"/>
      <c r="F944" s="475"/>
      <c r="G944" s="325"/>
      <c r="H944" s="325"/>
    </row>
    <row r="945" spans="5:8">
      <c r="E945" s="475"/>
      <c r="F945" s="475"/>
      <c r="G945" s="325"/>
      <c r="H945" s="325"/>
    </row>
    <row r="946" spans="5:8">
      <c r="E946" s="475"/>
      <c r="F946" s="475"/>
      <c r="G946" s="325"/>
      <c r="H946" s="325"/>
    </row>
    <row r="947" spans="5:8">
      <c r="E947" s="475"/>
      <c r="F947" s="475"/>
      <c r="G947" s="325"/>
      <c r="H947" s="325"/>
    </row>
    <row r="948" spans="5:8">
      <c r="E948" s="475"/>
      <c r="F948" s="475"/>
      <c r="G948" s="325"/>
      <c r="H948" s="325"/>
    </row>
    <row r="949" spans="5:8">
      <c r="E949" s="475"/>
      <c r="F949" s="475"/>
      <c r="G949" s="325"/>
      <c r="H949" s="325"/>
    </row>
    <row r="950" spans="5:8">
      <c r="E950" s="475"/>
      <c r="F950" s="475"/>
      <c r="G950" s="325"/>
      <c r="H950" s="325"/>
    </row>
    <row r="951" spans="5:8">
      <c r="E951" s="475"/>
      <c r="F951" s="475"/>
      <c r="G951" s="325"/>
      <c r="H951" s="325"/>
    </row>
    <row r="952" spans="5:8">
      <c r="E952" s="475"/>
      <c r="F952" s="475"/>
      <c r="G952" s="325"/>
      <c r="H952" s="325"/>
    </row>
    <row r="953" spans="5:8">
      <c r="E953" s="475"/>
      <c r="F953" s="475"/>
      <c r="G953" s="325"/>
      <c r="H953" s="325"/>
    </row>
    <row r="954" spans="5:8">
      <c r="E954" s="475"/>
      <c r="F954" s="475"/>
      <c r="G954" s="325"/>
      <c r="H954" s="325"/>
    </row>
    <row r="955" spans="5:8">
      <c r="E955" s="475"/>
      <c r="F955" s="475"/>
      <c r="G955" s="325"/>
      <c r="H955" s="325"/>
    </row>
    <row r="956" spans="5:8">
      <c r="E956" s="475"/>
      <c r="F956" s="475"/>
      <c r="G956" s="325"/>
      <c r="H956" s="325"/>
    </row>
    <row r="957" spans="5:8">
      <c r="E957" s="475"/>
      <c r="F957" s="475"/>
      <c r="G957" s="325"/>
      <c r="H957" s="325"/>
    </row>
    <row r="958" spans="5:8">
      <c r="E958" s="475"/>
      <c r="F958" s="475"/>
      <c r="G958" s="325"/>
      <c r="H958" s="325"/>
    </row>
    <row r="959" spans="5:8">
      <c r="E959" s="475"/>
      <c r="F959" s="475"/>
      <c r="G959" s="325"/>
      <c r="H959" s="325"/>
    </row>
    <row r="960" spans="5:8">
      <c r="E960" s="475"/>
      <c r="F960" s="475"/>
      <c r="G960" s="325"/>
      <c r="H960" s="325"/>
    </row>
    <row r="961" spans="5:8">
      <c r="E961" s="475"/>
      <c r="F961" s="475"/>
      <c r="G961" s="325"/>
      <c r="H961" s="325"/>
    </row>
    <row r="962" spans="5:8">
      <c r="E962" s="475"/>
      <c r="F962" s="475"/>
      <c r="G962" s="325"/>
      <c r="H962" s="325"/>
    </row>
    <row r="963" spans="5:8">
      <c r="E963" s="475"/>
      <c r="F963" s="475"/>
      <c r="G963" s="325"/>
      <c r="H963" s="325"/>
    </row>
    <row r="964" spans="5:8">
      <c r="E964" s="475"/>
      <c r="F964" s="475"/>
      <c r="G964" s="325"/>
      <c r="H964" s="325"/>
    </row>
    <row r="965" spans="5:8">
      <c r="E965" s="475"/>
      <c r="F965" s="475"/>
      <c r="G965" s="325"/>
      <c r="H965" s="325"/>
    </row>
    <row r="966" spans="5:8">
      <c r="E966" s="475"/>
      <c r="F966" s="475"/>
      <c r="G966" s="325"/>
      <c r="H966" s="325"/>
    </row>
    <row r="967" spans="5:8">
      <c r="E967" s="475"/>
      <c r="F967" s="475"/>
      <c r="G967" s="325"/>
      <c r="H967" s="325"/>
    </row>
    <row r="968" spans="5:8">
      <c r="E968" s="475"/>
      <c r="F968" s="475"/>
      <c r="G968" s="325"/>
      <c r="H968" s="325"/>
    </row>
    <row r="969" spans="5:8">
      <c r="E969" s="475"/>
      <c r="F969" s="475"/>
      <c r="G969" s="325"/>
      <c r="H969" s="325"/>
    </row>
    <row r="970" spans="5:8">
      <c r="E970" s="475"/>
      <c r="F970" s="475"/>
      <c r="G970" s="325"/>
      <c r="H970" s="325"/>
    </row>
    <row r="971" spans="5:8">
      <c r="E971" s="475"/>
      <c r="F971" s="475"/>
      <c r="G971" s="325"/>
      <c r="H971" s="325"/>
    </row>
    <row r="972" spans="5:8">
      <c r="E972" s="475"/>
      <c r="F972" s="475"/>
      <c r="G972" s="325"/>
      <c r="H972" s="325"/>
    </row>
    <row r="973" spans="5:8">
      <c r="E973" s="475"/>
      <c r="F973" s="475"/>
      <c r="G973" s="325"/>
      <c r="H973" s="325"/>
    </row>
    <row r="974" spans="5:8">
      <c r="E974" s="475"/>
      <c r="F974" s="475"/>
      <c r="G974" s="325"/>
      <c r="H974" s="325"/>
    </row>
    <row r="975" spans="5:8">
      <c r="E975" s="475"/>
      <c r="F975" s="475"/>
      <c r="G975" s="325"/>
      <c r="H975" s="325"/>
    </row>
    <row r="976" spans="5:8">
      <c r="E976" s="475"/>
      <c r="F976" s="475"/>
      <c r="G976" s="325"/>
      <c r="H976" s="325"/>
    </row>
    <row r="977" spans="5:8">
      <c r="E977" s="475"/>
      <c r="F977" s="475"/>
      <c r="G977" s="325"/>
      <c r="H977" s="325"/>
    </row>
    <row r="978" spans="5:8">
      <c r="E978" s="475"/>
      <c r="F978" s="475"/>
      <c r="G978" s="325"/>
      <c r="H978" s="325"/>
    </row>
    <row r="979" spans="5:8">
      <c r="E979" s="475"/>
      <c r="F979" s="475"/>
      <c r="G979" s="325"/>
      <c r="H979" s="325"/>
    </row>
    <row r="980" spans="5:8">
      <c r="E980" s="475"/>
      <c r="F980" s="475"/>
      <c r="G980" s="325"/>
      <c r="H980" s="325"/>
    </row>
    <row r="981" spans="5:8">
      <c r="E981" s="475"/>
      <c r="F981" s="475"/>
      <c r="G981" s="325"/>
      <c r="H981" s="325"/>
    </row>
    <row r="982" spans="5:8">
      <c r="E982" s="475"/>
      <c r="F982" s="475"/>
      <c r="G982" s="325"/>
      <c r="H982" s="325"/>
    </row>
    <row r="983" spans="5:8">
      <c r="E983" s="475"/>
      <c r="F983" s="475"/>
      <c r="G983" s="325"/>
      <c r="H983" s="325"/>
    </row>
    <row r="984" spans="5:8">
      <c r="E984" s="475"/>
      <c r="F984" s="475"/>
      <c r="G984" s="325"/>
      <c r="H984" s="325"/>
    </row>
    <row r="985" spans="5:8">
      <c r="E985" s="475"/>
      <c r="F985" s="475"/>
      <c r="G985" s="325"/>
      <c r="H985" s="325"/>
    </row>
    <row r="986" spans="5:8">
      <c r="E986" s="475"/>
      <c r="F986" s="475"/>
      <c r="G986" s="325"/>
      <c r="H986" s="325"/>
    </row>
    <row r="987" spans="5:8">
      <c r="E987" s="475"/>
      <c r="F987" s="475"/>
      <c r="G987" s="325"/>
      <c r="H987" s="325"/>
    </row>
    <row r="988" spans="5:8">
      <c r="E988" s="475"/>
      <c r="F988" s="475"/>
      <c r="G988" s="325"/>
      <c r="H988" s="325"/>
    </row>
    <row r="989" spans="5:8">
      <c r="E989" s="475"/>
      <c r="F989" s="475"/>
      <c r="G989" s="325"/>
      <c r="H989" s="325"/>
    </row>
    <row r="990" spans="5:8">
      <c r="E990" s="475"/>
      <c r="F990" s="475"/>
      <c r="G990" s="325"/>
      <c r="H990" s="325"/>
    </row>
    <row r="991" spans="5:8">
      <c r="E991" s="475"/>
      <c r="F991" s="475"/>
      <c r="G991" s="325"/>
      <c r="H991" s="325"/>
    </row>
    <row r="992" spans="5:8">
      <c r="E992" s="475"/>
      <c r="F992" s="475"/>
      <c r="G992" s="325"/>
      <c r="H992" s="325"/>
    </row>
    <row r="993" spans="5:8">
      <c r="E993" s="475"/>
      <c r="F993" s="475"/>
      <c r="G993" s="325"/>
      <c r="H993" s="325"/>
    </row>
    <row r="994" spans="5:8">
      <c r="E994" s="475"/>
      <c r="F994" s="475"/>
      <c r="G994" s="325"/>
      <c r="H994" s="325"/>
    </row>
    <row r="995" spans="5:8">
      <c r="E995" s="475"/>
      <c r="F995" s="475"/>
      <c r="G995" s="325"/>
      <c r="H995" s="325"/>
    </row>
    <row r="996" spans="5:8">
      <c r="E996" s="475"/>
      <c r="F996" s="475"/>
      <c r="G996" s="325"/>
      <c r="H996" s="325"/>
    </row>
    <row r="997" spans="5:8">
      <c r="E997" s="475"/>
      <c r="F997" s="475"/>
      <c r="G997" s="325"/>
      <c r="H997" s="325"/>
    </row>
    <row r="998" spans="5:8">
      <c r="E998" s="475"/>
      <c r="F998" s="475"/>
      <c r="G998" s="325"/>
      <c r="H998" s="325"/>
    </row>
    <row r="999" spans="5:8">
      <c r="E999" s="475"/>
      <c r="F999" s="475"/>
      <c r="G999" s="325"/>
      <c r="H999" s="325"/>
    </row>
    <row r="1000" spans="5:8">
      <c r="E1000" s="475"/>
      <c r="F1000" s="475"/>
      <c r="G1000" s="325"/>
      <c r="H1000" s="325"/>
    </row>
    <row r="1001" spans="5:8">
      <c r="E1001" s="475"/>
      <c r="F1001" s="475"/>
      <c r="G1001" s="325"/>
      <c r="H1001" s="325"/>
    </row>
    <row r="1002" spans="5:8">
      <c r="E1002" s="475"/>
      <c r="F1002" s="475"/>
      <c r="G1002" s="325"/>
      <c r="H1002" s="325"/>
    </row>
    <row r="1003" spans="5:8">
      <c r="E1003" s="475"/>
      <c r="F1003" s="475"/>
      <c r="G1003" s="325"/>
      <c r="H1003" s="325"/>
    </row>
    <row r="1004" spans="5:8">
      <c r="E1004" s="475"/>
      <c r="F1004" s="475"/>
      <c r="G1004" s="325"/>
      <c r="H1004" s="325"/>
    </row>
    <row r="1005" spans="5:8">
      <c r="E1005" s="475"/>
      <c r="F1005" s="475"/>
      <c r="G1005" s="325"/>
      <c r="H1005" s="325"/>
    </row>
    <row r="1006" spans="5:8">
      <c r="E1006" s="475"/>
      <c r="F1006" s="475"/>
      <c r="G1006" s="325"/>
      <c r="H1006" s="325"/>
    </row>
    <row r="1007" spans="5:8">
      <c r="E1007" s="475"/>
      <c r="F1007" s="475"/>
      <c r="G1007" s="325"/>
      <c r="H1007" s="325"/>
    </row>
    <row r="1008" spans="5:8">
      <c r="E1008" s="475"/>
      <c r="F1008" s="475"/>
      <c r="G1008" s="325"/>
      <c r="H1008" s="325"/>
    </row>
    <row r="1009" spans="5:8">
      <c r="E1009" s="475"/>
      <c r="F1009" s="475"/>
      <c r="G1009" s="325"/>
      <c r="H1009" s="325"/>
    </row>
    <row r="1010" spans="5:8">
      <c r="E1010" s="475"/>
      <c r="F1010" s="475"/>
      <c r="G1010" s="325"/>
      <c r="H1010" s="325"/>
    </row>
    <row r="1011" spans="5:8">
      <c r="E1011" s="475"/>
      <c r="F1011" s="475"/>
      <c r="G1011" s="325"/>
      <c r="H1011" s="325"/>
    </row>
    <row r="1012" spans="5:8">
      <c r="E1012" s="475"/>
      <c r="F1012" s="475"/>
      <c r="G1012" s="325"/>
      <c r="H1012" s="325"/>
    </row>
    <row r="1013" spans="5:8">
      <c r="E1013" s="475"/>
      <c r="F1013" s="475"/>
      <c r="G1013" s="325"/>
      <c r="H1013" s="325"/>
    </row>
    <row r="1014" spans="5:8">
      <c r="E1014" s="475"/>
      <c r="F1014" s="475"/>
      <c r="G1014" s="325"/>
      <c r="H1014" s="325"/>
    </row>
    <row r="1015" spans="5:8">
      <c r="E1015" s="475"/>
      <c r="F1015" s="475"/>
      <c r="G1015" s="325"/>
      <c r="H1015" s="325"/>
    </row>
    <row r="1016" spans="5:8">
      <c r="E1016" s="475"/>
      <c r="F1016" s="475"/>
      <c r="G1016" s="325"/>
      <c r="H1016" s="325"/>
    </row>
    <row r="1017" spans="5:8">
      <c r="E1017" s="475"/>
      <c r="F1017" s="475"/>
      <c r="G1017" s="325"/>
      <c r="H1017" s="325"/>
    </row>
    <row r="1018" spans="5:8">
      <c r="E1018" s="475"/>
      <c r="F1018" s="475"/>
      <c r="G1018" s="325"/>
      <c r="H1018" s="325"/>
    </row>
    <row r="1019" spans="5:8">
      <c r="E1019" s="475"/>
      <c r="F1019" s="475"/>
      <c r="G1019" s="325"/>
      <c r="H1019" s="325"/>
    </row>
    <row r="1020" spans="5:8">
      <c r="E1020" s="475"/>
      <c r="F1020" s="475"/>
      <c r="G1020" s="325"/>
      <c r="H1020" s="325"/>
    </row>
    <row r="1021" spans="5:8">
      <c r="E1021" s="475"/>
      <c r="F1021" s="475"/>
      <c r="G1021" s="325"/>
      <c r="H1021" s="325"/>
    </row>
    <row r="1022" spans="5:8">
      <c r="E1022" s="475"/>
      <c r="F1022" s="475"/>
      <c r="G1022" s="325"/>
      <c r="H1022" s="325"/>
    </row>
    <row r="1023" spans="5:8">
      <c r="E1023" s="475"/>
      <c r="F1023" s="475"/>
      <c r="G1023" s="325"/>
      <c r="H1023" s="325"/>
    </row>
    <row r="1024" spans="5:8">
      <c r="E1024" s="475"/>
      <c r="F1024" s="475"/>
      <c r="G1024" s="325"/>
      <c r="H1024" s="325"/>
    </row>
    <row r="1025" spans="5:8">
      <c r="E1025" s="475"/>
      <c r="F1025" s="475"/>
      <c r="G1025" s="325"/>
      <c r="H1025" s="325"/>
    </row>
    <row r="1026" spans="5:8">
      <c r="E1026" s="475"/>
      <c r="F1026" s="475"/>
      <c r="G1026" s="325"/>
      <c r="H1026" s="325"/>
    </row>
    <row r="1027" spans="5:8">
      <c r="E1027" s="475"/>
      <c r="F1027" s="475"/>
      <c r="G1027" s="325"/>
      <c r="H1027" s="325"/>
    </row>
    <row r="1028" spans="5:8">
      <c r="E1028" s="475"/>
      <c r="F1028" s="475"/>
      <c r="G1028" s="325"/>
      <c r="H1028" s="325"/>
    </row>
    <row r="1029" spans="5:8">
      <c r="E1029" s="475"/>
      <c r="F1029" s="475"/>
      <c r="G1029" s="325"/>
      <c r="H1029" s="325"/>
    </row>
    <row r="1030" spans="5:8">
      <c r="E1030" s="475"/>
      <c r="F1030" s="475"/>
      <c r="G1030" s="325"/>
      <c r="H1030" s="325"/>
    </row>
    <row r="1031" spans="5:8">
      <c r="E1031" s="475"/>
      <c r="F1031" s="475"/>
      <c r="G1031" s="325"/>
      <c r="H1031" s="325"/>
    </row>
    <row r="1032" spans="5:8">
      <c r="E1032" s="475"/>
      <c r="F1032" s="475"/>
      <c r="G1032" s="325"/>
      <c r="H1032" s="325"/>
    </row>
    <row r="1033" spans="5:8">
      <c r="E1033" s="475"/>
      <c r="F1033" s="475"/>
      <c r="G1033" s="325"/>
      <c r="H1033" s="325"/>
    </row>
    <row r="1034" spans="5:8">
      <c r="E1034" s="475"/>
      <c r="F1034" s="475"/>
      <c r="G1034" s="325"/>
      <c r="H1034" s="325"/>
    </row>
    <row r="1035" spans="5:8">
      <c r="E1035" s="475"/>
      <c r="F1035" s="475"/>
      <c r="G1035" s="325"/>
      <c r="H1035" s="325"/>
    </row>
    <row r="1036" spans="5:8">
      <c r="E1036" s="475"/>
      <c r="F1036" s="475"/>
      <c r="G1036" s="325"/>
      <c r="H1036" s="325"/>
    </row>
    <row r="1037" spans="5:8">
      <c r="E1037" s="475"/>
      <c r="F1037" s="475"/>
      <c r="G1037" s="325"/>
      <c r="H1037" s="325"/>
    </row>
    <row r="1038" spans="5:8">
      <c r="E1038" s="475"/>
      <c r="F1038" s="475"/>
      <c r="G1038" s="325"/>
      <c r="H1038" s="325"/>
    </row>
    <row r="1039" spans="5:8">
      <c r="E1039" s="475"/>
      <c r="F1039" s="475"/>
      <c r="G1039" s="325"/>
      <c r="H1039" s="325"/>
    </row>
    <row r="1040" spans="5:8">
      <c r="E1040" s="475"/>
      <c r="F1040" s="475"/>
      <c r="G1040" s="325"/>
      <c r="H1040" s="325"/>
    </row>
    <row r="1041" spans="5:8">
      <c r="E1041" s="475"/>
      <c r="F1041" s="475"/>
      <c r="G1041" s="325"/>
      <c r="H1041" s="325"/>
    </row>
    <row r="1042" spans="5:8">
      <c r="E1042" s="475"/>
      <c r="F1042" s="475"/>
      <c r="G1042" s="325"/>
      <c r="H1042" s="325"/>
    </row>
    <row r="1043" spans="5:8">
      <c r="E1043" s="475"/>
      <c r="F1043" s="475"/>
      <c r="G1043" s="325"/>
      <c r="H1043" s="325"/>
    </row>
    <row r="1044" spans="5:8">
      <c r="E1044" s="475"/>
      <c r="F1044" s="475"/>
      <c r="G1044" s="325"/>
      <c r="H1044" s="325"/>
    </row>
    <row r="1045" spans="5:8">
      <c r="E1045" s="475"/>
      <c r="F1045" s="475"/>
      <c r="G1045" s="325"/>
      <c r="H1045" s="325"/>
    </row>
    <row r="1046" spans="5:8">
      <c r="E1046" s="475"/>
      <c r="F1046" s="475"/>
      <c r="G1046" s="325"/>
      <c r="H1046" s="325"/>
    </row>
    <row r="1047" spans="5:8">
      <c r="E1047" s="475"/>
      <c r="F1047" s="475"/>
      <c r="G1047" s="325"/>
      <c r="H1047" s="325"/>
    </row>
    <row r="1048" spans="5:8">
      <c r="E1048" s="475"/>
      <c r="F1048" s="475"/>
      <c r="G1048" s="325"/>
      <c r="H1048" s="325"/>
    </row>
    <row r="1049" spans="5:8">
      <c r="E1049" s="475"/>
      <c r="F1049" s="475"/>
      <c r="G1049" s="325"/>
      <c r="H1049" s="325"/>
    </row>
    <row r="1050" spans="5:8">
      <c r="E1050" s="475"/>
      <c r="F1050" s="475"/>
      <c r="G1050" s="325"/>
      <c r="H1050" s="325"/>
    </row>
    <row r="1051" spans="5:8">
      <c r="E1051" s="475"/>
      <c r="F1051" s="475"/>
      <c r="G1051" s="325"/>
      <c r="H1051" s="325"/>
    </row>
    <row r="1052" spans="5:8">
      <c r="E1052" s="475"/>
      <c r="F1052" s="475"/>
      <c r="G1052" s="325"/>
      <c r="H1052" s="325"/>
    </row>
    <row r="1053" spans="5:8">
      <c r="E1053" s="475"/>
      <c r="F1053" s="475"/>
      <c r="G1053" s="325"/>
      <c r="H1053" s="325"/>
    </row>
    <row r="1054" spans="5:8">
      <c r="E1054" s="475"/>
      <c r="F1054" s="475"/>
      <c r="G1054" s="325"/>
      <c r="H1054" s="325"/>
    </row>
    <row r="1055" spans="5:8">
      <c r="E1055" s="475"/>
      <c r="F1055" s="475"/>
      <c r="G1055" s="325"/>
      <c r="H1055" s="325"/>
    </row>
    <row r="1056" spans="5:8">
      <c r="E1056" s="475"/>
      <c r="F1056" s="475"/>
      <c r="G1056" s="325"/>
      <c r="H1056" s="325"/>
    </row>
    <row r="1057" spans="5:8">
      <c r="E1057" s="475"/>
      <c r="F1057" s="475"/>
      <c r="G1057" s="325"/>
      <c r="H1057" s="325"/>
    </row>
    <row r="1058" spans="5:8">
      <c r="E1058" s="475"/>
      <c r="F1058" s="475"/>
      <c r="G1058" s="325"/>
      <c r="H1058" s="325"/>
    </row>
    <row r="1059" spans="5:8">
      <c r="E1059" s="475"/>
      <c r="F1059" s="475"/>
      <c r="G1059" s="325"/>
      <c r="H1059" s="325"/>
    </row>
    <row r="1060" spans="5:8">
      <c r="E1060" s="475"/>
      <c r="F1060" s="475"/>
      <c r="G1060" s="325"/>
      <c r="H1060" s="325"/>
    </row>
    <row r="1061" spans="5:8">
      <c r="E1061" s="475"/>
      <c r="F1061" s="475"/>
      <c r="G1061" s="325"/>
      <c r="H1061" s="325"/>
    </row>
    <row r="1062" spans="5:8">
      <c r="E1062" s="475"/>
      <c r="F1062" s="475"/>
      <c r="G1062" s="325"/>
      <c r="H1062" s="325"/>
    </row>
    <row r="1063" spans="5:8">
      <c r="E1063" s="475"/>
      <c r="F1063" s="475"/>
      <c r="G1063" s="325"/>
      <c r="H1063" s="325"/>
    </row>
    <row r="1064" spans="5:8">
      <c r="E1064" s="475"/>
      <c r="F1064" s="475"/>
      <c r="G1064" s="325"/>
      <c r="H1064" s="325"/>
    </row>
    <row r="1065" spans="5:8">
      <c r="E1065" s="475"/>
      <c r="F1065" s="475"/>
      <c r="G1065" s="325"/>
      <c r="H1065" s="325"/>
    </row>
    <row r="1066" spans="5:8">
      <c r="E1066" s="475"/>
      <c r="F1066" s="475"/>
      <c r="G1066" s="325"/>
      <c r="H1066" s="325"/>
    </row>
    <row r="1067" spans="5:8">
      <c r="E1067" s="475"/>
      <c r="F1067" s="475"/>
      <c r="G1067" s="325"/>
      <c r="H1067" s="325"/>
    </row>
    <row r="1068" spans="5:8">
      <c r="E1068" s="475"/>
      <c r="F1068" s="475"/>
      <c r="G1068" s="325"/>
      <c r="H1068" s="325"/>
    </row>
    <row r="1069" spans="5:8">
      <c r="E1069" s="475"/>
      <c r="F1069" s="475"/>
      <c r="G1069" s="325"/>
      <c r="H1069" s="325"/>
    </row>
    <row r="1070" spans="5:8">
      <c r="E1070" s="475"/>
      <c r="F1070" s="475"/>
      <c r="G1070" s="325"/>
      <c r="H1070" s="325"/>
    </row>
    <row r="1071" spans="5:8">
      <c r="E1071" s="475"/>
      <c r="F1071" s="475"/>
      <c r="G1071" s="325"/>
      <c r="H1071" s="325"/>
    </row>
    <row r="1072" spans="5:8">
      <c r="E1072" s="475"/>
      <c r="F1072" s="475"/>
      <c r="G1072" s="325"/>
      <c r="H1072" s="325"/>
    </row>
    <row r="1073" spans="5:8">
      <c r="E1073" s="475"/>
      <c r="F1073" s="475"/>
      <c r="G1073" s="325"/>
      <c r="H1073" s="325"/>
    </row>
    <row r="1074" spans="5:8">
      <c r="E1074" s="475"/>
      <c r="F1074" s="475"/>
      <c r="G1074" s="325"/>
      <c r="H1074" s="325"/>
    </row>
    <row r="1075" spans="5:8">
      <c r="E1075" s="475"/>
      <c r="F1075" s="475"/>
      <c r="G1075" s="325"/>
      <c r="H1075" s="325"/>
    </row>
    <row r="1076" spans="5:8">
      <c r="E1076" s="475"/>
      <c r="F1076" s="475"/>
      <c r="G1076" s="325"/>
      <c r="H1076" s="325"/>
    </row>
    <row r="1077" spans="5:8">
      <c r="E1077" s="475"/>
      <c r="F1077" s="475"/>
      <c r="G1077" s="325"/>
      <c r="H1077" s="325"/>
    </row>
    <row r="1078" spans="5:8">
      <c r="E1078" s="475"/>
      <c r="F1078" s="475"/>
      <c r="G1078" s="325"/>
      <c r="H1078" s="325"/>
    </row>
    <row r="1079" spans="5:8">
      <c r="E1079" s="475"/>
      <c r="F1079" s="475"/>
      <c r="G1079" s="325"/>
      <c r="H1079" s="325"/>
    </row>
    <row r="1080" spans="5:8">
      <c r="E1080" s="475"/>
      <c r="F1080" s="475"/>
      <c r="G1080" s="325"/>
      <c r="H1080" s="325"/>
    </row>
    <row r="1081" spans="5:8">
      <c r="E1081" s="475"/>
      <c r="F1081" s="475"/>
      <c r="G1081" s="325"/>
      <c r="H1081" s="325"/>
    </row>
    <row r="1082" spans="5:8">
      <c r="E1082" s="475"/>
      <c r="F1082" s="475"/>
      <c r="G1082" s="325"/>
      <c r="H1082" s="325"/>
    </row>
    <row r="1083" spans="5:8">
      <c r="E1083" s="475"/>
      <c r="F1083" s="475"/>
      <c r="G1083" s="325"/>
      <c r="H1083" s="325"/>
    </row>
    <row r="1084" spans="5:8">
      <c r="E1084" s="475"/>
      <c r="F1084" s="475"/>
      <c r="G1084" s="325"/>
      <c r="H1084" s="325"/>
    </row>
    <row r="1085" spans="5:8">
      <c r="E1085" s="475"/>
      <c r="F1085" s="475"/>
      <c r="G1085" s="325"/>
      <c r="H1085" s="325"/>
    </row>
    <row r="1086" spans="5:8">
      <c r="E1086" s="475"/>
      <c r="F1086" s="475"/>
      <c r="G1086" s="325"/>
      <c r="H1086" s="325"/>
    </row>
    <row r="1087" spans="5:8">
      <c r="E1087" s="475"/>
      <c r="F1087" s="475"/>
      <c r="G1087" s="325"/>
      <c r="H1087" s="325"/>
    </row>
    <row r="1088" spans="5:8">
      <c r="E1088" s="475"/>
      <c r="F1088" s="475"/>
      <c r="G1088" s="325"/>
      <c r="H1088" s="325"/>
    </row>
    <row r="1089" spans="5:8">
      <c r="E1089" s="475"/>
      <c r="F1089" s="475"/>
      <c r="G1089" s="325"/>
      <c r="H1089" s="325"/>
    </row>
    <row r="1090" spans="5:8">
      <c r="E1090" s="475"/>
      <c r="F1090" s="475"/>
      <c r="G1090" s="325"/>
      <c r="H1090" s="325"/>
    </row>
    <row r="1091" spans="5:8">
      <c r="E1091" s="475"/>
      <c r="F1091" s="475"/>
      <c r="G1091" s="325"/>
      <c r="H1091" s="325"/>
    </row>
    <row r="1092" spans="5:8">
      <c r="E1092" s="475"/>
      <c r="F1092" s="475"/>
      <c r="G1092" s="325"/>
      <c r="H1092" s="325"/>
    </row>
    <row r="1093" spans="5:8">
      <c r="E1093" s="475"/>
      <c r="F1093" s="475"/>
      <c r="G1093" s="325"/>
      <c r="H1093" s="325"/>
    </row>
    <row r="1094" spans="5:8">
      <c r="E1094" s="475"/>
      <c r="F1094" s="475"/>
      <c r="G1094" s="325"/>
      <c r="H1094" s="325"/>
    </row>
    <row r="1095" spans="5:8">
      <c r="E1095" s="475"/>
      <c r="F1095" s="475"/>
      <c r="G1095" s="325"/>
      <c r="H1095" s="325"/>
    </row>
    <row r="1096" spans="5:8">
      <c r="E1096" s="475"/>
      <c r="F1096" s="475"/>
      <c r="G1096" s="325"/>
      <c r="H1096" s="325"/>
    </row>
    <row r="1097" spans="5:8">
      <c r="E1097" s="475"/>
      <c r="F1097" s="475"/>
      <c r="G1097" s="325"/>
      <c r="H1097" s="325"/>
    </row>
    <row r="1098" spans="5:8">
      <c r="E1098" s="475"/>
      <c r="F1098" s="475"/>
      <c r="G1098" s="325"/>
      <c r="H1098" s="325"/>
    </row>
    <row r="1099" spans="5:8">
      <c r="E1099" s="475"/>
      <c r="F1099" s="475"/>
      <c r="G1099" s="325"/>
      <c r="H1099" s="325"/>
    </row>
    <row r="1100" spans="5:8">
      <c r="E1100" s="475"/>
      <c r="F1100" s="475"/>
      <c r="G1100" s="325"/>
      <c r="H1100" s="325"/>
    </row>
    <row r="1101" spans="5:8">
      <c r="E1101" s="475"/>
      <c r="F1101" s="475"/>
      <c r="G1101" s="325"/>
      <c r="H1101" s="325"/>
    </row>
    <row r="1102" spans="5:8">
      <c r="E1102" s="475"/>
      <c r="F1102" s="475"/>
      <c r="G1102" s="325"/>
      <c r="H1102" s="325"/>
    </row>
    <row r="1103" spans="5:8">
      <c r="E1103" s="475"/>
      <c r="F1103" s="475"/>
      <c r="G1103" s="325"/>
      <c r="H1103" s="325"/>
    </row>
    <row r="1104" spans="5:8">
      <c r="E1104" s="475"/>
      <c r="F1104" s="475"/>
      <c r="G1104" s="325"/>
      <c r="H1104" s="325"/>
    </row>
    <row r="1105" spans="5:8">
      <c r="E1105" s="475"/>
      <c r="F1105" s="475"/>
      <c r="G1105" s="325"/>
      <c r="H1105" s="325"/>
    </row>
    <row r="1106" spans="5:8">
      <c r="E1106" s="475"/>
      <c r="F1106" s="475"/>
      <c r="G1106" s="325"/>
      <c r="H1106" s="325"/>
    </row>
    <row r="1107" spans="5:8">
      <c r="E1107" s="475"/>
      <c r="F1107" s="475"/>
      <c r="G1107" s="325"/>
      <c r="H1107" s="325"/>
    </row>
    <row r="1108" spans="5:8">
      <c r="E1108" s="475"/>
      <c r="F1108" s="475"/>
      <c r="G1108" s="325"/>
      <c r="H1108" s="325"/>
    </row>
    <row r="1109" spans="5:8">
      <c r="E1109" s="475"/>
      <c r="F1109" s="475"/>
      <c r="G1109" s="325"/>
      <c r="H1109" s="325"/>
    </row>
    <row r="1110" spans="5:8">
      <c r="E1110" s="475"/>
      <c r="F1110" s="475"/>
      <c r="G1110" s="325"/>
      <c r="H1110" s="325"/>
    </row>
    <row r="1111" spans="5:8">
      <c r="E1111" s="475"/>
      <c r="F1111" s="475"/>
      <c r="G1111" s="325"/>
      <c r="H1111" s="325"/>
    </row>
    <row r="1112" spans="5:8">
      <c r="E1112" s="475"/>
      <c r="F1112" s="475"/>
      <c r="G1112" s="325"/>
      <c r="H1112" s="325"/>
    </row>
    <row r="1113" spans="5:8">
      <c r="E1113" s="475"/>
      <c r="F1113" s="475"/>
      <c r="G1113" s="325"/>
      <c r="H1113" s="325"/>
    </row>
    <row r="1114" spans="5:8">
      <c r="E1114" s="475"/>
      <c r="F1114" s="475"/>
      <c r="G1114" s="325"/>
      <c r="H1114" s="325"/>
    </row>
    <row r="1115" spans="5:8">
      <c r="E1115" s="475"/>
      <c r="F1115" s="475"/>
      <c r="G1115" s="325"/>
      <c r="H1115" s="325"/>
    </row>
    <row r="1116" spans="5:8">
      <c r="E1116" s="475"/>
      <c r="F1116" s="475"/>
      <c r="G1116" s="325"/>
      <c r="H1116" s="325"/>
    </row>
    <row r="1117" spans="5:8">
      <c r="E1117" s="475"/>
      <c r="F1117" s="475"/>
      <c r="G1117" s="325"/>
      <c r="H1117" s="325"/>
    </row>
    <row r="1118" spans="5:8">
      <c r="E1118" s="475"/>
      <c r="F1118" s="475"/>
      <c r="G1118" s="325"/>
      <c r="H1118" s="325"/>
    </row>
    <row r="1119" spans="5:8">
      <c r="E1119" s="475"/>
      <c r="F1119" s="475"/>
      <c r="G1119" s="325"/>
      <c r="H1119" s="325"/>
    </row>
    <row r="1120" spans="5:8">
      <c r="E1120" s="475"/>
      <c r="F1120" s="475"/>
      <c r="G1120" s="325"/>
      <c r="H1120" s="325"/>
    </row>
    <row r="1121" spans="5:8">
      <c r="E1121" s="475"/>
      <c r="F1121" s="475"/>
      <c r="G1121" s="325"/>
      <c r="H1121" s="325"/>
    </row>
    <row r="1122" spans="5:8">
      <c r="E1122" s="475"/>
      <c r="F1122" s="475"/>
      <c r="G1122" s="325"/>
      <c r="H1122" s="325"/>
    </row>
    <row r="1123" spans="5:8">
      <c r="E1123" s="475"/>
      <c r="F1123" s="475"/>
      <c r="G1123" s="325"/>
      <c r="H1123" s="325"/>
    </row>
    <row r="1124" spans="5:8">
      <c r="E1124" s="475"/>
      <c r="F1124" s="475"/>
      <c r="G1124" s="325"/>
      <c r="H1124" s="325"/>
    </row>
    <row r="1125" spans="5:8">
      <c r="E1125" s="475"/>
      <c r="F1125" s="475"/>
      <c r="G1125" s="325"/>
      <c r="H1125" s="325"/>
    </row>
    <row r="1126" spans="5:8">
      <c r="E1126" s="475"/>
      <c r="F1126" s="475"/>
      <c r="G1126" s="325"/>
      <c r="H1126" s="325"/>
    </row>
    <row r="1127" spans="5:8">
      <c r="E1127" s="475"/>
      <c r="F1127" s="475"/>
      <c r="G1127" s="325"/>
      <c r="H1127" s="325"/>
    </row>
    <row r="1128" spans="5:8">
      <c r="E1128" s="475"/>
      <c r="F1128" s="475"/>
      <c r="G1128" s="325"/>
      <c r="H1128" s="325"/>
    </row>
    <row r="1129" spans="5:8">
      <c r="E1129" s="475"/>
      <c r="F1129" s="475"/>
      <c r="G1129" s="325"/>
      <c r="H1129" s="325"/>
    </row>
    <row r="1130" spans="5:8">
      <c r="E1130" s="475"/>
      <c r="F1130" s="475"/>
      <c r="G1130" s="325"/>
      <c r="H1130" s="325"/>
    </row>
    <row r="1131" spans="5:8">
      <c r="E1131" s="475"/>
      <c r="F1131" s="475"/>
      <c r="G1131" s="325"/>
      <c r="H1131" s="325"/>
    </row>
    <row r="1132" spans="5:8">
      <c r="E1132" s="475"/>
      <c r="F1132" s="475"/>
      <c r="G1132" s="325"/>
      <c r="H1132" s="325"/>
    </row>
    <row r="1133" spans="5:8">
      <c r="E1133" s="475"/>
      <c r="F1133" s="475"/>
      <c r="G1133" s="325"/>
      <c r="H1133" s="325"/>
    </row>
    <row r="1134" spans="5:8">
      <c r="E1134" s="475"/>
      <c r="F1134" s="475"/>
      <c r="G1134" s="325"/>
      <c r="H1134" s="325"/>
    </row>
    <row r="1135" spans="5:8">
      <c r="E1135" s="475"/>
      <c r="F1135" s="475"/>
      <c r="G1135" s="325"/>
      <c r="H1135" s="325"/>
    </row>
    <row r="1136" spans="5:8">
      <c r="E1136" s="475"/>
      <c r="F1136" s="475"/>
      <c r="G1136" s="325"/>
      <c r="H1136" s="325"/>
    </row>
    <row r="1137" spans="5:8">
      <c r="E1137" s="475"/>
      <c r="F1137" s="475"/>
      <c r="G1137" s="325"/>
      <c r="H1137" s="325"/>
    </row>
    <row r="1138" spans="5:8">
      <c r="E1138" s="475"/>
      <c r="F1138" s="475"/>
      <c r="G1138" s="325"/>
      <c r="H1138" s="325"/>
    </row>
    <row r="1139" spans="5:8">
      <c r="E1139" s="475"/>
      <c r="F1139" s="475"/>
      <c r="G1139" s="325"/>
      <c r="H1139" s="325"/>
    </row>
    <row r="1140" spans="5:8">
      <c r="E1140" s="475"/>
      <c r="F1140" s="475"/>
      <c r="G1140" s="325"/>
      <c r="H1140" s="325"/>
    </row>
    <row r="1141" spans="5:8">
      <c r="E1141" s="475"/>
      <c r="F1141" s="475"/>
      <c r="G1141" s="325"/>
      <c r="H1141" s="325"/>
    </row>
    <row r="1142" spans="5:8">
      <c r="E1142" s="475"/>
      <c r="F1142" s="475"/>
      <c r="G1142" s="325"/>
      <c r="H1142" s="325"/>
    </row>
    <row r="1143" spans="5:8">
      <c r="E1143" s="475"/>
      <c r="F1143" s="475"/>
      <c r="G1143" s="325"/>
      <c r="H1143" s="325"/>
    </row>
    <row r="1144" spans="5:8">
      <c r="E1144" s="475"/>
      <c r="F1144" s="475"/>
      <c r="G1144" s="325"/>
      <c r="H1144" s="325"/>
    </row>
    <row r="1145" spans="5:8">
      <c r="E1145" s="475"/>
      <c r="F1145" s="475"/>
      <c r="G1145" s="325"/>
      <c r="H1145" s="325"/>
    </row>
    <row r="1146" spans="5:8">
      <c r="E1146" s="475"/>
      <c r="F1146" s="475"/>
      <c r="G1146" s="325"/>
      <c r="H1146" s="325"/>
    </row>
    <row r="1147" spans="5:8">
      <c r="E1147" s="475"/>
      <c r="F1147" s="475"/>
      <c r="G1147" s="325"/>
      <c r="H1147" s="325"/>
    </row>
    <row r="1148" spans="5:8">
      <c r="E1148" s="475"/>
      <c r="F1148" s="475"/>
      <c r="G1148" s="325"/>
      <c r="H1148" s="325"/>
    </row>
    <row r="1149" spans="5:8">
      <c r="E1149" s="475"/>
      <c r="F1149" s="475"/>
      <c r="G1149" s="325"/>
      <c r="H1149" s="325"/>
    </row>
    <row r="1150" spans="5:8">
      <c r="E1150" s="475"/>
      <c r="F1150" s="475"/>
      <c r="G1150" s="325"/>
      <c r="H1150" s="325"/>
    </row>
    <row r="1151" spans="5:8">
      <c r="E1151" s="475"/>
      <c r="F1151" s="475"/>
      <c r="G1151" s="325"/>
      <c r="H1151" s="325"/>
    </row>
    <row r="1152" spans="5:8">
      <c r="E1152" s="475"/>
      <c r="F1152" s="475"/>
      <c r="G1152" s="325"/>
      <c r="H1152" s="325"/>
    </row>
    <row r="1153" spans="5:8">
      <c r="E1153" s="475"/>
      <c r="F1153" s="475"/>
      <c r="G1153" s="325"/>
      <c r="H1153" s="325"/>
    </row>
    <row r="1154" spans="5:8">
      <c r="E1154" s="475"/>
      <c r="F1154" s="475"/>
      <c r="G1154" s="325"/>
      <c r="H1154" s="325"/>
    </row>
    <row r="1155" spans="5:8">
      <c r="E1155" s="475"/>
      <c r="F1155" s="475"/>
      <c r="G1155" s="325"/>
      <c r="H1155" s="325"/>
    </row>
    <row r="1156" spans="5:8">
      <c r="E1156" s="475"/>
      <c r="F1156" s="475"/>
      <c r="G1156" s="325"/>
      <c r="H1156" s="325"/>
    </row>
    <row r="1157" spans="5:8">
      <c r="E1157" s="475"/>
      <c r="F1157" s="475"/>
      <c r="G1157" s="325"/>
      <c r="H1157" s="325"/>
    </row>
    <row r="1158" spans="5:8">
      <c r="E1158" s="475"/>
      <c r="F1158" s="475"/>
      <c r="G1158" s="325"/>
      <c r="H1158" s="325"/>
    </row>
    <row r="1159" spans="5:8">
      <c r="E1159" s="475"/>
      <c r="F1159" s="475"/>
      <c r="G1159" s="325"/>
      <c r="H1159" s="325"/>
    </row>
    <row r="1160" spans="5:8">
      <c r="E1160" s="475"/>
      <c r="F1160" s="475"/>
      <c r="G1160" s="325"/>
      <c r="H1160" s="325"/>
    </row>
    <row r="1161" spans="5:8">
      <c r="E1161" s="475"/>
      <c r="F1161" s="475"/>
      <c r="G1161" s="325"/>
      <c r="H1161" s="325"/>
    </row>
    <row r="1162" spans="5:8">
      <c r="E1162" s="475"/>
      <c r="F1162" s="475"/>
      <c r="G1162" s="325"/>
      <c r="H1162" s="325"/>
    </row>
    <row r="1163" spans="5:8">
      <c r="E1163" s="475"/>
      <c r="F1163" s="475"/>
      <c r="G1163" s="325"/>
      <c r="H1163" s="325"/>
    </row>
    <row r="1164" spans="5:8">
      <c r="E1164" s="475"/>
      <c r="F1164" s="475"/>
      <c r="G1164" s="325"/>
      <c r="H1164" s="325"/>
    </row>
    <row r="1165" spans="5:8">
      <c r="E1165" s="475"/>
      <c r="F1165" s="475"/>
      <c r="G1165" s="325"/>
      <c r="H1165" s="325"/>
    </row>
    <row r="1166" spans="5:8">
      <c r="E1166" s="475"/>
      <c r="F1166" s="475"/>
      <c r="G1166" s="325"/>
      <c r="H1166" s="325"/>
    </row>
    <row r="1167" spans="5:8">
      <c r="E1167" s="475"/>
      <c r="F1167" s="475"/>
      <c r="G1167" s="325"/>
      <c r="H1167" s="325"/>
    </row>
    <row r="1168" spans="5:8">
      <c r="E1168" s="475"/>
      <c r="F1168" s="475"/>
      <c r="G1168" s="325"/>
      <c r="H1168" s="325"/>
    </row>
    <row r="1169" spans="5:8">
      <c r="E1169" s="475"/>
      <c r="F1169" s="475"/>
      <c r="G1169" s="325"/>
      <c r="H1169" s="325"/>
    </row>
    <row r="1170" spans="5:8">
      <c r="E1170" s="475"/>
      <c r="F1170" s="475"/>
      <c r="G1170" s="325"/>
      <c r="H1170" s="325"/>
    </row>
    <row r="1171" spans="5:8">
      <c r="E1171" s="475"/>
      <c r="F1171" s="475"/>
      <c r="G1171" s="325"/>
      <c r="H1171" s="325"/>
    </row>
    <row r="1172" spans="5:8">
      <c r="E1172" s="475"/>
      <c r="F1172" s="475"/>
      <c r="G1172" s="325"/>
      <c r="H1172" s="325"/>
    </row>
    <row r="1173" spans="5:8">
      <c r="E1173" s="475"/>
      <c r="F1173" s="475"/>
      <c r="G1173" s="325"/>
      <c r="H1173" s="325"/>
    </row>
    <row r="1174" spans="5:8">
      <c r="E1174" s="475"/>
      <c r="F1174" s="475"/>
      <c r="G1174" s="325"/>
      <c r="H1174" s="325"/>
    </row>
    <row r="1175" spans="5:8">
      <c r="E1175" s="475"/>
      <c r="F1175" s="475"/>
      <c r="G1175" s="325"/>
      <c r="H1175" s="325"/>
    </row>
    <row r="1176" spans="5:8">
      <c r="E1176" s="475"/>
      <c r="F1176" s="475"/>
      <c r="G1176" s="325"/>
      <c r="H1176" s="325"/>
    </row>
    <row r="1177" spans="5:8">
      <c r="E1177" s="475"/>
      <c r="F1177" s="475"/>
      <c r="G1177" s="325"/>
      <c r="H1177" s="325"/>
    </row>
    <row r="1178" spans="5:8">
      <c r="E1178" s="475"/>
      <c r="F1178" s="475"/>
      <c r="G1178" s="325"/>
      <c r="H1178" s="325"/>
    </row>
    <row r="1179" spans="5:8">
      <c r="E1179" s="475"/>
      <c r="F1179" s="475"/>
      <c r="G1179" s="325"/>
      <c r="H1179" s="325"/>
    </row>
    <row r="1180" spans="5:8">
      <c r="E1180" s="475"/>
      <c r="F1180" s="475"/>
      <c r="G1180" s="325"/>
      <c r="H1180" s="325"/>
    </row>
    <row r="1181" spans="5:8">
      <c r="E1181" s="475"/>
      <c r="F1181" s="475"/>
      <c r="G1181" s="325"/>
      <c r="H1181" s="325"/>
    </row>
    <row r="1182" spans="5:8">
      <c r="E1182" s="475"/>
      <c r="F1182" s="475"/>
      <c r="G1182" s="325"/>
      <c r="H1182" s="325"/>
    </row>
    <row r="1183" spans="5:8">
      <c r="E1183" s="475"/>
      <c r="F1183" s="475"/>
      <c r="G1183" s="325"/>
      <c r="H1183" s="325"/>
    </row>
    <row r="1184" spans="5:8">
      <c r="E1184" s="475"/>
      <c r="F1184" s="475"/>
      <c r="G1184" s="325"/>
      <c r="H1184" s="325"/>
    </row>
    <row r="1185" spans="5:8">
      <c r="E1185" s="475"/>
      <c r="F1185" s="475"/>
      <c r="G1185" s="325"/>
      <c r="H1185" s="325"/>
    </row>
    <row r="1186" spans="5:8">
      <c r="E1186" s="475"/>
      <c r="F1186" s="475"/>
      <c r="G1186" s="325"/>
      <c r="H1186" s="325"/>
    </row>
    <row r="1187" spans="5:8">
      <c r="E1187" s="475"/>
      <c r="F1187" s="475"/>
      <c r="G1187" s="325"/>
      <c r="H1187" s="325"/>
    </row>
    <row r="1188" spans="5:8">
      <c r="E1188" s="475"/>
      <c r="F1188" s="475"/>
      <c r="G1188" s="325"/>
      <c r="H1188" s="325"/>
    </row>
    <row r="1189" spans="5:8">
      <c r="E1189" s="475"/>
      <c r="F1189" s="475"/>
      <c r="G1189" s="325"/>
      <c r="H1189" s="325"/>
    </row>
    <row r="1190" spans="5:8">
      <c r="E1190" s="475"/>
      <c r="F1190" s="475"/>
      <c r="G1190" s="325"/>
      <c r="H1190" s="325"/>
    </row>
    <row r="1191" spans="5:8">
      <c r="E1191" s="475"/>
      <c r="F1191" s="475"/>
      <c r="G1191" s="325"/>
      <c r="H1191" s="325"/>
    </row>
    <row r="1192" spans="5:8">
      <c r="E1192" s="475"/>
      <c r="F1192" s="475"/>
      <c r="G1192" s="325"/>
      <c r="H1192" s="325"/>
    </row>
    <row r="1193" spans="5:8">
      <c r="E1193" s="475"/>
      <c r="F1193" s="475"/>
      <c r="G1193" s="325"/>
      <c r="H1193" s="325"/>
    </row>
    <row r="1194" spans="5:8">
      <c r="E1194" s="475"/>
      <c r="F1194" s="475"/>
      <c r="G1194" s="325"/>
      <c r="H1194" s="325"/>
    </row>
    <row r="1195" spans="5:8">
      <c r="E1195" s="475"/>
      <c r="F1195" s="475"/>
      <c r="G1195" s="325"/>
      <c r="H1195" s="325"/>
    </row>
    <row r="1196" spans="5:8">
      <c r="E1196" s="475"/>
      <c r="F1196" s="475"/>
      <c r="G1196" s="325"/>
      <c r="H1196" s="325"/>
    </row>
    <row r="1197" spans="5:8">
      <c r="E1197" s="475"/>
      <c r="F1197" s="475"/>
      <c r="G1197" s="325"/>
      <c r="H1197" s="325"/>
    </row>
    <row r="1198" spans="5:8">
      <c r="E1198" s="475"/>
      <c r="F1198" s="475"/>
      <c r="G1198" s="325"/>
      <c r="H1198" s="325"/>
    </row>
    <row r="1199" spans="5:8">
      <c r="E1199" s="475"/>
      <c r="F1199" s="475"/>
      <c r="G1199" s="325"/>
      <c r="H1199" s="325"/>
    </row>
    <row r="1200" spans="5:8">
      <c r="E1200" s="475"/>
      <c r="F1200" s="475"/>
      <c r="G1200" s="325"/>
      <c r="H1200" s="325"/>
    </row>
    <row r="1201" spans="5:8">
      <c r="E1201" s="475"/>
      <c r="F1201" s="475"/>
      <c r="G1201" s="325"/>
      <c r="H1201" s="325"/>
    </row>
    <row r="1202" spans="5:8">
      <c r="E1202" s="475"/>
      <c r="F1202" s="475"/>
      <c r="G1202" s="325"/>
      <c r="H1202" s="325"/>
    </row>
    <row r="1203" spans="5:8">
      <c r="E1203" s="475"/>
      <c r="F1203" s="475"/>
      <c r="G1203" s="325"/>
      <c r="H1203" s="325"/>
    </row>
    <row r="1204" spans="5:8">
      <c r="E1204" s="475"/>
      <c r="F1204" s="475"/>
      <c r="G1204" s="325"/>
      <c r="H1204" s="325"/>
    </row>
    <row r="1205" spans="5:8">
      <c r="E1205" s="475"/>
      <c r="F1205" s="475"/>
      <c r="G1205" s="325"/>
      <c r="H1205" s="325"/>
    </row>
    <row r="1206" spans="5:8">
      <c r="E1206" s="475"/>
      <c r="F1206" s="475"/>
      <c r="G1206" s="325"/>
      <c r="H1206" s="325"/>
    </row>
    <row r="1207" spans="5:8">
      <c r="E1207" s="475"/>
      <c r="F1207" s="475"/>
      <c r="G1207" s="325"/>
      <c r="H1207" s="325"/>
    </row>
    <row r="1208" spans="5:8">
      <c r="E1208" s="475"/>
      <c r="F1208" s="475"/>
      <c r="G1208" s="325"/>
      <c r="H1208" s="325"/>
    </row>
    <row r="1209" spans="5:8">
      <c r="E1209" s="475"/>
      <c r="F1209" s="475"/>
      <c r="G1209" s="325"/>
      <c r="H1209" s="325"/>
    </row>
    <row r="1210" spans="5:8">
      <c r="E1210" s="475"/>
      <c r="F1210" s="475"/>
      <c r="G1210" s="325"/>
      <c r="H1210" s="325"/>
    </row>
    <row r="1211" spans="5:8">
      <c r="E1211" s="475"/>
      <c r="F1211" s="475"/>
      <c r="G1211" s="325"/>
      <c r="H1211" s="325"/>
    </row>
    <row r="1212" spans="5:8">
      <c r="E1212" s="475"/>
      <c r="F1212" s="475"/>
      <c r="G1212" s="325"/>
      <c r="H1212" s="325"/>
    </row>
    <row r="1213" spans="5:8">
      <c r="E1213" s="475"/>
      <c r="F1213" s="475"/>
      <c r="G1213" s="325"/>
      <c r="H1213" s="325"/>
    </row>
    <row r="1214" spans="5:8">
      <c r="E1214" s="475"/>
      <c r="F1214" s="475"/>
      <c r="G1214" s="325"/>
      <c r="H1214" s="325"/>
    </row>
    <row r="1215" spans="5:8">
      <c r="E1215" s="475"/>
      <c r="F1215" s="475"/>
      <c r="G1215" s="325"/>
      <c r="H1215" s="325"/>
    </row>
    <row r="1216" spans="5:8">
      <c r="E1216" s="475"/>
      <c r="F1216" s="475"/>
      <c r="G1216" s="325"/>
      <c r="H1216" s="325"/>
    </row>
    <row r="1217" spans="5:8">
      <c r="E1217" s="475"/>
      <c r="F1217" s="475"/>
      <c r="G1217" s="325"/>
      <c r="H1217" s="325"/>
    </row>
    <row r="1218" spans="5:8">
      <c r="E1218" s="475"/>
      <c r="F1218" s="475"/>
      <c r="G1218" s="325"/>
      <c r="H1218" s="325"/>
    </row>
    <row r="1219" spans="5:8">
      <c r="E1219" s="475"/>
      <c r="F1219" s="475"/>
      <c r="G1219" s="325"/>
      <c r="H1219" s="325"/>
    </row>
    <row r="1220" spans="5:8">
      <c r="E1220" s="475"/>
      <c r="F1220" s="475"/>
      <c r="G1220" s="325"/>
      <c r="H1220" s="325"/>
    </row>
    <row r="1221" spans="5:8">
      <c r="E1221" s="475"/>
      <c r="F1221" s="475"/>
      <c r="G1221" s="325"/>
      <c r="H1221" s="325"/>
    </row>
    <row r="1222" spans="5:8">
      <c r="E1222" s="475"/>
      <c r="F1222" s="475"/>
      <c r="G1222" s="325"/>
      <c r="H1222" s="325"/>
    </row>
    <row r="1223" spans="5:8">
      <c r="E1223" s="475"/>
      <c r="F1223" s="475"/>
      <c r="G1223" s="325"/>
      <c r="H1223" s="325"/>
    </row>
    <row r="1224" spans="5:8">
      <c r="E1224" s="475"/>
      <c r="F1224" s="475"/>
      <c r="G1224" s="325"/>
      <c r="H1224" s="325"/>
    </row>
    <row r="1225" spans="5:8">
      <c r="E1225" s="475"/>
      <c r="F1225" s="475"/>
      <c r="G1225" s="325"/>
      <c r="H1225" s="325"/>
    </row>
    <row r="1226" spans="5:8">
      <c r="E1226" s="475"/>
      <c r="F1226" s="475"/>
      <c r="G1226" s="325"/>
      <c r="H1226" s="325"/>
    </row>
    <row r="1227" spans="5:8">
      <c r="E1227" s="475"/>
      <c r="F1227" s="475"/>
      <c r="G1227" s="325"/>
      <c r="H1227" s="325"/>
    </row>
    <row r="1228" spans="5:8">
      <c r="E1228" s="475"/>
      <c r="F1228" s="475"/>
      <c r="G1228" s="325"/>
      <c r="H1228" s="325"/>
    </row>
    <row r="1229" spans="5:8">
      <c r="E1229" s="475"/>
      <c r="F1229" s="475"/>
      <c r="G1229" s="325"/>
      <c r="H1229" s="325"/>
    </row>
    <row r="1230" spans="5:8">
      <c r="E1230" s="475"/>
      <c r="F1230" s="475"/>
      <c r="G1230" s="325"/>
      <c r="H1230" s="325"/>
    </row>
    <row r="1231" spans="5:8">
      <c r="E1231" s="475"/>
      <c r="F1231" s="475"/>
      <c r="G1231" s="325"/>
      <c r="H1231" s="325"/>
    </row>
    <row r="1232" spans="5:8">
      <c r="E1232" s="475"/>
      <c r="F1232" s="475"/>
      <c r="G1232" s="325"/>
      <c r="H1232" s="325"/>
    </row>
    <row r="1233" spans="5:8">
      <c r="E1233" s="475"/>
      <c r="F1233" s="475"/>
      <c r="G1233" s="325"/>
      <c r="H1233" s="325"/>
    </row>
    <row r="1234" spans="5:8">
      <c r="E1234" s="475"/>
      <c r="F1234" s="475"/>
      <c r="G1234" s="325"/>
      <c r="H1234" s="325"/>
    </row>
    <row r="1235" spans="5:8">
      <c r="E1235" s="475"/>
      <c r="F1235" s="475"/>
      <c r="G1235" s="325"/>
      <c r="H1235" s="325"/>
    </row>
    <row r="1236" spans="5:8">
      <c r="E1236" s="475"/>
      <c r="F1236" s="475"/>
      <c r="G1236" s="325"/>
      <c r="H1236" s="325"/>
    </row>
    <row r="1237" spans="5:8">
      <c r="E1237" s="475"/>
      <c r="F1237" s="475"/>
      <c r="G1237" s="325"/>
      <c r="H1237" s="325"/>
    </row>
    <row r="1238" spans="5:8">
      <c r="E1238" s="475"/>
      <c r="F1238" s="475"/>
      <c r="G1238" s="325"/>
      <c r="H1238" s="325"/>
    </row>
    <row r="1239" spans="5:8">
      <c r="E1239" s="475"/>
      <c r="F1239" s="475"/>
      <c r="G1239" s="325"/>
      <c r="H1239" s="325"/>
    </row>
    <row r="1240" spans="5:8">
      <c r="E1240" s="475"/>
      <c r="F1240" s="475"/>
      <c r="G1240" s="325"/>
      <c r="H1240" s="325"/>
    </row>
    <row r="1241" spans="5:8">
      <c r="E1241" s="475"/>
      <c r="F1241" s="475"/>
      <c r="G1241" s="325"/>
      <c r="H1241" s="325"/>
    </row>
    <row r="1242" spans="5:8">
      <c r="E1242" s="475"/>
      <c r="F1242" s="475"/>
      <c r="G1242" s="325"/>
      <c r="H1242" s="325"/>
    </row>
    <row r="1243" spans="5:8">
      <c r="E1243" s="475"/>
      <c r="F1243" s="475"/>
      <c r="G1243" s="325"/>
      <c r="H1243" s="325"/>
    </row>
    <row r="1244" spans="5:8">
      <c r="E1244" s="475"/>
      <c r="F1244" s="475"/>
      <c r="G1244" s="325"/>
      <c r="H1244" s="325"/>
    </row>
    <row r="1245" spans="5:8">
      <c r="E1245" s="475"/>
      <c r="F1245" s="475"/>
      <c r="G1245" s="325"/>
      <c r="H1245" s="325"/>
    </row>
    <row r="1246" spans="5:8">
      <c r="E1246" s="475"/>
      <c r="F1246" s="475"/>
      <c r="G1246" s="325"/>
      <c r="H1246" s="325"/>
    </row>
    <row r="1247" spans="5:8">
      <c r="E1247" s="475"/>
      <c r="F1247" s="475"/>
      <c r="G1247" s="325"/>
      <c r="H1247" s="325"/>
    </row>
    <row r="1248" spans="5:8">
      <c r="E1248" s="475"/>
      <c r="F1248" s="475"/>
      <c r="G1248" s="325"/>
      <c r="H1248" s="325"/>
    </row>
    <row r="1249" spans="5:8">
      <c r="E1249" s="475"/>
      <c r="F1249" s="475"/>
      <c r="G1249" s="325"/>
      <c r="H1249" s="325"/>
    </row>
    <row r="1250" spans="5:8">
      <c r="E1250" s="475"/>
      <c r="F1250" s="475"/>
      <c r="G1250" s="325"/>
      <c r="H1250" s="325"/>
    </row>
    <row r="1251" spans="5:8">
      <c r="E1251" s="475"/>
      <c r="F1251" s="475"/>
      <c r="G1251" s="325"/>
      <c r="H1251" s="325"/>
    </row>
    <row r="1252" spans="5:8">
      <c r="E1252" s="475"/>
      <c r="F1252" s="475"/>
      <c r="G1252" s="325"/>
      <c r="H1252" s="325"/>
    </row>
    <row r="1253" spans="5:8">
      <c r="E1253" s="475"/>
      <c r="F1253" s="475"/>
      <c r="G1253" s="325"/>
      <c r="H1253" s="325"/>
    </row>
    <row r="1254" spans="5:8">
      <c r="E1254" s="475"/>
      <c r="F1254" s="475"/>
      <c r="G1254" s="325"/>
      <c r="H1254" s="325"/>
    </row>
    <row r="1255" spans="5:8">
      <c r="E1255" s="475"/>
      <c r="F1255" s="475"/>
      <c r="G1255" s="325"/>
      <c r="H1255" s="325"/>
    </row>
    <row r="1256" spans="5:8">
      <c r="E1256" s="475"/>
      <c r="F1256" s="475"/>
      <c r="G1256" s="325"/>
      <c r="H1256" s="325"/>
    </row>
    <row r="1257" spans="5:8">
      <c r="E1257" s="475"/>
      <c r="F1257" s="475"/>
      <c r="G1257" s="325"/>
      <c r="H1257" s="325"/>
    </row>
    <row r="1258" spans="5:8">
      <c r="E1258" s="475"/>
      <c r="F1258" s="475"/>
      <c r="G1258" s="325"/>
      <c r="H1258" s="325"/>
    </row>
    <row r="1259" spans="5:8">
      <c r="E1259" s="475"/>
      <c r="F1259" s="475"/>
      <c r="G1259" s="325"/>
      <c r="H1259" s="325"/>
    </row>
    <row r="1260" spans="5:8">
      <c r="E1260" s="475"/>
      <c r="F1260" s="475"/>
      <c r="G1260" s="325"/>
      <c r="H1260" s="325"/>
    </row>
    <row r="1261" spans="5:8">
      <c r="E1261" s="475"/>
      <c r="F1261" s="475"/>
      <c r="G1261" s="325"/>
      <c r="H1261" s="325"/>
    </row>
    <row r="1262" spans="5:8">
      <c r="E1262" s="475"/>
      <c r="F1262" s="475"/>
      <c r="G1262" s="325"/>
      <c r="H1262" s="325"/>
    </row>
    <row r="1263" spans="5:8">
      <c r="E1263" s="475"/>
      <c r="F1263" s="475"/>
      <c r="G1263" s="325"/>
      <c r="H1263" s="325"/>
    </row>
    <row r="1264" spans="5:8">
      <c r="E1264" s="475"/>
      <c r="F1264" s="475"/>
      <c r="G1264" s="325"/>
      <c r="H1264" s="325"/>
    </row>
    <row r="1265" spans="5:8">
      <c r="E1265" s="475"/>
      <c r="F1265" s="475"/>
      <c r="G1265" s="325"/>
      <c r="H1265" s="325"/>
    </row>
    <row r="1266" spans="5:8">
      <c r="E1266" s="475"/>
      <c r="F1266" s="475"/>
      <c r="G1266" s="325"/>
      <c r="H1266" s="325"/>
    </row>
    <row r="1267" spans="5:8">
      <c r="E1267" s="475"/>
      <c r="F1267" s="475"/>
      <c r="G1267" s="325"/>
      <c r="H1267" s="325"/>
    </row>
    <row r="1268" spans="5:8">
      <c r="E1268" s="475"/>
      <c r="F1268" s="475"/>
      <c r="G1268" s="325"/>
      <c r="H1268" s="325"/>
    </row>
    <row r="1269" spans="5:8">
      <c r="E1269" s="475"/>
      <c r="F1269" s="475"/>
      <c r="G1269" s="325"/>
      <c r="H1269" s="325"/>
    </row>
    <row r="1270" spans="5:8">
      <c r="E1270" s="475"/>
      <c r="F1270" s="475"/>
      <c r="G1270" s="325"/>
      <c r="H1270" s="325"/>
    </row>
    <row r="1271" spans="5:8">
      <c r="E1271" s="475"/>
      <c r="F1271" s="475"/>
      <c r="G1271" s="325"/>
      <c r="H1271" s="325"/>
    </row>
    <row r="1272" spans="5:8">
      <c r="E1272" s="475"/>
      <c r="F1272" s="475"/>
      <c r="G1272" s="325"/>
      <c r="H1272" s="325"/>
    </row>
    <row r="1273" spans="5:8">
      <c r="E1273" s="475"/>
      <c r="F1273" s="475"/>
      <c r="G1273" s="325"/>
      <c r="H1273" s="325"/>
    </row>
    <row r="1274" spans="5:8">
      <c r="E1274" s="475"/>
      <c r="F1274" s="475"/>
      <c r="G1274" s="325"/>
      <c r="H1274" s="325"/>
    </row>
    <row r="1275" spans="5:8">
      <c r="E1275" s="475"/>
      <c r="F1275" s="475"/>
      <c r="G1275" s="325"/>
      <c r="H1275" s="325"/>
    </row>
    <row r="1276" spans="5:8">
      <c r="E1276" s="475"/>
      <c r="F1276" s="475"/>
      <c r="G1276" s="325"/>
      <c r="H1276" s="325"/>
    </row>
    <row r="1277" spans="5:8">
      <c r="E1277" s="475"/>
      <c r="F1277" s="475"/>
      <c r="G1277" s="325"/>
      <c r="H1277" s="325"/>
    </row>
    <row r="1278" spans="5:8">
      <c r="E1278" s="475"/>
      <c r="F1278" s="475"/>
      <c r="G1278" s="325"/>
      <c r="H1278" s="325"/>
    </row>
    <row r="1279" spans="5:8">
      <c r="E1279" s="475"/>
      <c r="F1279" s="475"/>
      <c r="G1279" s="325"/>
      <c r="H1279" s="325"/>
    </row>
    <row r="1280" spans="5:8">
      <c r="E1280" s="475"/>
      <c r="F1280" s="475"/>
      <c r="G1280" s="325"/>
      <c r="H1280" s="325"/>
    </row>
    <row r="1281" spans="5:8">
      <c r="E1281" s="475"/>
      <c r="F1281" s="475"/>
      <c r="G1281" s="325"/>
      <c r="H1281" s="325"/>
    </row>
    <row r="1282" spans="5:8">
      <c r="E1282" s="475"/>
      <c r="F1282" s="475"/>
      <c r="G1282" s="325"/>
      <c r="H1282" s="325"/>
    </row>
    <row r="1283" spans="5:8">
      <c r="E1283" s="475"/>
      <c r="F1283" s="475"/>
      <c r="G1283" s="325"/>
      <c r="H1283" s="325"/>
    </row>
    <row r="1284" spans="5:8">
      <c r="E1284" s="475"/>
      <c r="F1284" s="475"/>
      <c r="G1284" s="325"/>
      <c r="H1284" s="325"/>
    </row>
    <row r="1285" spans="5:8">
      <c r="E1285" s="475"/>
      <c r="F1285" s="475"/>
      <c r="G1285" s="325"/>
      <c r="H1285" s="325"/>
    </row>
    <row r="1286" spans="5:8">
      <c r="E1286" s="475"/>
      <c r="F1286" s="475"/>
      <c r="G1286" s="325"/>
      <c r="H1286" s="325"/>
    </row>
    <row r="1287" spans="5:8">
      <c r="E1287" s="475"/>
      <c r="F1287" s="475"/>
      <c r="G1287" s="325"/>
      <c r="H1287" s="325"/>
    </row>
    <row r="1288" spans="5:8">
      <c r="E1288" s="475"/>
      <c r="F1288" s="475"/>
      <c r="G1288" s="325"/>
      <c r="H1288" s="325"/>
    </row>
    <row r="1289" spans="5:8">
      <c r="E1289" s="475"/>
      <c r="F1289" s="475"/>
      <c r="G1289" s="325"/>
      <c r="H1289" s="325"/>
    </row>
    <row r="1290" spans="5:8">
      <c r="E1290" s="475"/>
      <c r="F1290" s="475"/>
      <c r="G1290" s="325"/>
      <c r="H1290" s="325"/>
    </row>
    <row r="1291" spans="5:8">
      <c r="E1291" s="475"/>
      <c r="F1291" s="475"/>
      <c r="G1291" s="325"/>
      <c r="H1291" s="325"/>
    </row>
    <row r="1292" spans="5:8">
      <c r="E1292" s="475"/>
      <c r="F1292" s="475"/>
      <c r="G1292" s="325"/>
      <c r="H1292" s="325"/>
    </row>
    <row r="1293" spans="5:8">
      <c r="E1293" s="475"/>
      <c r="F1293" s="475"/>
      <c r="G1293" s="325"/>
      <c r="H1293" s="325"/>
    </row>
    <row r="1294" spans="5:8">
      <c r="E1294" s="475"/>
      <c r="F1294" s="475"/>
      <c r="G1294" s="325"/>
      <c r="H1294" s="325"/>
    </row>
    <row r="1295" spans="5:8">
      <c r="E1295" s="475"/>
      <c r="F1295" s="475"/>
      <c r="G1295" s="325"/>
      <c r="H1295" s="325"/>
    </row>
    <row r="1296" spans="5:8">
      <c r="E1296" s="475"/>
      <c r="F1296" s="475"/>
      <c r="G1296" s="325"/>
      <c r="H1296" s="325"/>
    </row>
    <row r="1297" spans="5:8">
      <c r="E1297" s="475"/>
      <c r="F1297" s="475"/>
      <c r="G1297" s="325"/>
      <c r="H1297" s="325"/>
    </row>
    <row r="1298" spans="5:8">
      <c r="E1298" s="475"/>
      <c r="F1298" s="475"/>
      <c r="G1298" s="325"/>
      <c r="H1298" s="325"/>
    </row>
    <row r="1299" spans="5:8">
      <c r="E1299" s="475"/>
      <c r="F1299" s="475"/>
      <c r="G1299" s="325"/>
      <c r="H1299" s="325"/>
    </row>
    <row r="1300" spans="5:8">
      <c r="E1300" s="475"/>
      <c r="F1300" s="475"/>
      <c r="G1300" s="325"/>
      <c r="H1300" s="325"/>
    </row>
    <row r="1301" spans="5:8">
      <c r="E1301" s="475"/>
      <c r="F1301" s="475"/>
      <c r="G1301" s="325"/>
      <c r="H1301" s="325"/>
    </row>
    <row r="1302" spans="5:8">
      <c r="E1302" s="475"/>
      <c r="F1302" s="475"/>
      <c r="G1302" s="325"/>
      <c r="H1302" s="325"/>
    </row>
    <row r="1303" spans="5:8">
      <c r="E1303" s="475"/>
      <c r="F1303" s="475"/>
      <c r="G1303" s="325"/>
      <c r="H1303" s="325"/>
    </row>
    <row r="1304" spans="5:8">
      <c r="E1304" s="475"/>
      <c r="F1304" s="475"/>
      <c r="G1304" s="325"/>
      <c r="H1304" s="325"/>
    </row>
    <row r="1305" spans="5:8">
      <c r="E1305" s="475"/>
      <c r="F1305" s="475"/>
      <c r="G1305" s="325"/>
      <c r="H1305" s="325"/>
    </row>
    <row r="1306" spans="5:8">
      <c r="E1306" s="475"/>
      <c r="F1306" s="475"/>
      <c r="G1306" s="325"/>
      <c r="H1306" s="325"/>
    </row>
    <row r="1307" spans="5:8">
      <c r="E1307" s="475"/>
      <c r="F1307" s="475"/>
      <c r="G1307" s="325"/>
      <c r="H1307" s="325"/>
    </row>
    <row r="1308" spans="5:8">
      <c r="E1308" s="475"/>
      <c r="F1308" s="475"/>
      <c r="G1308" s="325"/>
      <c r="H1308" s="325"/>
    </row>
    <row r="1309" spans="5:8">
      <c r="E1309" s="475"/>
      <c r="F1309" s="475"/>
      <c r="G1309" s="325"/>
      <c r="H1309" s="325"/>
    </row>
    <row r="1310" spans="5:8">
      <c r="E1310" s="475"/>
      <c r="F1310" s="475"/>
      <c r="G1310" s="325"/>
      <c r="H1310" s="325"/>
    </row>
    <row r="1311" spans="5:8">
      <c r="E1311" s="475"/>
      <c r="F1311" s="475"/>
      <c r="G1311" s="325"/>
      <c r="H1311" s="325"/>
    </row>
    <row r="1312" spans="5:8">
      <c r="E1312" s="475"/>
      <c r="F1312" s="475"/>
      <c r="G1312" s="325"/>
      <c r="H1312" s="325"/>
    </row>
    <row r="1313" spans="5:8">
      <c r="E1313" s="475"/>
      <c r="F1313" s="475"/>
      <c r="G1313" s="325"/>
      <c r="H1313" s="325"/>
    </row>
    <row r="1314" spans="5:8">
      <c r="E1314" s="475"/>
      <c r="F1314" s="475"/>
      <c r="G1314" s="325"/>
      <c r="H1314" s="325"/>
    </row>
    <row r="1315" spans="5:8">
      <c r="E1315" s="475"/>
      <c r="F1315" s="475"/>
      <c r="G1315" s="325"/>
      <c r="H1315" s="325"/>
    </row>
    <row r="1316" spans="5:8">
      <c r="E1316" s="475"/>
      <c r="F1316" s="475"/>
      <c r="G1316" s="325"/>
      <c r="H1316" s="325"/>
    </row>
    <row r="1317" spans="5:8">
      <c r="E1317" s="475"/>
      <c r="F1317" s="475"/>
      <c r="G1317" s="325"/>
      <c r="H1317" s="325"/>
    </row>
    <row r="1318" spans="5:8">
      <c r="E1318" s="475"/>
      <c r="F1318" s="475"/>
      <c r="G1318" s="325"/>
      <c r="H1318" s="325"/>
    </row>
    <row r="1319" spans="5:8">
      <c r="E1319" s="475"/>
      <c r="F1319" s="475"/>
      <c r="G1319" s="325"/>
      <c r="H1319" s="325"/>
    </row>
    <row r="1320" spans="5:8">
      <c r="E1320" s="475"/>
      <c r="F1320" s="475"/>
      <c r="G1320" s="325"/>
      <c r="H1320" s="325"/>
    </row>
    <row r="1321" spans="5:8">
      <c r="E1321" s="475"/>
      <c r="F1321" s="475"/>
      <c r="G1321" s="325"/>
      <c r="H1321" s="325"/>
    </row>
    <row r="1322" spans="5:8">
      <c r="E1322" s="475"/>
      <c r="F1322" s="475"/>
      <c r="G1322" s="325"/>
      <c r="H1322" s="325"/>
    </row>
    <row r="1323" spans="5:8">
      <c r="E1323" s="475"/>
      <c r="F1323" s="475"/>
      <c r="G1323" s="325"/>
      <c r="H1323" s="325"/>
    </row>
    <row r="1324" spans="5:8">
      <c r="E1324" s="475"/>
      <c r="F1324" s="475"/>
      <c r="G1324" s="325"/>
      <c r="H1324" s="325"/>
    </row>
    <row r="1325" spans="5:8">
      <c r="E1325" s="475"/>
      <c r="F1325" s="475"/>
      <c r="G1325" s="325"/>
      <c r="H1325" s="325"/>
    </row>
    <row r="1326" spans="5:8">
      <c r="E1326" s="475"/>
      <c r="F1326" s="475"/>
      <c r="G1326" s="325"/>
      <c r="H1326" s="325"/>
    </row>
    <row r="1327" spans="5:8">
      <c r="E1327" s="475"/>
      <c r="F1327" s="475"/>
      <c r="G1327" s="325"/>
      <c r="H1327" s="325"/>
    </row>
    <row r="1328" spans="5:8">
      <c r="E1328" s="475"/>
      <c r="F1328" s="475"/>
      <c r="G1328" s="325"/>
      <c r="H1328" s="325"/>
    </row>
    <row r="1329" spans="5:8">
      <c r="E1329" s="475"/>
      <c r="F1329" s="475"/>
      <c r="G1329" s="325"/>
      <c r="H1329" s="325"/>
    </row>
    <row r="1330" spans="5:8">
      <c r="E1330" s="475"/>
      <c r="F1330" s="475"/>
      <c r="G1330" s="325"/>
      <c r="H1330" s="325"/>
    </row>
    <row r="1331" spans="5:8">
      <c r="E1331" s="475"/>
      <c r="F1331" s="475"/>
      <c r="G1331" s="325"/>
      <c r="H1331" s="325"/>
    </row>
    <row r="1332" spans="5:8">
      <c r="E1332" s="475"/>
      <c r="F1332" s="475"/>
      <c r="G1332" s="325"/>
      <c r="H1332" s="325"/>
    </row>
    <row r="1333" spans="5:8">
      <c r="E1333" s="475"/>
      <c r="F1333" s="475"/>
      <c r="G1333" s="325"/>
      <c r="H1333" s="325"/>
    </row>
    <row r="1334" spans="5:8">
      <c r="E1334" s="475"/>
      <c r="F1334" s="475"/>
      <c r="G1334" s="325"/>
      <c r="H1334" s="325"/>
    </row>
    <row r="1335" spans="5:8">
      <c r="E1335" s="475"/>
      <c r="F1335" s="475"/>
      <c r="G1335" s="325"/>
      <c r="H1335" s="325"/>
    </row>
    <row r="1336" spans="5:8">
      <c r="E1336" s="475"/>
      <c r="F1336" s="475"/>
      <c r="G1336" s="325"/>
      <c r="H1336" s="325"/>
    </row>
    <row r="1337" spans="5:8">
      <c r="E1337" s="475"/>
      <c r="F1337" s="475"/>
      <c r="G1337" s="325"/>
      <c r="H1337" s="325"/>
    </row>
    <row r="1338" spans="5:8">
      <c r="E1338" s="475"/>
      <c r="F1338" s="475"/>
      <c r="G1338" s="325"/>
      <c r="H1338" s="325"/>
    </row>
    <row r="1339" spans="5:8">
      <c r="E1339" s="475"/>
      <c r="F1339" s="475"/>
      <c r="G1339" s="325"/>
      <c r="H1339" s="325"/>
    </row>
    <row r="1340" spans="5:8">
      <c r="E1340" s="475"/>
      <c r="F1340" s="475"/>
      <c r="G1340" s="325"/>
      <c r="H1340" s="325"/>
    </row>
    <row r="1341" spans="5:8">
      <c r="E1341" s="475"/>
      <c r="F1341" s="475"/>
      <c r="G1341" s="325"/>
      <c r="H1341" s="325"/>
    </row>
    <row r="1342" spans="5:8">
      <c r="E1342" s="475"/>
      <c r="F1342" s="475"/>
      <c r="G1342" s="325"/>
      <c r="H1342" s="325"/>
    </row>
    <row r="1343" spans="5:8">
      <c r="E1343" s="475"/>
      <c r="F1343" s="475"/>
      <c r="G1343" s="325"/>
      <c r="H1343" s="325"/>
    </row>
    <row r="1344" spans="5:8">
      <c r="E1344" s="475"/>
      <c r="F1344" s="475"/>
      <c r="G1344" s="325"/>
      <c r="H1344" s="325"/>
    </row>
    <row r="1345" spans="5:8">
      <c r="E1345" s="475"/>
      <c r="F1345" s="475"/>
      <c r="G1345" s="325"/>
      <c r="H1345" s="325"/>
    </row>
    <row r="1346" spans="5:8">
      <c r="E1346" s="475"/>
      <c r="F1346" s="475"/>
      <c r="G1346" s="325"/>
      <c r="H1346" s="325"/>
    </row>
    <row r="1347" spans="5:8">
      <c r="E1347" s="475"/>
      <c r="F1347" s="475"/>
      <c r="G1347" s="325"/>
      <c r="H1347" s="325"/>
    </row>
    <row r="1348" spans="5:8">
      <c r="E1348" s="475"/>
      <c r="F1348" s="475"/>
      <c r="G1348" s="325"/>
      <c r="H1348" s="325"/>
    </row>
    <row r="1349" spans="5:8">
      <c r="E1349" s="475"/>
      <c r="F1349" s="475"/>
      <c r="G1349" s="325"/>
      <c r="H1349" s="325"/>
    </row>
    <row r="1350" spans="5:8">
      <c r="E1350" s="475"/>
      <c r="F1350" s="475"/>
      <c r="G1350" s="325"/>
      <c r="H1350" s="325"/>
    </row>
    <row r="1351" spans="5:8">
      <c r="E1351" s="475"/>
      <c r="F1351" s="475"/>
      <c r="G1351" s="325"/>
      <c r="H1351" s="325"/>
    </row>
    <row r="1352" spans="5:8">
      <c r="E1352" s="475"/>
      <c r="F1352" s="475"/>
      <c r="G1352" s="325"/>
      <c r="H1352" s="325"/>
    </row>
    <row r="1353" spans="5:8">
      <c r="E1353" s="475"/>
      <c r="F1353" s="475"/>
      <c r="G1353" s="325"/>
      <c r="H1353" s="325"/>
    </row>
    <row r="1354" spans="5:8">
      <c r="E1354" s="475"/>
      <c r="F1354" s="475"/>
      <c r="G1354" s="325"/>
      <c r="H1354" s="325"/>
    </row>
    <row r="1355" spans="5:8">
      <c r="E1355" s="475"/>
      <c r="F1355" s="475"/>
      <c r="G1355" s="325"/>
      <c r="H1355" s="325"/>
    </row>
    <row r="1356" spans="5:8">
      <c r="E1356" s="475"/>
      <c r="F1356" s="475"/>
      <c r="G1356" s="325"/>
      <c r="H1356" s="325"/>
    </row>
    <row r="1357" spans="5:8">
      <c r="E1357" s="475"/>
      <c r="F1357" s="475"/>
      <c r="G1357" s="325"/>
      <c r="H1357" s="325"/>
    </row>
    <row r="1358" spans="5:8">
      <c r="E1358" s="475"/>
      <c r="F1358" s="475"/>
      <c r="G1358" s="325"/>
      <c r="H1358" s="325"/>
    </row>
    <row r="1359" spans="5:8">
      <c r="E1359" s="475"/>
      <c r="F1359" s="475"/>
      <c r="G1359" s="325"/>
      <c r="H1359" s="325"/>
    </row>
    <row r="1360" spans="5:8">
      <c r="E1360" s="475"/>
      <c r="F1360" s="475"/>
      <c r="G1360" s="325"/>
      <c r="H1360" s="325"/>
    </row>
    <row r="1361" spans="5:8">
      <c r="E1361" s="475"/>
      <c r="F1361" s="475"/>
      <c r="G1361" s="325"/>
      <c r="H1361" s="325"/>
    </row>
    <row r="1362" spans="5:8">
      <c r="E1362" s="475"/>
      <c r="F1362" s="475"/>
      <c r="G1362" s="325"/>
      <c r="H1362" s="325"/>
    </row>
    <row r="1363" spans="5:8">
      <c r="E1363" s="475"/>
      <c r="F1363" s="475"/>
      <c r="G1363" s="325"/>
      <c r="H1363" s="325"/>
    </row>
    <row r="1364" spans="5:8">
      <c r="E1364" s="475"/>
      <c r="F1364" s="475"/>
      <c r="G1364" s="325"/>
      <c r="H1364" s="325"/>
    </row>
    <row r="1365" spans="5:8">
      <c r="E1365" s="475"/>
      <c r="F1365" s="475"/>
      <c r="G1365" s="325"/>
      <c r="H1365" s="325"/>
    </row>
    <row r="1366" spans="5:8">
      <c r="E1366" s="475"/>
      <c r="F1366" s="475"/>
      <c r="G1366" s="325"/>
      <c r="H1366" s="325"/>
    </row>
    <row r="1367" spans="5:8">
      <c r="E1367" s="475"/>
      <c r="F1367" s="475"/>
      <c r="G1367" s="325"/>
      <c r="H1367" s="325"/>
    </row>
    <row r="1368" spans="5:8">
      <c r="E1368" s="475"/>
      <c r="F1368" s="475"/>
      <c r="G1368" s="325"/>
      <c r="H1368" s="325"/>
    </row>
    <row r="1369" spans="5:8">
      <c r="E1369" s="475"/>
      <c r="F1369" s="475"/>
      <c r="G1369" s="325"/>
      <c r="H1369" s="325"/>
    </row>
    <row r="1370" spans="5:8">
      <c r="E1370" s="475"/>
      <c r="F1370" s="475"/>
      <c r="G1370" s="325"/>
      <c r="H1370" s="325"/>
    </row>
    <row r="1371" spans="5:8">
      <c r="E1371" s="475"/>
      <c r="F1371" s="475"/>
      <c r="G1371" s="325"/>
      <c r="H1371" s="325"/>
    </row>
    <row r="1372" spans="5:8">
      <c r="E1372" s="475"/>
      <c r="F1372" s="475"/>
      <c r="G1372" s="325"/>
      <c r="H1372" s="325"/>
    </row>
    <row r="1373" spans="5:8">
      <c r="E1373" s="475"/>
      <c r="F1373" s="475"/>
      <c r="G1373" s="325"/>
      <c r="H1373" s="325"/>
    </row>
    <row r="1374" spans="5:8">
      <c r="E1374" s="475"/>
      <c r="F1374" s="475"/>
      <c r="G1374" s="325"/>
      <c r="H1374" s="325"/>
    </row>
    <row r="1375" spans="5:8">
      <c r="E1375" s="475"/>
      <c r="F1375" s="475"/>
      <c r="G1375" s="325"/>
      <c r="H1375" s="325"/>
    </row>
    <row r="1376" spans="5:8">
      <c r="E1376" s="475"/>
      <c r="F1376" s="475"/>
      <c r="G1376" s="325"/>
      <c r="H1376" s="325"/>
    </row>
    <row r="1377" spans="5:8">
      <c r="E1377" s="475"/>
      <c r="F1377" s="475"/>
      <c r="G1377" s="325"/>
      <c r="H1377" s="325"/>
    </row>
    <row r="1378" spans="5:8">
      <c r="E1378" s="475"/>
      <c r="F1378" s="475"/>
      <c r="G1378" s="325"/>
      <c r="H1378" s="325"/>
    </row>
    <row r="1379" spans="5:8">
      <c r="E1379" s="475"/>
      <c r="F1379" s="475"/>
      <c r="G1379" s="325"/>
      <c r="H1379" s="325"/>
    </row>
    <row r="1380" spans="5:8">
      <c r="E1380" s="475"/>
      <c r="F1380" s="475"/>
      <c r="G1380" s="325"/>
      <c r="H1380" s="325"/>
    </row>
    <row r="1381" spans="5:8">
      <c r="E1381" s="475"/>
      <c r="F1381" s="475"/>
      <c r="G1381" s="325"/>
      <c r="H1381" s="325"/>
    </row>
    <row r="1382" spans="5:8">
      <c r="E1382" s="475"/>
      <c r="F1382" s="475"/>
      <c r="G1382" s="325"/>
      <c r="H1382" s="325"/>
    </row>
    <row r="1383" spans="5:8">
      <c r="E1383" s="475"/>
      <c r="F1383" s="475"/>
      <c r="G1383" s="325"/>
      <c r="H1383" s="325"/>
    </row>
    <row r="1384" spans="5:8">
      <c r="E1384" s="475"/>
      <c r="F1384" s="475"/>
      <c r="G1384" s="325"/>
      <c r="H1384" s="325"/>
    </row>
    <row r="1385" spans="5:8">
      <c r="E1385" s="475"/>
      <c r="F1385" s="475"/>
      <c r="G1385" s="325"/>
      <c r="H1385" s="325"/>
    </row>
    <row r="1386" spans="5:8">
      <c r="E1386" s="475"/>
      <c r="F1386" s="475"/>
      <c r="G1386" s="325"/>
      <c r="H1386" s="325"/>
    </row>
    <row r="1387" spans="5:8">
      <c r="E1387" s="475"/>
      <c r="F1387" s="475"/>
      <c r="G1387" s="325"/>
      <c r="H1387" s="325"/>
    </row>
    <row r="1388" spans="5:8">
      <c r="E1388" s="475"/>
      <c r="F1388" s="475"/>
      <c r="G1388" s="325"/>
      <c r="H1388" s="325"/>
    </row>
    <row r="1389" spans="5:8">
      <c r="E1389" s="475"/>
      <c r="F1389" s="475"/>
      <c r="G1389" s="325"/>
      <c r="H1389" s="325"/>
    </row>
    <row r="1390" spans="5:8">
      <c r="E1390" s="475"/>
      <c r="F1390" s="475"/>
      <c r="G1390" s="325"/>
      <c r="H1390" s="325"/>
    </row>
    <row r="1391" spans="5:8">
      <c r="E1391" s="475"/>
      <c r="F1391" s="475"/>
      <c r="G1391" s="325"/>
      <c r="H1391" s="325"/>
    </row>
    <row r="1392" spans="5:8">
      <c r="E1392" s="475"/>
      <c r="F1392" s="475"/>
      <c r="G1392" s="325"/>
      <c r="H1392" s="325"/>
    </row>
    <row r="1393" spans="5:8">
      <c r="E1393" s="475"/>
      <c r="F1393" s="475"/>
      <c r="G1393" s="325"/>
      <c r="H1393" s="325"/>
    </row>
    <row r="1394" spans="5:8">
      <c r="E1394" s="475"/>
      <c r="F1394" s="475"/>
      <c r="G1394" s="325"/>
      <c r="H1394" s="325"/>
    </row>
    <row r="1395" spans="5:8">
      <c r="E1395" s="475"/>
      <c r="F1395" s="475"/>
      <c r="G1395" s="325"/>
      <c r="H1395" s="325"/>
    </row>
    <row r="1396" spans="5:8">
      <c r="E1396" s="475"/>
      <c r="F1396" s="475"/>
      <c r="G1396" s="325"/>
      <c r="H1396" s="325"/>
    </row>
    <row r="1397" spans="5:8">
      <c r="E1397" s="475"/>
      <c r="F1397" s="475"/>
      <c r="G1397" s="325"/>
      <c r="H1397" s="325"/>
    </row>
    <row r="1398" spans="5:8">
      <c r="E1398" s="475"/>
      <c r="F1398" s="475"/>
      <c r="G1398" s="325"/>
      <c r="H1398" s="325"/>
    </row>
    <row r="1399" spans="5:8">
      <c r="E1399" s="475"/>
      <c r="F1399" s="475"/>
      <c r="G1399" s="325"/>
      <c r="H1399" s="325"/>
    </row>
    <row r="1400" spans="5:8">
      <c r="E1400" s="475"/>
      <c r="F1400" s="475"/>
      <c r="G1400" s="325"/>
      <c r="H1400" s="325"/>
    </row>
    <row r="1401" spans="5:8">
      <c r="E1401" s="475"/>
      <c r="F1401" s="475"/>
      <c r="G1401" s="325"/>
      <c r="H1401" s="325"/>
    </row>
    <row r="1402" spans="5:8">
      <c r="E1402" s="475"/>
      <c r="F1402" s="475"/>
      <c r="G1402" s="325"/>
      <c r="H1402" s="325"/>
    </row>
    <row r="1403" spans="5:8">
      <c r="E1403" s="475"/>
      <c r="F1403" s="475"/>
      <c r="G1403" s="325"/>
      <c r="H1403" s="325"/>
    </row>
    <row r="1404" spans="5:8">
      <c r="E1404" s="475"/>
      <c r="F1404" s="475"/>
      <c r="G1404" s="325"/>
      <c r="H1404" s="325"/>
    </row>
    <row r="1405" spans="5:8">
      <c r="E1405" s="475"/>
      <c r="F1405" s="475"/>
      <c r="G1405" s="325"/>
      <c r="H1405" s="325"/>
    </row>
    <row r="1406" spans="5:8">
      <c r="E1406" s="475"/>
      <c r="F1406" s="475"/>
      <c r="G1406" s="325"/>
      <c r="H1406" s="325"/>
    </row>
    <row r="1407" spans="5:8">
      <c r="E1407" s="475"/>
      <c r="F1407" s="475"/>
      <c r="G1407" s="325"/>
      <c r="H1407" s="325"/>
    </row>
    <row r="1408" spans="5:8">
      <c r="E1408" s="475"/>
      <c r="F1408" s="475"/>
      <c r="G1408" s="325"/>
      <c r="H1408" s="325"/>
    </row>
    <row r="1409" spans="5:8">
      <c r="E1409" s="475"/>
      <c r="F1409" s="475"/>
      <c r="G1409" s="325"/>
      <c r="H1409" s="325"/>
    </row>
    <row r="1410" spans="5:8">
      <c r="E1410" s="475"/>
      <c r="F1410" s="475"/>
      <c r="G1410" s="325"/>
      <c r="H1410" s="325"/>
    </row>
    <row r="1411" spans="5:8">
      <c r="E1411" s="475"/>
      <c r="F1411" s="475"/>
      <c r="G1411" s="325"/>
      <c r="H1411" s="325"/>
    </row>
    <row r="1412" spans="5:8">
      <c r="E1412" s="475"/>
      <c r="F1412" s="475"/>
      <c r="G1412" s="325"/>
      <c r="H1412" s="325"/>
    </row>
    <row r="1413" spans="5:8">
      <c r="E1413" s="475"/>
      <c r="F1413" s="475"/>
      <c r="G1413" s="325"/>
      <c r="H1413" s="325"/>
    </row>
    <row r="1414" spans="5:8">
      <c r="E1414" s="475"/>
      <c r="F1414" s="475"/>
      <c r="G1414" s="325"/>
      <c r="H1414" s="325"/>
    </row>
    <row r="1415" spans="5:8">
      <c r="E1415" s="475"/>
      <c r="F1415" s="475"/>
      <c r="G1415" s="325"/>
      <c r="H1415" s="325"/>
    </row>
    <row r="1416" spans="5:8">
      <c r="E1416" s="475"/>
      <c r="F1416" s="475"/>
      <c r="G1416" s="325"/>
      <c r="H1416" s="325"/>
    </row>
    <row r="1417" spans="5:8">
      <c r="E1417" s="475"/>
      <c r="F1417" s="475"/>
      <c r="G1417" s="325"/>
      <c r="H1417" s="325"/>
    </row>
    <row r="1418" spans="5:8">
      <c r="E1418" s="475"/>
      <c r="F1418" s="475"/>
      <c r="G1418" s="325"/>
      <c r="H1418" s="325"/>
    </row>
    <row r="1419" spans="5:8">
      <c r="E1419" s="475"/>
      <c r="F1419" s="475"/>
      <c r="G1419" s="325"/>
      <c r="H1419" s="325"/>
    </row>
    <row r="1420" spans="5:8">
      <c r="E1420" s="475"/>
      <c r="F1420" s="475"/>
      <c r="G1420" s="325"/>
      <c r="H1420" s="325"/>
    </row>
    <row r="1421" spans="5:8">
      <c r="E1421" s="475"/>
      <c r="F1421" s="475"/>
      <c r="G1421" s="325"/>
      <c r="H1421" s="325"/>
    </row>
    <row r="1422" spans="5:8">
      <c r="E1422" s="475"/>
      <c r="F1422" s="475"/>
      <c r="G1422" s="325"/>
      <c r="H1422" s="325"/>
    </row>
    <row r="1423" spans="5:8">
      <c r="E1423" s="475"/>
      <c r="F1423" s="475"/>
      <c r="G1423" s="325"/>
      <c r="H1423" s="325"/>
    </row>
    <row r="1424" spans="5:8">
      <c r="E1424" s="475"/>
      <c r="F1424" s="475"/>
      <c r="G1424" s="325"/>
      <c r="H1424" s="325"/>
    </row>
    <row r="1425" spans="5:8">
      <c r="E1425" s="475"/>
      <c r="F1425" s="475"/>
      <c r="G1425" s="325"/>
      <c r="H1425" s="325"/>
    </row>
    <row r="1426" spans="5:8">
      <c r="E1426" s="475"/>
      <c r="F1426" s="475"/>
      <c r="G1426" s="325"/>
      <c r="H1426" s="325"/>
    </row>
    <row r="1427" spans="5:8">
      <c r="E1427" s="475"/>
      <c r="F1427" s="475"/>
      <c r="G1427" s="325"/>
      <c r="H1427" s="325"/>
    </row>
    <row r="1428" spans="5:8">
      <c r="E1428" s="475"/>
      <c r="F1428" s="475"/>
      <c r="G1428" s="325"/>
      <c r="H1428" s="325"/>
    </row>
    <row r="1429" spans="5:8">
      <c r="E1429" s="475"/>
      <c r="F1429" s="475"/>
      <c r="G1429" s="325"/>
      <c r="H1429" s="325"/>
    </row>
    <row r="1430" spans="5:8">
      <c r="E1430" s="475"/>
      <c r="F1430" s="475"/>
      <c r="G1430" s="325"/>
      <c r="H1430" s="325"/>
    </row>
    <row r="1431" spans="5:8">
      <c r="E1431" s="475"/>
      <c r="F1431" s="475"/>
      <c r="G1431" s="325"/>
      <c r="H1431" s="325"/>
    </row>
    <row r="1432" spans="5:8">
      <c r="E1432" s="475"/>
      <c r="F1432" s="475"/>
      <c r="G1432" s="325"/>
      <c r="H1432" s="325"/>
    </row>
    <row r="1433" spans="5:8">
      <c r="E1433" s="475"/>
      <c r="F1433" s="475"/>
      <c r="G1433" s="325"/>
      <c r="H1433" s="325"/>
    </row>
    <row r="1434" spans="5:8">
      <c r="E1434" s="475"/>
      <c r="F1434" s="475"/>
      <c r="G1434" s="325"/>
      <c r="H1434" s="325"/>
    </row>
    <row r="1435" spans="5:8">
      <c r="E1435" s="475"/>
      <c r="F1435" s="475"/>
      <c r="G1435" s="325"/>
      <c r="H1435" s="325"/>
    </row>
    <row r="1436" spans="5:8">
      <c r="E1436" s="475"/>
      <c r="F1436" s="475"/>
      <c r="G1436" s="325"/>
      <c r="H1436" s="325"/>
    </row>
    <row r="1437" spans="5:8">
      <c r="E1437" s="475"/>
      <c r="F1437" s="475"/>
      <c r="G1437" s="325"/>
      <c r="H1437" s="325"/>
    </row>
    <row r="1438" spans="5:8">
      <c r="E1438" s="475"/>
      <c r="F1438" s="475"/>
      <c r="G1438" s="325"/>
      <c r="H1438" s="325"/>
    </row>
    <row r="1439" spans="5:8">
      <c r="E1439" s="475"/>
      <c r="F1439" s="475"/>
      <c r="G1439" s="325"/>
      <c r="H1439" s="325"/>
    </row>
    <row r="1440" spans="5:8">
      <c r="E1440" s="475"/>
      <c r="F1440" s="475"/>
      <c r="G1440" s="325"/>
      <c r="H1440" s="325"/>
    </row>
    <row r="1441" spans="5:8">
      <c r="E1441" s="475"/>
      <c r="F1441" s="475"/>
      <c r="G1441" s="325"/>
      <c r="H1441" s="325"/>
    </row>
    <row r="1442" spans="5:8">
      <c r="E1442" s="475"/>
      <c r="F1442" s="475"/>
      <c r="G1442" s="325"/>
      <c r="H1442" s="325"/>
    </row>
    <row r="1443" spans="5:8">
      <c r="E1443" s="475"/>
      <c r="F1443" s="475"/>
      <c r="G1443" s="325"/>
      <c r="H1443" s="325"/>
    </row>
    <row r="1444" spans="5:8">
      <c r="E1444" s="475"/>
      <c r="F1444" s="475"/>
      <c r="G1444" s="325"/>
      <c r="H1444" s="325"/>
    </row>
    <row r="1445" spans="5:8">
      <c r="E1445" s="475"/>
      <c r="F1445" s="475"/>
      <c r="G1445" s="325"/>
      <c r="H1445" s="325"/>
    </row>
    <row r="1446" spans="5:8">
      <c r="E1446" s="475"/>
      <c r="F1446" s="475"/>
      <c r="G1446" s="325"/>
      <c r="H1446" s="325"/>
    </row>
    <row r="1447" spans="5:8">
      <c r="E1447" s="475"/>
      <c r="F1447" s="475"/>
      <c r="G1447" s="325"/>
      <c r="H1447" s="325"/>
    </row>
    <row r="1448" spans="5:8">
      <c r="E1448" s="475"/>
      <c r="F1448" s="475"/>
      <c r="G1448" s="325"/>
      <c r="H1448" s="325"/>
    </row>
    <row r="1449" spans="5:8">
      <c r="E1449" s="475"/>
      <c r="F1449" s="475"/>
      <c r="G1449" s="325"/>
      <c r="H1449" s="325"/>
    </row>
    <row r="1450" spans="5:8">
      <c r="E1450" s="475"/>
      <c r="F1450" s="475"/>
      <c r="G1450" s="325"/>
      <c r="H1450" s="325"/>
    </row>
    <row r="1451" spans="5:8">
      <c r="E1451" s="475"/>
      <c r="F1451" s="475"/>
      <c r="G1451" s="325"/>
      <c r="H1451" s="325"/>
    </row>
    <row r="1452" spans="5:8">
      <c r="E1452" s="475"/>
      <c r="F1452" s="475"/>
      <c r="G1452" s="325"/>
      <c r="H1452" s="325"/>
    </row>
    <row r="1453" spans="5:8">
      <c r="E1453" s="475"/>
      <c r="F1453" s="475"/>
      <c r="G1453" s="325"/>
      <c r="H1453" s="325"/>
    </row>
    <row r="1454" spans="5:8">
      <c r="E1454" s="475"/>
      <c r="F1454" s="475"/>
      <c r="G1454" s="325"/>
      <c r="H1454" s="325"/>
    </row>
    <row r="1455" spans="5:8">
      <c r="E1455" s="475"/>
      <c r="F1455" s="475"/>
      <c r="G1455" s="325"/>
      <c r="H1455" s="325"/>
    </row>
    <row r="1456" spans="5:8">
      <c r="E1456" s="475"/>
      <c r="F1456" s="475"/>
      <c r="G1456" s="325"/>
      <c r="H1456" s="325"/>
    </row>
    <row r="1457" spans="5:8">
      <c r="E1457" s="475"/>
      <c r="F1457" s="475"/>
      <c r="G1457" s="325"/>
      <c r="H1457" s="325"/>
    </row>
    <row r="1458" spans="5:8">
      <c r="E1458" s="475"/>
      <c r="F1458" s="475"/>
      <c r="G1458" s="325"/>
      <c r="H1458" s="325"/>
    </row>
    <row r="1459" spans="5:8">
      <c r="E1459" s="475"/>
      <c r="F1459" s="475"/>
      <c r="G1459" s="325"/>
      <c r="H1459" s="325"/>
    </row>
    <row r="1460" spans="5:8">
      <c r="E1460" s="475"/>
      <c r="F1460" s="475"/>
      <c r="G1460" s="325"/>
      <c r="H1460" s="325"/>
    </row>
    <row r="1461" spans="5:8">
      <c r="E1461" s="475"/>
      <c r="F1461" s="475"/>
      <c r="G1461" s="325"/>
      <c r="H1461" s="325"/>
    </row>
    <row r="1462" spans="5:8">
      <c r="E1462" s="475"/>
      <c r="F1462" s="475"/>
      <c r="G1462" s="325"/>
      <c r="H1462" s="325"/>
    </row>
    <row r="1463" spans="5:8">
      <c r="E1463" s="475"/>
      <c r="F1463" s="475"/>
      <c r="G1463" s="325"/>
      <c r="H1463" s="325"/>
    </row>
    <row r="1464" spans="5:8">
      <c r="E1464" s="475"/>
      <c r="F1464" s="475"/>
      <c r="G1464" s="325"/>
      <c r="H1464" s="325"/>
    </row>
    <row r="1465" spans="5:8">
      <c r="E1465" s="475"/>
      <c r="F1465" s="475"/>
      <c r="G1465" s="325"/>
      <c r="H1465" s="325"/>
    </row>
    <row r="1466" spans="5:8">
      <c r="E1466" s="475"/>
      <c r="F1466" s="475"/>
      <c r="G1466" s="325"/>
      <c r="H1466" s="325"/>
    </row>
    <row r="1467" spans="5:8">
      <c r="E1467" s="475"/>
      <c r="F1467" s="475"/>
      <c r="G1467" s="325"/>
      <c r="H1467" s="325"/>
    </row>
    <row r="1468" spans="5:8">
      <c r="E1468" s="475"/>
      <c r="F1468" s="475"/>
      <c r="G1468" s="325"/>
      <c r="H1468" s="325"/>
    </row>
    <row r="1469" spans="5:8">
      <c r="E1469" s="475"/>
      <c r="F1469" s="475"/>
      <c r="G1469" s="325"/>
      <c r="H1469" s="325"/>
    </row>
    <row r="1470" spans="5:8">
      <c r="E1470" s="475"/>
      <c r="F1470" s="475"/>
      <c r="G1470" s="325"/>
      <c r="H1470" s="325"/>
    </row>
    <row r="1471" spans="5:8">
      <c r="E1471" s="475"/>
      <c r="F1471" s="475"/>
      <c r="G1471" s="325"/>
      <c r="H1471" s="325"/>
    </row>
    <row r="1472" spans="5:8">
      <c r="E1472" s="475"/>
      <c r="F1472" s="475"/>
      <c r="G1472" s="325"/>
      <c r="H1472" s="325"/>
    </row>
    <row r="1473" spans="5:8">
      <c r="E1473" s="475"/>
      <c r="F1473" s="475"/>
      <c r="G1473" s="325"/>
      <c r="H1473" s="325"/>
    </row>
    <row r="1474" spans="5:8">
      <c r="E1474" s="475"/>
      <c r="F1474" s="475"/>
      <c r="G1474" s="325"/>
      <c r="H1474" s="325"/>
    </row>
    <row r="1475" spans="5:8">
      <c r="E1475" s="475"/>
      <c r="F1475" s="475"/>
      <c r="G1475" s="325"/>
      <c r="H1475" s="325"/>
    </row>
    <row r="1476" spans="5:8">
      <c r="E1476" s="475"/>
      <c r="F1476" s="475"/>
      <c r="G1476" s="325"/>
      <c r="H1476" s="325"/>
    </row>
    <row r="1477" spans="5:8">
      <c r="E1477" s="475"/>
      <c r="F1477" s="475"/>
      <c r="G1477" s="325"/>
      <c r="H1477" s="325"/>
    </row>
    <row r="1478" spans="5:8">
      <c r="E1478" s="475"/>
      <c r="F1478" s="475"/>
      <c r="G1478" s="325"/>
      <c r="H1478" s="325"/>
    </row>
    <row r="1479" spans="5:8">
      <c r="E1479" s="475"/>
      <c r="F1479" s="475"/>
      <c r="G1479" s="325"/>
      <c r="H1479" s="325"/>
    </row>
    <row r="1480" spans="5:8">
      <c r="E1480" s="475"/>
      <c r="F1480" s="475"/>
      <c r="G1480" s="325"/>
      <c r="H1480" s="325"/>
    </row>
    <row r="1481" spans="5:8">
      <c r="E1481" s="475"/>
      <c r="F1481" s="475"/>
      <c r="G1481" s="325"/>
      <c r="H1481" s="325"/>
    </row>
    <row r="1482" spans="5:8">
      <c r="E1482" s="475"/>
      <c r="F1482" s="475"/>
      <c r="G1482" s="325"/>
      <c r="H1482" s="325"/>
    </row>
    <row r="1483" spans="5:8">
      <c r="E1483" s="475"/>
      <c r="F1483" s="475"/>
      <c r="G1483" s="325"/>
      <c r="H1483" s="325"/>
    </row>
    <row r="1484" spans="5:8">
      <c r="E1484" s="475"/>
      <c r="F1484" s="475"/>
      <c r="G1484" s="325"/>
      <c r="H1484" s="325"/>
    </row>
    <row r="1485" spans="5:8">
      <c r="E1485" s="475"/>
      <c r="F1485" s="475"/>
      <c r="G1485" s="325"/>
      <c r="H1485" s="325"/>
    </row>
    <row r="1486" spans="5:8">
      <c r="E1486" s="475"/>
      <c r="F1486" s="475"/>
      <c r="G1486" s="325"/>
      <c r="H1486" s="325"/>
    </row>
    <row r="1487" spans="5:8">
      <c r="E1487" s="475"/>
      <c r="F1487" s="475"/>
      <c r="G1487" s="325"/>
      <c r="H1487" s="325"/>
    </row>
    <row r="1488" spans="5:8">
      <c r="E1488" s="475"/>
      <c r="F1488" s="475"/>
      <c r="G1488" s="325"/>
      <c r="H1488" s="325"/>
    </row>
    <row r="1489" spans="5:8">
      <c r="E1489" s="475"/>
      <c r="F1489" s="475"/>
      <c r="G1489" s="325"/>
      <c r="H1489" s="325"/>
    </row>
    <row r="1490" spans="5:8">
      <c r="E1490" s="475"/>
      <c r="F1490" s="475"/>
      <c r="G1490" s="325"/>
      <c r="H1490" s="325"/>
    </row>
    <row r="1491" spans="5:8">
      <c r="E1491" s="475"/>
      <c r="F1491" s="475"/>
      <c r="G1491" s="325"/>
      <c r="H1491" s="325"/>
    </row>
    <row r="1492" spans="5:8">
      <c r="E1492" s="475"/>
      <c r="F1492" s="475"/>
      <c r="G1492" s="325"/>
      <c r="H1492" s="325"/>
    </row>
    <row r="1493" spans="5:8">
      <c r="E1493" s="475"/>
      <c r="F1493" s="475"/>
      <c r="G1493" s="325"/>
      <c r="H1493" s="325"/>
    </row>
    <row r="1494" spans="5:8">
      <c r="E1494" s="475"/>
      <c r="F1494" s="475"/>
      <c r="G1494" s="325"/>
      <c r="H1494" s="325"/>
    </row>
    <row r="1495" spans="5:8">
      <c r="E1495" s="475"/>
      <c r="F1495" s="475"/>
      <c r="G1495" s="325"/>
      <c r="H1495" s="325"/>
    </row>
    <row r="1496" spans="5:8">
      <c r="E1496" s="475"/>
      <c r="F1496" s="475"/>
      <c r="G1496" s="325"/>
      <c r="H1496" s="325"/>
    </row>
    <row r="1497" spans="5:8">
      <c r="E1497" s="475"/>
      <c r="F1497" s="475"/>
      <c r="G1497" s="325"/>
      <c r="H1497" s="325"/>
    </row>
    <row r="1498" spans="5:8">
      <c r="E1498" s="475"/>
      <c r="F1498" s="475"/>
      <c r="G1498" s="325"/>
      <c r="H1498" s="325"/>
    </row>
    <row r="1499" spans="5:8">
      <c r="E1499" s="475"/>
      <c r="F1499" s="475"/>
      <c r="G1499" s="325"/>
      <c r="H1499" s="325"/>
    </row>
    <row r="1500" spans="5:8">
      <c r="E1500" s="475"/>
      <c r="F1500" s="475"/>
      <c r="G1500" s="325"/>
      <c r="H1500" s="325"/>
    </row>
    <row r="1501" spans="5:8">
      <c r="E1501" s="475"/>
      <c r="F1501" s="475"/>
      <c r="G1501" s="325"/>
      <c r="H1501" s="325"/>
    </row>
    <row r="1502" spans="5:8">
      <c r="E1502" s="475"/>
      <c r="F1502" s="475"/>
      <c r="G1502" s="325"/>
      <c r="H1502" s="325"/>
    </row>
    <row r="1503" spans="5:8">
      <c r="E1503" s="475"/>
      <c r="F1503" s="475"/>
      <c r="G1503" s="325"/>
      <c r="H1503" s="325"/>
    </row>
    <row r="1504" spans="5:8">
      <c r="E1504" s="475"/>
      <c r="F1504" s="475"/>
      <c r="G1504" s="325"/>
      <c r="H1504" s="325"/>
    </row>
    <row r="1505" spans="5:8">
      <c r="E1505" s="475"/>
      <c r="F1505" s="475"/>
      <c r="G1505" s="325"/>
      <c r="H1505" s="325"/>
    </row>
    <row r="1506" spans="5:8">
      <c r="E1506" s="475"/>
      <c r="F1506" s="475"/>
      <c r="G1506" s="325"/>
      <c r="H1506" s="325"/>
    </row>
    <row r="1507" spans="5:8">
      <c r="E1507" s="475"/>
      <c r="F1507" s="475"/>
      <c r="G1507" s="325"/>
      <c r="H1507" s="325"/>
    </row>
    <row r="1508" spans="5:8">
      <c r="E1508" s="475"/>
      <c r="F1508" s="475"/>
      <c r="G1508" s="325"/>
      <c r="H1508" s="325"/>
    </row>
    <row r="1509" spans="5:8">
      <c r="E1509" s="475"/>
      <c r="F1509" s="475"/>
      <c r="G1509" s="325"/>
      <c r="H1509" s="325"/>
    </row>
    <row r="1510" spans="5:8">
      <c r="E1510" s="475"/>
      <c r="F1510" s="475"/>
      <c r="G1510" s="325"/>
      <c r="H1510" s="325"/>
    </row>
    <row r="1511" spans="5:8">
      <c r="E1511" s="475"/>
      <c r="F1511" s="475"/>
      <c r="G1511" s="325"/>
      <c r="H1511" s="325"/>
    </row>
    <row r="1512" spans="5:8">
      <c r="E1512" s="475"/>
      <c r="F1512" s="475"/>
      <c r="G1512" s="325"/>
      <c r="H1512" s="325"/>
    </row>
    <row r="1513" spans="5:8">
      <c r="E1513" s="475"/>
      <c r="F1513" s="475"/>
      <c r="G1513" s="325"/>
      <c r="H1513" s="325"/>
    </row>
    <row r="1514" spans="5:8">
      <c r="E1514" s="475"/>
      <c r="F1514" s="475"/>
      <c r="G1514" s="325"/>
      <c r="H1514" s="325"/>
    </row>
    <row r="1515" spans="5:8">
      <c r="E1515" s="475"/>
      <c r="F1515" s="475"/>
      <c r="G1515" s="325"/>
      <c r="H1515" s="325"/>
    </row>
    <row r="1516" spans="5:8">
      <c r="E1516" s="475"/>
      <c r="F1516" s="475"/>
      <c r="G1516" s="325"/>
      <c r="H1516" s="325"/>
    </row>
    <row r="1517" spans="5:8">
      <c r="E1517" s="475"/>
      <c r="F1517" s="475"/>
      <c r="G1517" s="325"/>
      <c r="H1517" s="325"/>
    </row>
    <row r="1518" spans="5:8">
      <c r="E1518" s="475"/>
      <c r="F1518" s="475"/>
      <c r="G1518" s="325"/>
      <c r="H1518" s="325"/>
    </row>
    <row r="1519" spans="5:8">
      <c r="E1519" s="475"/>
      <c r="F1519" s="475"/>
      <c r="G1519" s="325"/>
      <c r="H1519" s="325"/>
    </row>
    <row r="1520" spans="5:8">
      <c r="E1520" s="475"/>
      <c r="F1520" s="475"/>
      <c r="G1520" s="325"/>
      <c r="H1520" s="325"/>
    </row>
    <row r="1521" spans="5:8">
      <c r="E1521" s="475"/>
      <c r="F1521" s="475"/>
      <c r="G1521" s="325"/>
      <c r="H1521" s="325"/>
    </row>
    <row r="1522" spans="5:8">
      <c r="E1522" s="475"/>
      <c r="F1522" s="475"/>
      <c r="G1522" s="325"/>
      <c r="H1522" s="325"/>
    </row>
    <row r="1523" spans="5:8">
      <c r="E1523" s="475"/>
      <c r="F1523" s="475"/>
      <c r="G1523" s="325"/>
      <c r="H1523" s="325"/>
    </row>
    <row r="1524" spans="5:8">
      <c r="E1524" s="475"/>
      <c r="F1524" s="475"/>
      <c r="G1524" s="325"/>
      <c r="H1524" s="325"/>
    </row>
    <row r="1525" spans="5:8">
      <c r="E1525" s="475"/>
      <c r="F1525" s="475"/>
      <c r="G1525" s="325"/>
      <c r="H1525" s="325"/>
    </row>
    <row r="1526" spans="5:8">
      <c r="E1526" s="475"/>
      <c r="F1526" s="475"/>
      <c r="G1526" s="325"/>
      <c r="H1526" s="325"/>
    </row>
    <row r="1527" spans="5:8">
      <c r="E1527" s="475"/>
      <c r="F1527" s="475"/>
      <c r="G1527" s="325"/>
      <c r="H1527" s="325"/>
    </row>
    <row r="1528" spans="5:8">
      <c r="E1528" s="475"/>
      <c r="F1528" s="475"/>
      <c r="G1528" s="325"/>
      <c r="H1528" s="325"/>
    </row>
    <row r="1529" spans="5:8">
      <c r="E1529" s="475"/>
      <c r="F1529" s="475"/>
      <c r="G1529" s="325"/>
      <c r="H1529" s="325"/>
    </row>
    <row r="1530" spans="5:8">
      <c r="E1530" s="475"/>
      <c r="F1530" s="475"/>
      <c r="G1530" s="325"/>
      <c r="H1530" s="325"/>
    </row>
    <row r="1531" spans="5:8">
      <c r="E1531" s="475"/>
      <c r="F1531" s="475"/>
      <c r="G1531" s="325"/>
      <c r="H1531" s="325"/>
    </row>
    <row r="1532" spans="5:8">
      <c r="E1532" s="475"/>
      <c r="F1532" s="475"/>
      <c r="G1532" s="325"/>
      <c r="H1532" s="325"/>
    </row>
    <row r="1533" spans="5:8">
      <c r="E1533" s="475"/>
      <c r="F1533" s="475"/>
      <c r="G1533" s="325"/>
      <c r="H1533" s="325"/>
    </row>
    <row r="1534" spans="5:8">
      <c r="E1534" s="475"/>
      <c r="F1534" s="475"/>
      <c r="G1534" s="325"/>
      <c r="H1534" s="325"/>
    </row>
    <row r="1535" spans="5:8">
      <c r="E1535" s="475"/>
      <c r="F1535" s="475"/>
      <c r="G1535" s="325"/>
      <c r="H1535" s="325"/>
    </row>
    <row r="1536" spans="5:8">
      <c r="E1536" s="475"/>
      <c r="F1536" s="475"/>
      <c r="G1536" s="325"/>
      <c r="H1536" s="325"/>
    </row>
    <row r="1537" spans="5:8">
      <c r="E1537" s="475"/>
      <c r="F1537" s="475"/>
      <c r="G1537" s="325"/>
      <c r="H1537" s="325"/>
    </row>
    <row r="1538" spans="5:8">
      <c r="E1538" s="475"/>
      <c r="F1538" s="475"/>
      <c r="G1538" s="325"/>
      <c r="H1538" s="325"/>
    </row>
    <row r="1539" spans="5:8">
      <c r="E1539" s="475"/>
      <c r="F1539" s="475"/>
      <c r="G1539" s="325"/>
      <c r="H1539" s="325"/>
    </row>
    <row r="1540" spans="5:8">
      <c r="E1540" s="475"/>
      <c r="F1540" s="475"/>
      <c r="G1540" s="325"/>
      <c r="H1540" s="325"/>
    </row>
    <row r="1541" spans="5:8">
      <c r="E1541" s="475"/>
      <c r="F1541" s="475"/>
      <c r="G1541" s="325"/>
      <c r="H1541" s="325"/>
    </row>
    <row r="1542" spans="5:8">
      <c r="E1542" s="475"/>
      <c r="F1542" s="475"/>
      <c r="G1542" s="325"/>
      <c r="H1542" s="325"/>
    </row>
    <row r="1543" spans="5:8">
      <c r="E1543" s="475"/>
      <c r="F1543" s="475"/>
      <c r="G1543" s="325"/>
      <c r="H1543" s="325"/>
    </row>
    <row r="1544" spans="5:8">
      <c r="E1544" s="475"/>
      <c r="F1544" s="475"/>
      <c r="G1544" s="325"/>
      <c r="H1544" s="325"/>
    </row>
    <row r="1545" spans="5:8">
      <c r="E1545" s="475"/>
      <c r="F1545" s="475"/>
      <c r="G1545" s="325"/>
      <c r="H1545" s="325"/>
    </row>
    <row r="1546" spans="5:8">
      <c r="E1546" s="475"/>
      <c r="F1546" s="475"/>
      <c r="G1546" s="325"/>
      <c r="H1546" s="325"/>
    </row>
    <row r="1547" spans="5:8">
      <c r="E1547" s="475"/>
      <c r="F1547" s="475"/>
      <c r="G1547" s="325"/>
      <c r="H1547" s="325"/>
    </row>
    <row r="1548" spans="5:8">
      <c r="E1548" s="475"/>
      <c r="F1548" s="475"/>
      <c r="G1548" s="325"/>
      <c r="H1548" s="325"/>
    </row>
    <row r="1549" spans="5:8">
      <c r="E1549" s="475"/>
      <c r="F1549" s="475"/>
      <c r="G1549" s="325"/>
      <c r="H1549" s="325"/>
    </row>
    <row r="1550" spans="5:8">
      <c r="E1550" s="475"/>
      <c r="F1550" s="475"/>
      <c r="G1550" s="325"/>
      <c r="H1550" s="325"/>
    </row>
    <row r="1551" spans="5:8">
      <c r="E1551" s="475"/>
      <c r="F1551" s="475"/>
      <c r="G1551" s="325"/>
      <c r="H1551" s="325"/>
    </row>
    <row r="1552" spans="5:8">
      <c r="E1552" s="475"/>
      <c r="F1552" s="475"/>
      <c r="G1552" s="325"/>
      <c r="H1552" s="325"/>
    </row>
    <row r="1553" spans="5:8">
      <c r="E1553" s="475"/>
      <c r="F1553" s="475"/>
      <c r="G1553" s="325"/>
      <c r="H1553" s="325"/>
    </row>
    <row r="1554" spans="5:8">
      <c r="E1554" s="475"/>
      <c r="F1554" s="475"/>
      <c r="G1554" s="325"/>
      <c r="H1554" s="325"/>
    </row>
    <row r="1555" spans="5:8">
      <c r="E1555" s="475"/>
      <c r="F1555" s="475"/>
      <c r="G1555" s="325"/>
      <c r="H1555" s="325"/>
    </row>
    <row r="1556" spans="5:8">
      <c r="E1556" s="475"/>
      <c r="F1556" s="475"/>
      <c r="G1556" s="325"/>
      <c r="H1556" s="325"/>
    </row>
    <row r="1557" spans="5:8">
      <c r="E1557" s="475"/>
      <c r="F1557" s="475"/>
      <c r="G1557" s="325"/>
      <c r="H1557" s="325"/>
    </row>
    <row r="1558" spans="5:8">
      <c r="E1558" s="475"/>
      <c r="F1558" s="475"/>
      <c r="G1558" s="325"/>
      <c r="H1558" s="325"/>
    </row>
    <row r="1559" spans="5:8">
      <c r="E1559" s="475"/>
      <c r="F1559" s="475"/>
      <c r="G1559" s="325"/>
      <c r="H1559" s="325"/>
    </row>
    <row r="1560" spans="5:8">
      <c r="E1560" s="475"/>
      <c r="F1560" s="475"/>
      <c r="G1560" s="325"/>
      <c r="H1560" s="325"/>
    </row>
    <row r="1561" spans="5:8">
      <c r="E1561" s="475"/>
      <c r="F1561" s="475"/>
      <c r="G1561" s="325"/>
      <c r="H1561" s="325"/>
    </row>
    <row r="1562" spans="5:8">
      <c r="E1562" s="475"/>
      <c r="F1562" s="475"/>
      <c r="G1562" s="325"/>
      <c r="H1562" s="325"/>
    </row>
    <row r="1563" spans="5:8">
      <c r="E1563" s="475"/>
      <c r="F1563" s="475"/>
      <c r="G1563" s="325"/>
      <c r="H1563" s="325"/>
    </row>
    <row r="1564" spans="5:8">
      <c r="E1564" s="475"/>
      <c r="F1564" s="475"/>
      <c r="G1564" s="325"/>
      <c r="H1564" s="325"/>
    </row>
    <row r="1565" spans="5:8">
      <c r="E1565" s="475"/>
      <c r="F1565" s="475"/>
      <c r="G1565" s="325"/>
      <c r="H1565" s="325"/>
    </row>
    <row r="1566" spans="5:8">
      <c r="E1566" s="475"/>
      <c r="F1566" s="475"/>
      <c r="G1566" s="325"/>
      <c r="H1566" s="325"/>
    </row>
    <row r="1567" spans="5:8">
      <c r="E1567" s="475"/>
      <c r="F1567" s="475"/>
      <c r="G1567" s="325"/>
      <c r="H1567" s="325"/>
    </row>
    <row r="1568" spans="5:8">
      <c r="E1568" s="475"/>
      <c r="F1568" s="475"/>
      <c r="G1568" s="325"/>
      <c r="H1568" s="325"/>
    </row>
    <row r="1569" spans="5:8">
      <c r="E1569" s="475"/>
      <c r="F1569" s="475"/>
      <c r="G1569" s="325"/>
      <c r="H1569" s="325"/>
    </row>
    <row r="1570" spans="5:8">
      <c r="E1570" s="475"/>
      <c r="F1570" s="475"/>
      <c r="G1570" s="325"/>
      <c r="H1570" s="325"/>
    </row>
    <row r="1571" spans="5:8">
      <c r="E1571" s="475"/>
      <c r="F1571" s="475"/>
      <c r="G1571" s="325"/>
      <c r="H1571" s="325"/>
    </row>
    <row r="1572" spans="5:8">
      <c r="E1572" s="475"/>
      <c r="F1572" s="475"/>
      <c r="G1572" s="325"/>
      <c r="H1572" s="325"/>
    </row>
    <row r="1573" spans="5:8">
      <c r="E1573" s="475"/>
      <c r="F1573" s="475"/>
      <c r="G1573" s="325"/>
      <c r="H1573" s="325"/>
    </row>
    <row r="1574" spans="5:8">
      <c r="E1574" s="475"/>
      <c r="F1574" s="475"/>
      <c r="G1574" s="325"/>
      <c r="H1574" s="325"/>
    </row>
    <row r="1575" spans="5:8">
      <c r="E1575" s="475"/>
      <c r="F1575" s="475"/>
      <c r="G1575" s="325"/>
      <c r="H1575" s="325"/>
    </row>
    <row r="1576" spans="5:8">
      <c r="E1576" s="475"/>
      <c r="F1576" s="475"/>
      <c r="G1576" s="325"/>
      <c r="H1576" s="325"/>
    </row>
    <row r="1577" spans="5:8">
      <c r="E1577" s="475"/>
      <c r="F1577" s="475"/>
      <c r="G1577" s="325"/>
      <c r="H1577" s="325"/>
    </row>
    <row r="1578" spans="5:8">
      <c r="E1578" s="475"/>
      <c r="F1578" s="475"/>
      <c r="G1578" s="325"/>
      <c r="H1578" s="325"/>
    </row>
    <row r="1579" spans="5:8">
      <c r="E1579" s="475"/>
      <c r="F1579" s="475"/>
      <c r="G1579" s="325"/>
      <c r="H1579" s="325"/>
    </row>
    <row r="1580" spans="5:8">
      <c r="E1580" s="475"/>
      <c r="F1580" s="475"/>
      <c r="G1580" s="325"/>
      <c r="H1580" s="325"/>
    </row>
    <row r="1581" spans="5:8">
      <c r="E1581" s="475"/>
      <c r="F1581" s="475"/>
      <c r="G1581" s="325"/>
      <c r="H1581" s="325"/>
    </row>
    <row r="1582" spans="5:8">
      <c r="E1582" s="475"/>
      <c r="F1582" s="475"/>
      <c r="G1582" s="325"/>
      <c r="H1582" s="325"/>
    </row>
    <row r="1583" spans="5:8">
      <c r="E1583" s="475"/>
      <c r="F1583" s="475"/>
      <c r="G1583" s="325"/>
      <c r="H1583" s="325"/>
    </row>
    <row r="1584" spans="5:8">
      <c r="E1584" s="475"/>
      <c r="F1584" s="475"/>
      <c r="G1584" s="325"/>
      <c r="H1584" s="325"/>
    </row>
    <row r="1585" spans="5:8">
      <c r="E1585" s="475"/>
      <c r="F1585" s="475"/>
      <c r="G1585" s="325"/>
      <c r="H1585" s="325"/>
    </row>
    <row r="1586" spans="5:8">
      <c r="E1586" s="475"/>
      <c r="F1586" s="475"/>
      <c r="G1586" s="325"/>
      <c r="H1586" s="325"/>
    </row>
    <row r="1587" spans="5:8">
      <c r="E1587" s="475"/>
      <c r="F1587" s="475"/>
      <c r="G1587" s="325"/>
      <c r="H1587" s="325"/>
    </row>
    <row r="1588" spans="5:8">
      <c r="E1588" s="475"/>
      <c r="F1588" s="475"/>
      <c r="G1588" s="325"/>
      <c r="H1588" s="325"/>
    </row>
    <row r="1589" spans="5:8">
      <c r="E1589" s="475"/>
      <c r="F1589" s="475"/>
      <c r="G1589" s="325"/>
      <c r="H1589" s="325"/>
    </row>
    <row r="1590" spans="5:8">
      <c r="E1590" s="475"/>
      <c r="F1590" s="475"/>
      <c r="G1590" s="325"/>
      <c r="H1590" s="325"/>
    </row>
    <row r="1591" spans="5:8">
      <c r="E1591" s="475"/>
      <c r="F1591" s="475"/>
      <c r="G1591" s="325"/>
      <c r="H1591" s="325"/>
    </row>
    <row r="1592" spans="5:8">
      <c r="E1592" s="475"/>
      <c r="F1592" s="475"/>
      <c r="G1592" s="325"/>
      <c r="H1592" s="325"/>
    </row>
    <row r="1593" spans="5:8">
      <c r="E1593" s="475"/>
      <c r="F1593" s="475"/>
      <c r="G1593" s="325"/>
      <c r="H1593" s="325"/>
    </row>
    <row r="1594" spans="5:8">
      <c r="E1594" s="475"/>
      <c r="F1594" s="475"/>
      <c r="G1594" s="325"/>
      <c r="H1594" s="325"/>
    </row>
    <row r="1595" spans="5:8">
      <c r="E1595" s="475"/>
      <c r="F1595" s="475"/>
      <c r="G1595" s="325"/>
      <c r="H1595" s="325"/>
    </row>
    <row r="1596" spans="5:8">
      <c r="E1596" s="475"/>
      <c r="F1596" s="475"/>
      <c r="G1596" s="325"/>
      <c r="H1596" s="325"/>
    </row>
    <row r="1597" spans="5:8">
      <c r="E1597" s="475"/>
      <c r="F1597" s="475"/>
      <c r="G1597" s="325"/>
      <c r="H1597" s="325"/>
    </row>
    <row r="1598" spans="5:8">
      <c r="E1598" s="475"/>
      <c r="F1598" s="475"/>
      <c r="G1598" s="325"/>
      <c r="H1598" s="325"/>
    </row>
    <row r="1599" spans="5:8">
      <c r="E1599" s="475"/>
      <c r="F1599" s="475"/>
      <c r="G1599" s="325"/>
      <c r="H1599" s="325"/>
    </row>
    <row r="1600" spans="5:8">
      <c r="E1600" s="475"/>
      <c r="F1600" s="475"/>
      <c r="G1600" s="325"/>
      <c r="H1600" s="325"/>
    </row>
    <row r="1601" spans="5:8">
      <c r="E1601" s="475"/>
      <c r="F1601" s="475"/>
      <c r="G1601" s="325"/>
      <c r="H1601" s="325"/>
    </row>
    <row r="1602" spans="5:8">
      <c r="E1602" s="475"/>
      <c r="F1602" s="475"/>
      <c r="G1602" s="325"/>
      <c r="H1602" s="325"/>
    </row>
    <row r="1603" spans="5:8">
      <c r="E1603" s="475"/>
      <c r="F1603" s="475"/>
      <c r="G1603" s="325"/>
      <c r="H1603" s="325"/>
    </row>
    <row r="1604" spans="5:8">
      <c r="E1604" s="475"/>
      <c r="F1604" s="475"/>
      <c r="G1604" s="325"/>
      <c r="H1604" s="325"/>
    </row>
    <row r="1605" spans="5:8">
      <c r="E1605" s="475"/>
      <c r="F1605" s="475"/>
      <c r="G1605" s="325"/>
      <c r="H1605" s="325"/>
    </row>
    <row r="1606" spans="5:8">
      <c r="E1606" s="475"/>
      <c r="F1606" s="475"/>
      <c r="G1606" s="325"/>
      <c r="H1606" s="325"/>
    </row>
    <row r="1607" spans="5:8">
      <c r="E1607" s="475"/>
      <c r="F1607" s="475"/>
      <c r="G1607" s="325"/>
      <c r="H1607" s="325"/>
    </row>
    <row r="1608" spans="5:8">
      <c r="E1608" s="475"/>
      <c r="F1608" s="475"/>
      <c r="G1608" s="325"/>
      <c r="H1608" s="325"/>
    </row>
    <row r="1609" spans="5:8">
      <c r="E1609" s="475"/>
      <c r="F1609" s="475"/>
      <c r="G1609" s="325"/>
      <c r="H1609" s="325"/>
    </row>
    <row r="1610" spans="5:8">
      <c r="E1610" s="475"/>
      <c r="F1610" s="475"/>
      <c r="G1610" s="325"/>
      <c r="H1610" s="325"/>
    </row>
    <row r="1611" spans="5:8">
      <c r="E1611" s="475"/>
      <c r="F1611" s="475"/>
      <c r="G1611" s="325"/>
      <c r="H1611" s="325"/>
    </row>
    <row r="1612" spans="5:8">
      <c r="E1612" s="475"/>
      <c r="F1612" s="475"/>
      <c r="G1612" s="325"/>
      <c r="H1612" s="325"/>
    </row>
    <row r="1613" spans="5:8">
      <c r="E1613" s="475"/>
      <c r="F1613" s="475"/>
      <c r="G1613" s="325"/>
      <c r="H1613" s="325"/>
    </row>
    <row r="1614" spans="5:8">
      <c r="E1614" s="475"/>
      <c r="F1614" s="475"/>
      <c r="G1614" s="325"/>
      <c r="H1614" s="325"/>
    </row>
    <row r="1615" spans="5:8">
      <c r="E1615" s="475"/>
      <c r="F1615" s="475"/>
      <c r="G1615" s="325"/>
      <c r="H1615" s="325"/>
    </row>
    <row r="1616" spans="5:8">
      <c r="E1616" s="475"/>
      <c r="F1616" s="475"/>
      <c r="G1616" s="325"/>
      <c r="H1616" s="325"/>
    </row>
    <row r="1617" spans="5:8">
      <c r="E1617" s="475"/>
      <c r="F1617" s="475"/>
      <c r="G1617" s="325"/>
      <c r="H1617" s="325"/>
    </row>
    <row r="1618" spans="5:8">
      <c r="E1618" s="475"/>
      <c r="F1618" s="475"/>
      <c r="G1618" s="325"/>
      <c r="H1618" s="325"/>
    </row>
    <row r="1619" spans="5:8">
      <c r="E1619" s="475"/>
      <c r="F1619" s="475"/>
      <c r="G1619" s="325"/>
      <c r="H1619" s="325"/>
    </row>
    <row r="1620" spans="5:8">
      <c r="E1620" s="475"/>
      <c r="F1620" s="475"/>
      <c r="G1620" s="325"/>
      <c r="H1620" s="325"/>
    </row>
    <row r="1621" spans="5:8">
      <c r="E1621" s="475"/>
      <c r="F1621" s="475"/>
      <c r="G1621" s="325"/>
      <c r="H1621" s="325"/>
    </row>
    <row r="1622" spans="5:8">
      <c r="E1622" s="475"/>
      <c r="F1622" s="475"/>
      <c r="G1622" s="325"/>
      <c r="H1622" s="325"/>
    </row>
    <row r="1623" spans="5:8">
      <c r="E1623" s="475"/>
      <c r="F1623" s="475"/>
      <c r="G1623" s="325"/>
      <c r="H1623" s="325"/>
    </row>
    <row r="1624" spans="5:8">
      <c r="E1624" s="475"/>
      <c r="F1624" s="475"/>
      <c r="G1624" s="325"/>
      <c r="H1624" s="325"/>
    </row>
    <row r="1625" spans="5:8">
      <c r="E1625" s="475"/>
      <c r="F1625" s="475"/>
      <c r="G1625" s="325"/>
      <c r="H1625" s="325"/>
    </row>
    <row r="1626" spans="5:8">
      <c r="E1626" s="475"/>
      <c r="F1626" s="475"/>
      <c r="G1626" s="325"/>
      <c r="H1626" s="325"/>
    </row>
    <row r="1627" spans="5:8">
      <c r="E1627" s="475"/>
      <c r="F1627" s="475"/>
      <c r="G1627" s="325"/>
      <c r="H1627" s="325"/>
    </row>
    <row r="1628" spans="5:8">
      <c r="E1628" s="475"/>
      <c r="F1628" s="475"/>
      <c r="G1628" s="325"/>
      <c r="H1628" s="325"/>
    </row>
    <row r="1629" spans="5:8">
      <c r="E1629" s="475"/>
      <c r="F1629" s="475"/>
      <c r="G1629" s="325"/>
      <c r="H1629" s="325"/>
    </row>
    <row r="1630" spans="5:8">
      <c r="E1630" s="475"/>
      <c r="F1630" s="475"/>
      <c r="G1630" s="325"/>
      <c r="H1630" s="325"/>
    </row>
    <row r="1631" spans="5:8">
      <c r="E1631" s="475"/>
      <c r="F1631" s="475"/>
      <c r="G1631" s="325"/>
      <c r="H1631" s="325"/>
    </row>
    <row r="1632" spans="5:8">
      <c r="E1632" s="475"/>
      <c r="F1632" s="475"/>
      <c r="G1632" s="325"/>
      <c r="H1632" s="325"/>
    </row>
    <row r="1633" spans="5:8">
      <c r="E1633" s="475"/>
      <c r="F1633" s="475"/>
      <c r="G1633" s="325"/>
      <c r="H1633" s="325"/>
    </row>
    <row r="1634" spans="5:8">
      <c r="E1634" s="475"/>
      <c r="F1634" s="475"/>
      <c r="G1634" s="325"/>
      <c r="H1634" s="325"/>
    </row>
    <row r="1635" spans="5:8">
      <c r="E1635" s="475"/>
      <c r="F1635" s="475"/>
      <c r="G1635" s="325"/>
      <c r="H1635" s="325"/>
    </row>
    <row r="1636" spans="5:8">
      <c r="E1636" s="475"/>
      <c r="F1636" s="475"/>
      <c r="G1636" s="325"/>
      <c r="H1636" s="325"/>
    </row>
    <row r="1637" spans="5:8">
      <c r="E1637" s="475"/>
      <c r="F1637" s="475"/>
      <c r="G1637" s="325"/>
      <c r="H1637" s="325"/>
    </row>
    <row r="1638" spans="5:8">
      <c r="E1638" s="475"/>
      <c r="F1638" s="475"/>
      <c r="G1638" s="325"/>
      <c r="H1638" s="325"/>
    </row>
    <row r="1639" spans="5:8">
      <c r="E1639" s="475"/>
      <c r="F1639" s="475"/>
      <c r="G1639" s="325"/>
      <c r="H1639" s="325"/>
    </row>
    <row r="1640" spans="5:8">
      <c r="E1640" s="475"/>
      <c r="F1640" s="475"/>
      <c r="G1640" s="325"/>
      <c r="H1640" s="325"/>
    </row>
    <row r="1641" spans="5:8">
      <c r="E1641" s="475"/>
      <c r="F1641" s="475"/>
      <c r="G1641" s="325"/>
      <c r="H1641" s="325"/>
    </row>
    <row r="1642" spans="5:8">
      <c r="E1642" s="475"/>
      <c r="F1642" s="475"/>
      <c r="G1642" s="325"/>
      <c r="H1642" s="325"/>
    </row>
    <row r="1643" spans="5:8">
      <c r="E1643" s="475"/>
      <c r="F1643" s="475"/>
      <c r="G1643" s="325"/>
      <c r="H1643" s="325"/>
    </row>
    <row r="1644" spans="5:8">
      <c r="E1644" s="475"/>
      <c r="F1644" s="475"/>
      <c r="G1644" s="325"/>
      <c r="H1644" s="325"/>
    </row>
    <row r="1645" spans="5:8">
      <c r="E1645" s="475"/>
      <c r="F1645" s="475"/>
      <c r="G1645" s="325"/>
      <c r="H1645" s="325"/>
    </row>
    <row r="1646" spans="5:8">
      <c r="E1646" s="475"/>
      <c r="F1646" s="475"/>
      <c r="G1646" s="325"/>
      <c r="H1646" s="325"/>
    </row>
    <row r="1647" spans="5:8">
      <c r="E1647" s="475"/>
      <c r="F1647" s="475"/>
      <c r="G1647" s="325"/>
      <c r="H1647" s="325"/>
    </row>
    <row r="1648" spans="5:8">
      <c r="E1648" s="475"/>
      <c r="F1648" s="475"/>
      <c r="G1648" s="325"/>
      <c r="H1648" s="325"/>
    </row>
    <row r="1649" spans="5:8">
      <c r="E1649" s="475"/>
      <c r="F1649" s="475"/>
      <c r="G1649" s="325"/>
      <c r="H1649" s="325"/>
    </row>
    <row r="1650" spans="5:8">
      <c r="E1650" s="475"/>
      <c r="F1650" s="475"/>
      <c r="G1650" s="325"/>
      <c r="H1650" s="325"/>
    </row>
    <row r="1651" spans="5:8">
      <c r="E1651" s="475"/>
      <c r="F1651" s="475"/>
      <c r="G1651" s="325"/>
      <c r="H1651" s="325"/>
    </row>
    <row r="1652" spans="5:8">
      <c r="E1652" s="475"/>
      <c r="F1652" s="475"/>
      <c r="G1652" s="325"/>
      <c r="H1652" s="325"/>
    </row>
    <row r="1653" spans="5:8">
      <c r="E1653" s="475"/>
      <c r="F1653" s="475"/>
      <c r="G1653" s="325"/>
      <c r="H1653" s="325"/>
    </row>
    <row r="1654" spans="5:8">
      <c r="E1654" s="475"/>
      <c r="F1654" s="475"/>
      <c r="G1654" s="325"/>
      <c r="H1654" s="325"/>
    </row>
    <row r="1655" spans="5:8">
      <c r="E1655" s="475"/>
      <c r="F1655" s="475"/>
      <c r="G1655" s="325"/>
      <c r="H1655" s="325"/>
    </row>
    <row r="1656" spans="5:8">
      <c r="E1656" s="475"/>
      <c r="F1656" s="475"/>
      <c r="G1656" s="325"/>
      <c r="H1656" s="325"/>
    </row>
    <row r="1657" spans="5:8">
      <c r="E1657" s="475"/>
      <c r="F1657" s="475"/>
      <c r="G1657" s="325"/>
      <c r="H1657" s="325"/>
    </row>
    <row r="1658" spans="5:8">
      <c r="E1658" s="475"/>
      <c r="F1658" s="475"/>
      <c r="G1658" s="325"/>
      <c r="H1658" s="325"/>
    </row>
    <row r="1659" spans="5:8">
      <c r="E1659" s="475"/>
      <c r="F1659" s="475"/>
      <c r="G1659" s="325"/>
      <c r="H1659" s="325"/>
    </row>
    <row r="1660" spans="5:8">
      <c r="E1660" s="475"/>
      <c r="F1660" s="475"/>
      <c r="G1660" s="325"/>
      <c r="H1660" s="325"/>
    </row>
    <row r="1661" spans="5:8">
      <c r="E1661" s="475"/>
      <c r="F1661" s="475"/>
      <c r="G1661" s="325"/>
      <c r="H1661" s="325"/>
    </row>
    <row r="1662" spans="5:8">
      <c r="E1662" s="475"/>
      <c r="F1662" s="475"/>
      <c r="G1662" s="325"/>
      <c r="H1662" s="325"/>
    </row>
    <row r="1663" spans="5:8">
      <c r="E1663" s="475"/>
      <c r="F1663" s="475"/>
      <c r="G1663" s="325"/>
      <c r="H1663" s="325"/>
    </row>
    <row r="1664" spans="5:8">
      <c r="E1664" s="475"/>
      <c r="F1664" s="475"/>
      <c r="G1664" s="325"/>
      <c r="H1664" s="325"/>
    </row>
    <row r="1665" spans="5:8">
      <c r="E1665" s="475"/>
      <c r="F1665" s="475"/>
      <c r="G1665" s="325"/>
      <c r="H1665" s="325"/>
    </row>
    <row r="1666" spans="5:8">
      <c r="E1666" s="475"/>
      <c r="F1666" s="475"/>
      <c r="G1666" s="325"/>
      <c r="H1666" s="325"/>
    </row>
    <row r="1667" spans="5:8">
      <c r="E1667" s="475"/>
      <c r="F1667" s="475"/>
      <c r="G1667" s="325"/>
      <c r="H1667" s="325"/>
    </row>
    <row r="1668" spans="5:8">
      <c r="E1668" s="475"/>
      <c r="F1668" s="475"/>
      <c r="G1668" s="325"/>
      <c r="H1668" s="325"/>
    </row>
    <row r="1669" spans="5:8">
      <c r="E1669" s="475"/>
      <c r="F1669" s="475"/>
      <c r="G1669" s="325"/>
      <c r="H1669" s="325"/>
    </row>
    <row r="1670" spans="5:8">
      <c r="E1670" s="475"/>
      <c r="F1670" s="475"/>
      <c r="G1670" s="325"/>
      <c r="H1670" s="325"/>
    </row>
    <row r="1671" spans="5:8">
      <c r="E1671" s="475"/>
      <c r="F1671" s="475"/>
      <c r="G1671" s="325"/>
      <c r="H1671" s="325"/>
    </row>
    <row r="1672" spans="5:8">
      <c r="E1672" s="475"/>
      <c r="F1672" s="475"/>
      <c r="G1672" s="325"/>
      <c r="H1672" s="325"/>
    </row>
    <row r="1673" spans="5:8">
      <c r="E1673" s="475"/>
      <c r="F1673" s="475"/>
      <c r="G1673" s="325"/>
      <c r="H1673" s="325"/>
    </row>
    <row r="1674" spans="5:8">
      <c r="E1674" s="475"/>
      <c r="F1674" s="475"/>
      <c r="G1674" s="325"/>
      <c r="H1674" s="325"/>
    </row>
    <row r="1675" spans="5:8">
      <c r="E1675" s="475"/>
      <c r="F1675" s="475"/>
      <c r="G1675" s="325"/>
      <c r="H1675" s="325"/>
    </row>
    <row r="1676" spans="5:8">
      <c r="E1676" s="475"/>
      <c r="F1676" s="475"/>
      <c r="G1676" s="325"/>
      <c r="H1676" s="325"/>
    </row>
    <row r="1677" spans="5:8">
      <c r="E1677" s="475"/>
      <c r="F1677" s="475"/>
      <c r="G1677" s="325"/>
      <c r="H1677" s="325"/>
    </row>
    <row r="1678" spans="5:8">
      <c r="E1678" s="475"/>
      <c r="F1678" s="475"/>
      <c r="G1678" s="325"/>
      <c r="H1678" s="325"/>
    </row>
    <row r="1679" spans="5:8">
      <c r="E1679" s="475"/>
      <c r="F1679" s="475"/>
      <c r="G1679" s="325"/>
      <c r="H1679" s="325"/>
    </row>
    <row r="1680" spans="5:8">
      <c r="E1680" s="475"/>
      <c r="F1680" s="475"/>
      <c r="G1680" s="325"/>
      <c r="H1680" s="325"/>
    </row>
    <row r="1681" spans="5:8">
      <c r="E1681" s="475"/>
      <c r="F1681" s="475"/>
      <c r="G1681" s="325"/>
      <c r="H1681" s="325"/>
    </row>
    <row r="1682" spans="5:8">
      <c r="E1682" s="475"/>
      <c r="F1682" s="475"/>
      <c r="G1682" s="325"/>
      <c r="H1682" s="325"/>
    </row>
    <row r="1683" spans="5:8">
      <c r="E1683" s="475"/>
      <c r="F1683" s="475"/>
      <c r="G1683" s="325"/>
      <c r="H1683" s="325"/>
    </row>
    <row r="1684" spans="5:8">
      <c r="E1684" s="475"/>
      <c r="F1684" s="475"/>
      <c r="G1684" s="325"/>
      <c r="H1684" s="325"/>
    </row>
    <row r="1685" spans="5:8">
      <c r="E1685" s="475"/>
      <c r="F1685" s="475"/>
      <c r="G1685" s="325"/>
      <c r="H1685" s="325"/>
    </row>
    <row r="1686" spans="5:8">
      <c r="E1686" s="475"/>
      <c r="F1686" s="475"/>
      <c r="G1686" s="325"/>
      <c r="H1686" s="325"/>
    </row>
    <row r="1687" spans="5:8">
      <c r="E1687" s="475"/>
      <c r="F1687" s="475"/>
      <c r="G1687" s="325"/>
      <c r="H1687" s="325"/>
    </row>
    <row r="1688" spans="5:8">
      <c r="E1688" s="475"/>
      <c r="F1688" s="475"/>
      <c r="G1688" s="325"/>
      <c r="H1688" s="325"/>
    </row>
    <row r="1689" spans="5:8">
      <c r="E1689" s="475"/>
      <c r="F1689" s="475"/>
      <c r="G1689" s="325"/>
      <c r="H1689" s="325"/>
    </row>
    <row r="1690" spans="5:8">
      <c r="E1690" s="475"/>
      <c r="F1690" s="475"/>
      <c r="G1690" s="325"/>
      <c r="H1690" s="325"/>
    </row>
    <row r="1691" spans="5:8">
      <c r="E1691" s="475"/>
      <c r="F1691" s="475"/>
      <c r="G1691" s="325"/>
      <c r="H1691" s="325"/>
    </row>
    <row r="1692" spans="5:8">
      <c r="E1692" s="475"/>
      <c r="F1692" s="475"/>
      <c r="G1692" s="325"/>
      <c r="H1692" s="325"/>
    </row>
    <row r="1693" spans="5:8">
      <c r="E1693" s="475"/>
      <c r="F1693" s="475"/>
      <c r="G1693" s="325"/>
      <c r="H1693" s="325"/>
    </row>
    <row r="1694" spans="5:8">
      <c r="E1694" s="475"/>
      <c r="F1694" s="475"/>
      <c r="G1694" s="325"/>
      <c r="H1694" s="325"/>
    </row>
    <row r="1695" spans="5:8">
      <c r="E1695" s="475"/>
      <c r="F1695" s="475"/>
      <c r="G1695" s="325"/>
      <c r="H1695" s="325"/>
    </row>
    <row r="1696" spans="5:8">
      <c r="E1696" s="475"/>
      <c r="F1696" s="475"/>
      <c r="G1696" s="325"/>
      <c r="H1696" s="325"/>
    </row>
    <row r="1697" spans="5:8">
      <c r="E1697" s="475"/>
      <c r="F1697" s="475"/>
      <c r="G1697" s="325"/>
      <c r="H1697" s="325"/>
    </row>
    <row r="1698" spans="5:8">
      <c r="E1698" s="475"/>
      <c r="F1698" s="475"/>
      <c r="G1698" s="325"/>
      <c r="H1698" s="325"/>
    </row>
    <row r="1699" spans="5:8">
      <c r="E1699" s="475"/>
      <c r="F1699" s="475"/>
      <c r="G1699" s="325"/>
      <c r="H1699" s="325"/>
    </row>
    <row r="1700" spans="5:8">
      <c r="E1700" s="475"/>
      <c r="F1700" s="475"/>
      <c r="G1700" s="325"/>
      <c r="H1700" s="325"/>
    </row>
    <row r="1701" spans="5:8">
      <c r="E1701" s="475"/>
      <c r="F1701" s="475"/>
      <c r="G1701" s="325"/>
      <c r="H1701" s="325"/>
    </row>
    <row r="1702" spans="5:8">
      <c r="E1702" s="475"/>
      <c r="F1702" s="475"/>
      <c r="G1702" s="325"/>
      <c r="H1702" s="325"/>
    </row>
    <row r="1703" spans="5:8">
      <c r="E1703" s="475"/>
      <c r="F1703" s="475"/>
      <c r="G1703" s="325"/>
      <c r="H1703" s="325"/>
    </row>
    <row r="1704" spans="5:8">
      <c r="E1704" s="475"/>
      <c r="F1704" s="475"/>
      <c r="G1704" s="325"/>
      <c r="H1704" s="325"/>
    </row>
    <row r="1705" spans="5:8">
      <c r="E1705" s="475"/>
      <c r="F1705" s="475"/>
      <c r="G1705" s="325"/>
      <c r="H1705" s="325"/>
    </row>
    <row r="1706" spans="5:8">
      <c r="E1706" s="475"/>
      <c r="F1706" s="475"/>
      <c r="G1706" s="325"/>
      <c r="H1706" s="325"/>
    </row>
    <row r="1707" spans="5:8">
      <c r="E1707" s="475"/>
      <c r="F1707" s="475"/>
      <c r="G1707" s="325"/>
      <c r="H1707" s="325"/>
    </row>
    <row r="1708" spans="5:8">
      <c r="E1708" s="475"/>
      <c r="F1708" s="475"/>
      <c r="G1708" s="325"/>
      <c r="H1708" s="325"/>
    </row>
    <row r="1709" spans="5:8">
      <c r="E1709" s="475"/>
      <c r="F1709" s="475"/>
      <c r="G1709" s="325"/>
      <c r="H1709" s="325"/>
    </row>
    <row r="1710" spans="5:8">
      <c r="E1710" s="475"/>
      <c r="F1710" s="475"/>
      <c r="G1710" s="325"/>
      <c r="H1710" s="325"/>
    </row>
    <row r="1711" spans="5:8">
      <c r="E1711" s="475"/>
      <c r="F1711" s="475"/>
      <c r="G1711" s="325"/>
      <c r="H1711" s="325"/>
    </row>
    <row r="1712" spans="5:8">
      <c r="E1712" s="475"/>
      <c r="F1712" s="475"/>
      <c r="G1712" s="325"/>
      <c r="H1712" s="325"/>
    </row>
    <row r="1713" spans="5:8">
      <c r="E1713" s="475"/>
      <c r="F1713" s="475"/>
      <c r="G1713" s="325"/>
      <c r="H1713" s="325"/>
    </row>
    <row r="1714" spans="5:8">
      <c r="E1714" s="475"/>
      <c r="F1714" s="475"/>
      <c r="G1714" s="325"/>
      <c r="H1714" s="325"/>
    </row>
    <row r="1715" spans="5:8">
      <c r="E1715" s="475"/>
      <c r="F1715" s="475"/>
      <c r="G1715" s="325"/>
      <c r="H1715" s="325"/>
    </row>
    <row r="1716" spans="5:8">
      <c r="E1716" s="475"/>
      <c r="F1716" s="475"/>
      <c r="G1716" s="325"/>
      <c r="H1716" s="325"/>
    </row>
    <row r="1717" spans="5:8">
      <c r="E1717" s="475"/>
      <c r="F1717" s="475"/>
      <c r="G1717" s="325"/>
      <c r="H1717" s="325"/>
    </row>
    <row r="1718" spans="5:8">
      <c r="E1718" s="475"/>
      <c r="F1718" s="475"/>
      <c r="G1718" s="325"/>
      <c r="H1718" s="325"/>
    </row>
    <row r="1719" spans="5:8">
      <c r="E1719" s="475"/>
      <c r="F1719" s="475"/>
      <c r="G1719" s="325"/>
      <c r="H1719" s="325"/>
    </row>
    <row r="1720" spans="5:8">
      <c r="E1720" s="475"/>
      <c r="F1720" s="475"/>
      <c r="G1720" s="325"/>
      <c r="H1720" s="325"/>
    </row>
    <row r="1721" spans="5:8">
      <c r="E1721" s="475"/>
      <c r="F1721" s="475"/>
      <c r="G1721" s="325"/>
      <c r="H1721" s="325"/>
    </row>
    <row r="1722" spans="5:8">
      <c r="E1722" s="475"/>
      <c r="F1722" s="475"/>
      <c r="G1722" s="325"/>
      <c r="H1722" s="325"/>
    </row>
    <row r="1723" spans="5:8">
      <c r="E1723" s="475"/>
      <c r="F1723" s="475"/>
      <c r="G1723" s="325"/>
      <c r="H1723" s="325"/>
    </row>
    <row r="1724" spans="5:8">
      <c r="E1724" s="475"/>
      <c r="F1724" s="475"/>
      <c r="G1724" s="325"/>
      <c r="H1724" s="325"/>
    </row>
    <row r="1725" spans="5:8">
      <c r="E1725" s="475"/>
      <c r="F1725" s="475"/>
      <c r="G1725" s="325"/>
      <c r="H1725" s="325"/>
    </row>
    <row r="1726" spans="5:8">
      <c r="E1726" s="475"/>
      <c r="F1726" s="475"/>
      <c r="G1726" s="325"/>
      <c r="H1726" s="325"/>
    </row>
    <row r="1727" spans="5:8">
      <c r="E1727" s="475"/>
      <c r="F1727" s="475"/>
      <c r="G1727" s="325"/>
      <c r="H1727" s="325"/>
    </row>
    <row r="1728" spans="5:8">
      <c r="E1728" s="475"/>
      <c r="F1728" s="475"/>
      <c r="G1728" s="325"/>
      <c r="H1728" s="325"/>
    </row>
    <row r="1729" spans="5:8">
      <c r="E1729" s="475"/>
      <c r="F1729" s="475"/>
      <c r="G1729" s="325"/>
      <c r="H1729" s="325"/>
    </row>
    <row r="1730" spans="5:8">
      <c r="E1730" s="475"/>
      <c r="F1730" s="475"/>
      <c r="G1730" s="325"/>
      <c r="H1730" s="325"/>
    </row>
    <row r="1731" spans="5:8">
      <c r="E1731" s="475"/>
      <c r="F1731" s="475"/>
      <c r="G1731" s="325"/>
      <c r="H1731" s="325"/>
    </row>
    <row r="1732" spans="5:8">
      <c r="E1732" s="475"/>
      <c r="F1732" s="475"/>
      <c r="G1732" s="325"/>
      <c r="H1732" s="325"/>
    </row>
    <row r="1733" spans="5:8">
      <c r="E1733" s="475"/>
      <c r="F1733" s="475"/>
      <c r="G1733" s="325"/>
      <c r="H1733" s="325"/>
    </row>
    <row r="1734" spans="5:8">
      <c r="E1734" s="475"/>
      <c r="F1734" s="475"/>
      <c r="G1734" s="325"/>
      <c r="H1734" s="325"/>
    </row>
    <row r="1735" spans="5:8">
      <c r="E1735" s="475"/>
      <c r="F1735" s="475"/>
      <c r="G1735" s="325"/>
      <c r="H1735" s="325"/>
    </row>
    <row r="1736" spans="5:8">
      <c r="E1736" s="475"/>
      <c r="F1736" s="475"/>
      <c r="G1736" s="325"/>
      <c r="H1736" s="325"/>
    </row>
    <row r="1737" spans="5:8">
      <c r="E1737" s="475"/>
      <c r="F1737" s="475"/>
      <c r="G1737" s="325"/>
      <c r="H1737" s="325"/>
    </row>
    <row r="1738" spans="5:8">
      <c r="E1738" s="475"/>
      <c r="F1738" s="475"/>
      <c r="G1738" s="325"/>
      <c r="H1738" s="325"/>
    </row>
    <row r="1739" spans="5:8">
      <c r="E1739" s="475"/>
      <c r="F1739" s="475"/>
      <c r="G1739" s="325"/>
      <c r="H1739" s="325"/>
    </row>
    <row r="1740" spans="5:8">
      <c r="E1740" s="475"/>
      <c r="F1740" s="475"/>
      <c r="G1740" s="325"/>
      <c r="H1740" s="325"/>
    </row>
    <row r="1741" spans="5:8">
      <c r="E1741" s="475"/>
      <c r="F1741" s="475"/>
      <c r="G1741" s="325"/>
      <c r="H1741" s="325"/>
    </row>
    <row r="1742" spans="5:8">
      <c r="E1742" s="475"/>
      <c r="F1742" s="475"/>
      <c r="G1742" s="325"/>
      <c r="H1742" s="325"/>
    </row>
    <row r="1743" spans="5:8">
      <c r="E1743" s="475"/>
      <c r="F1743" s="475"/>
      <c r="G1743" s="325"/>
      <c r="H1743" s="325"/>
    </row>
    <row r="1744" spans="5:8">
      <c r="E1744" s="475"/>
      <c r="F1744" s="475"/>
      <c r="G1744" s="325"/>
      <c r="H1744" s="325"/>
    </row>
    <row r="1745" spans="5:8">
      <c r="E1745" s="475"/>
      <c r="F1745" s="475"/>
      <c r="G1745" s="325"/>
      <c r="H1745" s="325"/>
    </row>
    <row r="1746" spans="5:8">
      <c r="E1746" s="475"/>
      <c r="F1746" s="475"/>
      <c r="G1746" s="325"/>
      <c r="H1746" s="325"/>
    </row>
    <row r="1747" spans="5:8">
      <c r="E1747" s="475"/>
      <c r="F1747" s="475"/>
      <c r="G1747" s="325"/>
      <c r="H1747" s="325"/>
    </row>
    <row r="1748" spans="5:8">
      <c r="E1748" s="475"/>
      <c r="F1748" s="475"/>
      <c r="G1748" s="325"/>
      <c r="H1748" s="325"/>
    </row>
    <row r="1749" spans="5:8">
      <c r="E1749" s="475"/>
      <c r="F1749" s="475"/>
      <c r="G1749" s="325"/>
      <c r="H1749" s="325"/>
    </row>
    <row r="1750" spans="5:8">
      <c r="E1750" s="475"/>
      <c r="F1750" s="475"/>
      <c r="G1750" s="325"/>
      <c r="H1750" s="325"/>
    </row>
    <row r="1751" spans="5:8">
      <c r="E1751" s="475"/>
      <c r="F1751" s="475"/>
      <c r="G1751" s="325"/>
      <c r="H1751" s="325"/>
    </row>
    <row r="1752" spans="5:8">
      <c r="E1752" s="475"/>
      <c r="F1752" s="475"/>
      <c r="G1752" s="325"/>
      <c r="H1752" s="325"/>
    </row>
    <row r="1753" spans="5:8">
      <c r="E1753" s="475"/>
      <c r="F1753" s="475"/>
      <c r="G1753" s="325"/>
      <c r="H1753" s="325"/>
    </row>
    <row r="1754" spans="5:8">
      <c r="E1754" s="475"/>
      <c r="F1754" s="475"/>
      <c r="G1754" s="325"/>
      <c r="H1754" s="325"/>
    </row>
    <row r="1755" spans="5:8">
      <c r="E1755" s="475"/>
      <c r="F1755" s="475"/>
      <c r="G1755" s="325"/>
      <c r="H1755" s="325"/>
    </row>
    <row r="1756" spans="5:8">
      <c r="E1756" s="475"/>
      <c r="F1756" s="475"/>
      <c r="G1756" s="325"/>
      <c r="H1756" s="325"/>
    </row>
    <row r="1757" spans="5:8">
      <c r="E1757" s="475"/>
      <c r="F1757" s="475"/>
      <c r="G1757" s="325"/>
      <c r="H1757" s="325"/>
    </row>
    <row r="1758" spans="5:8">
      <c r="E1758" s="475"/>
      <c r="F1758" s="475"/>
      <c r="G1758" s="325"/>
      <c r="H1758" s="325"/>
    </row>
    <row r="1759" spans="5:8">
      <c r="E1759" s="475"/>
      <c r="F1759" s="475"/>
      <c r="G1759" s="325"/>
      <c r="H1759" s="325"/>
    </row>
    <row r="1760" spans="5:8">
      <c r="E1760" s="475"/>
      <c r="F1760" s="475"/>
      <c r="G1760" s="325"/>
      <c r="H1760" s="325"/>
    </row>
    <row r="1761" spans="5:8">
      <c r="E1761" s="475"/>
      <c r="F1761" s="475"/>
      <c r="G1761" s="325"/>
      <c r="H1761" s="325"/>
    </row>
    <row r="1762" spans="5:8">
      <c r="E1762" s="475"/>
      <c r="F1762" s="475"/>
      <c r="G1762" s="325"/>
      <c r="H1762" s="325"/>
    </row>
    <row r="1763" spans="5:8">
      <c r="E1763" s="475"/>
      <c r="F1763" s="475"/>
      <c r="G1763" s="325"/>
      <c r="H1763" s="325"/>
    </row>
    <row r="1764" spans="5:8">
      <c r="E1764" s="475"/>
      <c r="F1764" s="475"/>
      <c r="G1764" s="325"/>
      <c r="H1764" s="325"/>
    </row>
    <row r="1765" spans="5:8">
      <c r="E1765" s="475"/>
      <c r="F1765" s="475"/>
      <c r="G1765" s="325"/>
      <c r="H1765" s="325"/>
    </row>
    <row r="1766" spans="5:8">
      <c r="E1766" s="475"/>
      <c r="F1766" s="475"/>
      <c r="G1766" s="325"/>
      <c r="H1766" s="325"/>
    </row>
    <row r="1767" spans="5:8">
      <c r="E1767" s="475"/>
      <c r="F1767" s="475"/>
      <c r="G1767" s="325"/>
      <c r="H1767" s="325"/>
    </row>
    <row r="1768" spans="5:8">
      <c r="E1768" s="475"/>
      <c r="F1768" s="475"/>
      <c r="G1768" s="325"/>
      <c r="H1768" s="325"/>
    </row>
    <row r="1769" spans="5:8">
      <c r="E1769" s="475"/>
      <c r="F1769" s="475"/>
      <c r="G1769" s="325"/>
      <c r="H1769" s="325"/>
    </row>
    <row r="1770" spans="5:8">
      <c r="E1770" s="475"/>
      <c r="F1770" s="475"/>
      <c r="G1770" s="325"/>
      <c r="H1770" s="325"/>
    </row>
    <row r="1771" spans="5:8">
      <c r="E1771" s="475"/>
      <c r="F1771" s="475"/>
      <c r="G1771" s="325"/>
      <c r="H1771" s="325"/>
    </row>
    <row r="1772" spans="5:8">
      <c r="E1772" s="475"/>
      <c r="F1772" s="475"/>
      <c r="G1772" s="325"/>
      <c r="H1772" s="325"/>
    </row>
    <row r="1773" spans="5:8">
      <c r="E1773" s="475"/>
      <c r="F1773" s="475"/>
      <c r="G1773" s="325"/>
      <c r="H1773" s="325"/>
    </row>
    <row r="1774" spans="5:8">
      <c r="E1774" s="475"/>
      <c r="F1774" s="475"/>
      <c r="G1774" s="325"/>
      <c r="H1774" s="325"/>
    </row>
    <row r="1775" spans="5:8">
      <c r="E1775" s="475"/>
      <c r="F1775" s="475"/>
      <c r="G1775" s="325"/>
      <c r="H1775" s="325"/>
    </row>
    <row r="1776" spans="5:8">
      <c r="E1776" s="475"/>
      <c r="F1776" s="475"/>
      <c r="G1776" s="325"/>
      <c r="H1776" s="325"/>
    </row>
    <row r="1777" spans="5:8">
      <c r="E1777" s="475"/>
      <c r="F1777" s="475"/>
      <c r="G1777" s="325"/>
      <c r="H1777" s="325"/>
    </row>
    <row r="1778" spans="5:8">
      <c r="E1778" s="475"/>
      <c r="F1778" s="475"/>
      <c r="G1778" s="325"/>
      <c r="H1778" s="325"/>
    </row>
    <row r="1779" spans="5:8">
      <c r="E1779" s="475"/>
      <c r="F1779" s="475"/>
      <c r="G1779" s="325"/>
      <c r="H1779" s="325"/>
    </row>
    <row r="1780" spans="5:8">
      <c r="E1780" s="475"/>
      <c r="F1780" s="475"/>
      <c r="G1780" s="325"/>
      <c r="H1780" s="325"/>
    </row>
    <row r="1781" spans="5:8">
      <c r="E1781" s="475"/>
      <c r="F1781" s="475"/>
      <c r="G1781" s="325"/>
      <c r="H1781" s="325"/>
    </row>
    <row r="1782" spans="5:8">
      <c r="E1782" s="475"/>
      <c r="F1782" s="475"/>
      <c r="G1782" s="325"/>
      <c r="H1782" s="325"/>
    </row>
    <row r="1783" spans="5:8">
      <c r="E1783" s="475"/>
      <c r="F1783" s="475"/>
      <c r="G1783" s="325"/>
      <c r="H1783" s="325"/>
    </row>
    <row r="1784" spans="5:8">
      <c r="E1784" s="475"/>
      <c r="F1784" s="475"/>
      <c r="G1784" s="325"/>
      <c r="H1784" s="325"/>
    </row>
    <row r="1785" spans="5:8">
      <c r="E1785" s="475"/>
      <c r="F1785" s="475"/>
      <c r="G1785" s="325"/>
      <c r="H1785" s="325"/>
    </row>
    <row r="1786" spans="5:8">
      <c r="E1786" s="475"/>
      <c r="F1786" s="475"/>
      <c r="G1786" s="325"/>
      <c r="H1786" s="325"/>
    </row>
    <row r="1787" spans="5:8">
      <c r="E1787" s="475"/>
      <c r="F1787" s="475"/>
      <c r="G1787" s="325"/>
      <c r="H1787" s="325"/>
    </row>
    <row r="1788" spans="5:8">
      <c r="E1788" s="475"/>
      <c r="F1788" s="475"/>
      <c r="G1788" s="325"/>
      <c r="H1788" s="325"/>
    </row>
    <row r="1789" spans="5:8">
      <c r="E1789" s="475"/>
      <c r="F1789" s="475"/>
      <c r="G1789" s="325"/>
      <c r="H1789" s="325"/>
    </row>
    <row r="1790" spans="5:8">
      <c r="E1790" s="475"/>
      <c r="F1790" s="475"/>
      <c r="G1790" s="325"/>
      <c r="H1790" s="325"/>
    </row>
    <row r="1791" spans="5:8">
      <c r="E1791" s="475"/>
      <c r="F1791" s="475"/>
      <c r="G1791" s="325"/>
      <c r="H1791" s="325"/>
    </row>
    <row r="1792" spans="5:8">
      <c r="E1792" s="475"/>
      <c r="F1792" s="475"/>
      <c r="G1792" s="325"/>
      <c r="H1792" s="325"/>
    </row>
    <row r="1793" spans="5:8">
      <c r="E1793" s="475"/>
      <c r="F1793" s="475"/>
      <c r="G1793" s="325"/>
      <c r="H1793" s="325"/>
    </row>
    <row r="1794" spans="5:8">
      <c r="E1794" s="475"/>
      <c r="F1794" s="475"/>
      <c r="G1794" s="325"/>
      <c r="H1794" s="325"/>
    </row>
    <row r="1795" spans="5:8">
      <c r="E1795" s="475"/>
      <c r="F1795" s="475"/>
      <c r="G1795" s="325"/>
      <c r="H1795" s="325"/>
    </row>
    <row r="1796" spans="5:8">
      <c r="E1796" s="475"/>
      <c r="F1796" s="475"/>
      <c r="G1796" s="325"/>
      <c r="H1796" s="325"/>
    </row>
    <row r="1797" spans="5:8">
      <c r="E1797" s="475"/>
      <c r="F1797" s="475"/>
      <c r="G1797" s="325"/>
      <c r="H1797" s="325"/>
    </row>
    <row r="1798" spans="5:8">
      <c r="E1798" s="475"/>
      <c r="F1798" s="475"/>
      <c r="G1798" s="325"/>
      <c r="H1798" s="325"/>
    </row>
    <row r="1799" spans="5:8">
      <c r="E1799" s="475"/>
      <c r="F1799" s="475"/>
      <c r="G1799" s="325"/>
      <c r="H1799" s="325"/>
    </row>
    <row r="1800" spans="5:8">
      <c r="E1800" s="475"/>
      <c r="F1800" s="475"/>
      <c r="G1800" s="325"/>
      <c r="H1800" s="325"/>
    </row>
    <row r="1801" spans="5:8">
      <c r="E1801" s="475"/>
      <c r="F1801" s="475"/>
      <c r="G1801" s="325"/>
      <c r="H1801" s="325"/>
    </row>
    <row r="1802" spans="5:8">
      <c r="E1802" s="475"/>
      <c r="F1802" s="475"/>
      <c r="G1802" s="325"/>
      <c r="H1802" s="325"/>
    </row>
    <row r="1803" spans="5:8">
      <c r="E1803" s="475"/>
      <c r="F1803" s="475"/>
      <c r="G1803" s="325"/>
      <c r="H1803" s="325"/>
    </row>
    <row r="1804" spans="5:8">
      <c r="E1804" s="475"/>
      <c r="F1804" s="475"/>
      <c r="G1804" s="325"/>
      <c r="H1804" s="325"/>
    </row>
    <row r="1805" spans="5:8">
      <c r="E1805" s="475"/>
      <c r="F1805" s="475"/>
      <c r="G1805" s="325"/>
      <c r="H1805" s="325"/>
    </row>
    <row r="1806" spans="5:8">
      <c r="E1806" s="475"/>
      <c r="F1806" s="475"/>
      <c r="G1806" s="325"/>
      <c r="H1806" s="325"/>
    </row>
    <row r="1807" spans="5:8">
      <c r="E1807" s="475"/>
      <c r="F1807" s="475"/>
      <c r="G1807" s="325"/>
      <c r="H1807" s="325"/>
    </row>
    <row r="1808" spans="5:8">
      <c r="E1808" s="475"/>
      <c r="F1808" s="475"/>
      <c r="G1808" s="325"/>
      <c r="H1808" s="325"/>
    </row>
    <row r="1809" spans="5:8">
      <c r="E1809" s="475"/>
      <c r="F1809" s="475"/>
      <c r="G1809" s="325"/>
      <c r="H1809" s="325"/>
    </row>
    <row r="1810" spans="5:8">
      <c r="E1810" s="475"/>
      <c r="F1810" s="475"/>
      <c r="G1810" s="325"/>
      <c r="H1810" s="325"/>
    </row>
    <row r="1811" spans="5:8">
      <c r="E1811" s="475"/>
      <c r="F1811" s="475"/>
      <c r="G1811" s="325"/>
      <c r="H1811" s="325"/>
    </row>
    <row r="1812" spans="5:8">
      <c r="E1812" s="475"/>
      <c r="F1812" s="475"/>
      <c r="G1812" s="325"/>
      <c r="H1812" s="325"/>
    </row>
    <row r="1813" spans="5:8">
      <c r="E1813" s="475"/>
      <c r="F1813" s="475"/>
      <c r="G1813" s="325"/>
      <c r="H1813" s="325"/>
    </row>
    <row r="1814" spans="5:8">
      <c r="E1814" s="475"/>
      <c r="F1814" s="475"/>
      <c r="G1814" s="325"/>
      <c r="H1814" s="325"/>
    </row>
    <row r="1815" spans="5:8">
      <c r="E1815" s="475"/>
      <c r="F1815" s="475"/>
      <c r="G1815" s="325"/>
      <c r="H1815" s="325"/>
    </row>
    <row r="1816" spans="5:8">
      <c r="E1816" s="475"/>
      <c r="F1816" s="475"/>
      <c r="G1816" s="325"/>
      <c r="H1816" s="325"/>
    </row>
    <row r="1817" spans="5:8">
      <c r="E1817" s="475"/>
      <c r="F1817" s="475"/>
      <c r="G1817" s="325"/>
      <c r="H1817" s="325"/>
    </row>
    <row r="1818" spans="5:8">
      <c r="E1818" s="475"/>
      <c r="F1818" s="475"/>
      <c r="G1818" s="325"/>
      <c r="H1818" s="325"/>
    </row>
    <row r="1819" spans="5:8">
      <c r="E1819" s="475"/>
      <c r="F1819" s="475"/>
      <c r="G1819" s="325"/>
      <c r="H1819" s="325"/>
    </row>
    <row r="1820" spans="5:8">
      <c r="E1820" s="475"/>
      <c r="F1820" s="475"/>
      <c r="G1820" s="325"/>
      <c r="H1820" s="325"/>
    </row>
    <row r="1821" spans="5:8">
      <c r="E1821" s="475"/>
      <c r="F1821" s="475"/>
      <c r="G1821" s="325"/>
      <c r="H1821" s="325"/>
    </row>
    <row r="1822" spans="5:8">
      <c r="E1822" s="475"/>
      <c r="F1822" s="475"/>
      <c r="G1822" s="325"/>
      <c r="H1822" s="325"/>
    </row>
    <row r="1823" spans="5:8">
      <c r="E1823" s="475"/>
      <c r="F1823" s="475"/>
      <c r="G1823" s="325"/>
      <c r="H1823" s="325"/>
    </row>
    <row r="1824" spans="5:8">
      <c r="E1824" s="475"/>
      <c r="F1824" s="475"/>
      <c r="G1824" s="325"/>
      <c r="H1824" s="325"/>
    </row>
    <row r="1825" spans="5:8">
      <c r="E1825" s="475"/>
      <c r="F1825" s="475"/>
      <c r="G1825" s="325"/>
      <c r="H1825" s="325"/>
    </row>
    <row r="1826" spans="5:8">
      <c r="E1826" s="475"/>
      <c r="F1826" s="475"/>
      <c r="G1826" s="325"/>
      <c r="H1826" s="325"/>
    </row>
    <row r="1827" spans="5:8">
      <c r="E1827" s="475"/>
      <c r="F1827" s="475"/>
      <c r="G1827" s="325"/>
      <c r="H1827" s="325"/>
    </row>
    <row r="1828" spans="5:8">
      <c r="E1828" s="475"/>
      <c r="F1828" s="475"/>
      <c r="G1828" s="325"/>
      <c r="H1828" s="325"/>
    </row>
    <row r="1829" spans="5:8">
      <c r="E1829" s="475"/>
      <c r="F1829" s="475"/>
      <c r="G1829" s="325"/>
      <c r="H1829" s="325"/>
    </row>
    <row r="1830" spans="5:8">
      <c r="E1830" s="475"/>
      <c r="F1830" s="475"/>
      <c r="G1830" s="325"/>
      <c r="H1830" s="325"/>
    </row>
    <row r="1831" spans="5:8">
      <c r="E1831" s="475"/>
      <c r="F1831" s="475"/>
      <c r="G1831" s="325"/>
      <c r="H1831" s="325"/>
    </row>
    <row r="1832" spans="5:8">
      <c r="E1832" s="475"/>
      <c r="F1832" s="475"/>
      <c r="G1832" s="325"/>
      <c r="H1832" s="325"/>
    </row>
    <row r="1833" spans="5:8">
      <c r="E1833" s="475"/>
      <c r="F1833" s="475"/>
      <c r="G1833" s="325"/>
      <c r="H1833" s="325"/>
    </row>
    <row r="1834" spans="5:8">
      <c r="E1834" s="475"/>
      <c r="F1834" s="475"/>
      <c r="G1834" s="325"/>
      <c r="H1834" s="325"/>
    </row>
    <row r="1835" spans="5:8">
      <c r="E1835" s="475"/>
      <c r="F1835" s="475"/>
      <c r="G1835" s="325"/>
      <c r="H1835" s="325"/>
    </row>
    <row r="1836" spans="5:8">
      <c r="E1836" s="475"/>
      <c r="F1836" s="475"/>
      <c r="G1836" s="325"/>
      <c r="H1836" s="325"/>
    </row>
    <row r="1837" spans="5:8">
      <c r="E1837" s="475"/>
      <c r="F1837" s="475"/>
      <c r="G1837" s="325"/>
      <c r="H1837" s="325"/>
    </row>
    <row r="1838" spans="5:8">
      <c r="E1838" s="475"/>
      <c r="F1838" s="475"/>
      <c r="G1838" s="325"/>
      <c r="H1838" s="325"/>
    </row>
    <row r="1839" spans="5:8">
      <c r="E1839" s="475"/>
      <c r="F1839" s="475"/>
      <c r="G1839" s="325"/>
      <c r="H1839" s="325"/>
    </row>
    <row r="1840" spans="5:8">
      <c r="E1840" s="475"/>
      <c r="F1840" s="475"/>
      <c r="G1840" s="325"/>
      <c r="H1840" s="325"/>
    </row>
    <row r="1841" spans="5:8">
      <c r="E1841" s="475"/>
      <c r="F1841" s="475"/>
      <c r="G1841" s="325"/>
      <c r="H1841" s="325"/>
    </row>
    <row r="1842" spans="5:8">
      <c r="E1842" s="475"/>
      <c r="F1842" s="475"/>
      <c r="G1842" s="325"/>
      <c r="H1842" s="325"/>
    </row>
    <row r="1843" spans="5:8">
      <c r="E1843" s="475"/>
      <c r="F1843" s="475"/>
      <c r="G1843" s="325"/>
      <c r="H1843" s="325"/>
    </row>
    <row r="1844" spans="5:8">
      <c r="E1844" s="475"/>
      <c r="F1844" s="475"/>
      <c r="G1844" s="325"/>
      <c r="H1844" s="325"/>
    </row>
    <row r="1845" spans="5:8">
      <c r="E1845" s="475"/>
      <c r="F1845" s="475"/>
      <c r="G1845" s="325"/>
      <c r="H1845" s="325"/>
    </row>
    <row r="1846" spans="5:8">
      <c r="E1846" s="475"/>
      <c r="F1846" s="475"/>
      <c r="G1846" s="325"/>
      <c r="H1846" s="325"/>
    </row>
    <row r="1847" spans="5:8">
      <c r="E1847" s="475"/>
      <c r="F1847" s="475"/>
      <c r="G1847" s="325"/>
      <c r="H1847" s="325"/>
    </row>
    <row r="1848" spans="5:8">
      <c r="E1848" s="475"/>
      <c r="F1848" s="475"/>
      <c r="G1848" s="325"/>
      <c r="H1848" s="325"/>
    </row>
    <row r="1849" spans="5:8">
      <c r="E1849" s="475"/>
      <c r="F1849" s="475"/>
      <c r="G1849" s="325"/>
      <c r="H1849" s="325"/>
    </row>
    <row r="1850" spans="5:8">
      <c r="E1850" s="475"/>
      <c r="F1850" s="475"/>
      <c r="G1850" s="325"/>
      <c r="H1850" s="325"/>
    </row>
    <row r="1851" spans="5:8">
      <c r="E1851" s="475"/>
      <c r="F1851" s="475"/>
      <c r="G1851" s="325"/>
      <c r="H1851" s="325"/>
    </row>
    <row r="1852" spans="5:8">
      <c r="E1852" s="475"/>
      <c r="F1852" s="475"/>
      <c r="G1852" s="325"/>
      <c r="H1852" s="325"/>
    </row>
    <row r="1853" spans="5:8">
      <c r="E1853" s="475"/>
      <c r="F1853" s="475"/>
      <c r="G1853" s="325"/>
      <c r="H1853" s="325"/>
    </row>
    <row r="1854" spans="5:8">
      <c r="E1854" s="475"/>
      <c r="F1854" s="475"/>
      <c r="G1854" s="325"/>
      <c r="H1854" s="325"/>
    </row>
    <row r="1855" spans="5:8">
      <c r="E1855" s="475"/>
      <c r="F1855" s="475"/>
      <c r="G1855" s="325"/>
      <c r="H1855" s="325"/>
    </row>
    <row r="1856" spans="5:8">
      <c r="E1856" s="475"/>
      <c r="F1856" s="475"/>
      <c r="G1856" s="325"/>
      <c r="H1856" s="325"/>
    </row>
    <row r="1857" spans="5:8">
      <c r="E1857" s="475"/>
      <c r="F1857" s="475"/>
      <c r="G1857" s="325"/>
      <c r="H1857" s="325"/>
    </row>
    <row r="1858" spans="5:8">
      <c r="E1858" s="475"/>
      <c r="F1858" s="475"/>
      <c r="G1858" s="325"/>
      <c r="H1858" s="325"/>
    </row>
    <row r="1859" spans="5:8">
      <c r="E1859" s="475"/>
      <c r="F1859" s="475"/>
      <c r="G1859" s="325"/>
      <c r="H1859" s="325"/>
    </row>
    <row r="1860" spans="5:8">
      <c r="E1860" s="475"/>
      <c r="F1860" s="475"/>
      <c r="G1860" s="325"/>
      <c r="H1860" s="325"/>
    </row>
    <row r="1861" spans="5:8">
      <c r="E1861" s="475"/>
      <c r="F1861" s="475"/>
      <c r="G1861" s="325"/>
      <c r="H1861" s="325"/>
    </row>
    <row r="1862" spans="5:8">
      <c r="E1862" s="475"/>
      <c r="F1862" s="475"/>
      <c r="G1862" s="325"/>
      <c r="H1862" s="325"/>
    </row>
    <row r="1863" spans="5:8">
      <c r="E1863" s="475"/>
      <c r="F1863" s="475"/>
      <c r="G1863" s="325"/>
      <c r="H1863" s="325"/>
    </row>
    <row r="1864" spans="5:8">
      <c r="E1864" s="475"/>
      <c r="F1864" s="475"/>
      <c r="G1864" s="325"/>
      <c r="H1864" s="325"/>
    </row>
    <row r="1865" spans="5:8">
      <c r="E1865" s="475"/>
      <c r="F1865" s="475"/>
      <c r="G1865" s="325"/>
      <c r="H1865" s="325"/>
    </row>
    <row r="1866" spans="5:8">
      <c r="E1866" s="475"/>
      <c r="F1866" s="475"/>
      <c r="G1866" s="325"/>
      <c r="H1866" s="325"/>
    </row>
    <row r="1867" spans="5:8">
      <c r="E1867" s="475"/>
      <c r="F1867" s="475"/>
      <c r="G1867" s="325"/>
      <c r="H1867" s="325"/>
    </row>
    <row r="1868" spans="5:8">
      <c r="E1868" s="475"/>
      <c r="F1868" s="475"/>
      <c r="G1868" s="325"/>
      <c r="H1868" s="325"/>
    </row>
    <row r="1869" spans="5:8">
      <c r="E1869" s="475"/>
      <c r="F1869" s="475"/>
      <c r="G1869" s="325"/>
      <c r="H1869" s="325"/>
    </row>
    <row r="1870" spans="5:8">
      <c r="E1870" s="475"/>
      <c r="F1870" s="475"/>
      <c r="G1870" s="325"/>
      <c r="H1870" s="325"/>
    </row>
    <row r="1871" spans="5:8">
      <c r="E1871" s="475"/>
      <c r="F1871" s="475"/>
      <c r="G1871" s="325"/>
      <c r="H1871" s="325"/>
    </row>
    <row r="1872" spans="5:8">
      <c r="E1872" s="475"/>
      <c r="F1872" s="475"/>
      <c r="G1872" s="325"/>
      <c r="H1872" s="325"/>
    </row>
    <row r="1873" spans="5:8">
      <c r="E1873" s="475"/>
      <c r="F1873" s="475"/>
      <c r="G1873" s="325"/>
      <c r="H1873" s="325"/>
    </row>
    <row r="1874" spans="5:8">
      <c r="E1874" s="475"/>
      <c r="F1874" s="475"/>
      <c r="G1874" s="325"/>
      <c r="H1874" s="325"/>
    </row>
    <row r="1875" spans="5:8">
      <c r="E1875" s="475"/>
      <c r="F1875" s="475"/>
      <c r="G1875" s="325"/>
      <c r="H1875" s="325"/>
    </row>
    <row r="1876" spans="5:8">
      <c r="E1876" s="475"/>
      <c r="F1876" s="475"/>
      <c r="G1876" s="325"/>
      <c r="H1876" s="325"/>
    </row>
    <row r="1877" spans="5:8">
      <c r="E1877" s="475"/>
      <c r="F1877" s="475"/>
      <c r="G1877" s="325"/>
      <c r="H1877" s="325"/>
    </row>
    <row r="1878" spans="5:8">
      <c r="E1878" s="475"/>
      <c r="F1878" s="475"/>
      <c r="G1878" s="325"/>
      <c r="H1878" s="325"/>
    </row>
    <row r="1879" spans="5:8">
      <c r="E1879" s="475"/>
      <c r="F1879" s="475"/>
      <c r="G1879" s="325"/>
      <c r="H1879" s="325"/>
    </row>
    <row r="1880" spans="5:8">
      <c r="E1880" s="475"/>
      <c r="F1880" s="475"/>
      <c r="G1880" s="325"/>
      <c r="H1880" s="325"/>
    </row>
    <row r="1881" spans="5:8">
      <c r="E1881" s="475"/>
      <c r="F1881" s="475"/>
      <c r="G1881" s="325"/>
      <c r="H1881" s="325"/>
    </row>
    <row r="1882" spans="5:8">
      <c r="E1882" s="475"/>
      <c r="F1882" s="475"/>
      <c r="G1882" s="325"/>
      <c r="H1882" s="325"/>
    </row>
    <row r="1883" spans="5:8">
      <c r="E1883" s="475"/>
      <c r="F1883" s="475"/>
      <c r="G1883" s="325"/>
      <c r="H1883" s="325"/>
    </row>
    <row r="1884" spans="5:8">
      <c r="E1884" s="475"/>
      <c r="F1884" s="475"/>
      <c r="G1884" s="325"/>
      <c r="H1884" s="325"/>
    </row>
    <row r="1885" spans="5:8">
      <c r="E1885" s="475"/>
      <c r="F1885" s="475"/>
      <c r="G1885" s="325"/>
      <c r="H1885" s="325"/>
    </row>
    <row r="1886" spans="5:8">
      <c r="E1886" s="475"/>
      <c r="F1886" s="475"/>
      <c r="G1886" s="325"/>
      <c r="H1886" s="325"/>
    </row>
    <row r="1887" spans="5:8">
      <c r="E1887" s="475"/>
      <c r="F1887" s="475"/>
      <c r="G1887" s="325"/>
      <c r="H1887" s="325"/>
    </row>
    <row r="1888" spans="5:8">
      <c r="E1888" s="475"/>
      <c r="F1888" s="475"/>
      <c r="G1888" s="325"/>
      <c r="H1888" s="325"/>
    </row>
    <row r="1889" spans="5:8">
      <c r="E1889" s="475"/>
      <c r="F1889" s="475"/>
      <c r="G1889" s="325"/>
      <c r="H1889" s="325"/>
    </row>
    <row r="1890" spans="5:8">
      <c r="E1890" s="475"/>
      <c r="F1890" s="475"/>
      <c r="G1890" s="325"/>
      <c r="H1890" s="325"/>
    </row>
    <row r="1891" spans="5:8">
      <c r="E1891" s="475"/>
      <c r="F1891" s="475"/>
      <c r="G1891" s="325"/>
      <c r="H1891" s="325"/>
    </row>
    <row r="1892" spans="5:8">
      <c r="E1892" s="475"/>
      <c r="F1892" s="475"/>
      <c r="G1892" s="325"/>
      <c r="H1892" s="325"/>
    </row>
    <row r="1893" spans="5:8">
      <c r="E1893" s="475"/>
      <c r="F1893" s="475"/>
      <c r="G1893" s="325"/>
      <c r="H1893" s="325"/>
    </row>
    <row r="1894" spans="5:8">
      <c r="E1894" s="475"/>
      <c r="F1894" s="475"/>
      <c r="G1894" s="325"/>
      <c r="H1894" s="325"/>
    </row>
    <row r="1895" spans="5:8">
      <c r="E1895" s="475"/>
      <c r="F1895" s="475"/>
      <c r="G1895" s="325"/>
      <c r="H1895" s="325"/>
    </row>
    <row r="1896" spans="5:8">
      <c r="E1896" s="475"/>
      <c r="F1896" s="475"/>
      <c r="G1896" s="325"/>
      <c r="H1896" s="325"/>
    </row>
    <row r="1897" spans="5:8">
      <c r="E1897" s="475"/>
      <c r="F1897" s="475"/>
      <c r="G1897" s="325"/>
      <c r="H1897" s="325"/>
    </row>
    <row r="1898" spans="5:8">
      <c r="E1898" s="475"/>
      <c r="F1898" s="475"/>
      <c r="G1898" s="325"/>
      <c r="H1898" s="325"/>
    </row>
    <row r="1899" spans="5:8">
      <c r="E1899" s="475"/>
      <c r="F1899" s="475"/>
      <c r="G1899" s="325"/>
      <c r="H1899" s="325"/>
    </row>
    <row r="1900" spans="5:8">
      <c r="E1900" s="475"/>
      <c r="F1900" s="475"/>
      <c r="G1900" s="325"/>
      <c r="H1900" s="325"/>
    </row>
    <row r="1901" spans="5:8">
      <c r="E1901" s="475"/>
      <c r="F1901" s="475"/>
      <c r="G1901" s="325"/>
      <c r="H1901" s="325"/>
    </row>
    <row r="1902" spans="5:8">
      <c r="E1902" s="475"/>
      <c r="F1902" s="475"/>
      <c r="G1902" s="325"/>
      <c r="H1902" s="325"/>
    </row>
    <row r="1903" spans="5:8">
      <c r="E1903" s="475"/>
      <c r="F1903" s="475"/>
      <c r="G1903" s="325"/>
      <c r="H1903" s="325"/>
    </row>
    <row r="1904" spans="5:8">
      <c r="E1904" s="475"/>
      <c r="F1904" s="475"/>
      <c r="G1904" s="325"/>
      <c r="H1904" s="325"/>
    </row>
    <row r="1905" spans="5:8">
      <c r="E1905" s="475"/>
      <c r="F1905" s="475"/>
      <c r="G1905" s="325"/>
      <c r="H1905" s="325"/>
    </row>
    <row r="1906" spans="5:8">
      <c r="E1906" s="475"/>
      <c r="F1906" s="475"/>
      <c r="G1906" s="325"/>
      <c r="H1906" s="325"/>
    </row>
    <row r="1907" spans="5:8">
      <c r="E1907" s="475"/>
      <c r="F1907" s="475"/>
      <c r="G1907" s="325"/>
      <c r="H1907" s="325"/>
    </row>
    <row r="1908" spans="5:8">
      <c r="E1908" s="475"/>
      <c r="F1908" s="475"/>
      <c r="G1908" s="325"/>
      <c r="H1908" s="325"/>
    </row>
    <row r="1909" spans="5:8">
      <c r="E1909" s="475"/>
      <c r="F1909" s="475"/>
      <c r="G1909" s="325"/>
      <c r="H1909" s="325"/>
    </row>
    <row r="1910" spans="5:8">
      <c r="E1910" s="475"/>
      <c r="F1910" s="475"/>
      <c r="G1910" s="325"/>
      <c r="H1910" s="325"/>
    </row>
    <row r="1911" spans="5:8">
      <c r="E1911" s="475"/>
      <c r="F1911" s="475"/>
      <c r="G1911" s="325"/>
      <c r="H1911" s="325"/>
    </row>
    <row r="1912" spans="5:8">
      <c r="E1912" s="475"/>
      <c r="F1912" s="475"/>
      <c r="G1912" s="325"/>
      <c r="H1912" s="325"/>
    </row>
    <row r="1913" spans="5:8">
      <c r="E1913" s="475"/>
      <c r="F1913" s="475"/>
      <c r="G1913" s="325"/>
      <c r="H1913" s="325"/>
    </row>
    <row r="1914" spans="5:8">
      <c r="E1914" s="475"/>
      <c r="F1914" s="475"/>
      <c r="G1914" s="325"/>
      <c r="H1914" s="325"/>
    </row>
    <row r="1915" spans="5:8">
      <c r="E1915" s="475"/>
      <c r="F1915" s="475"/>
      <c r="G1915" s="325"/>
      <c r="H1915" s="325"/>
    </row>
    <row r="1916" spans="5:8">
      <c r="E1916" s="475"/>
      <c r="F1916" s="475"/>
      <c r="G1916" s="325"/>
      <c r="H1916" s="325"/>
    </row>
    <row r="1917" spans="5:8">
      <c r="E1917" s="475"/>
      <c r="F1917" s="475"/>
      <c r="G1917" s="325"/>
      <c r="H1917" s="325"/>
    </row>
    <row r="1918" spans="5:8">
      <c r="E1918" s="475"/>
      <c r="F1918" s="475"/>
      <c r="G1918" s="325"/>
      <c r="H1918" s="325"/>
    </row>
    <row r="1919" spans="5:8">
      <c r="E1919" s="475"/>
      <c r="F1919" s="475"/>
      <c r="G1919" s="325"/>
      <c r="H1919" s="325"/>
    </row>
    <row r="1920" spans="5:8">
      <c r="E1920" s="475"/>
      <c r="F1920" s="475"/>
      <c r="G1920" s="325"/>
      <c r="H1920" s="325"/>
    </row>
    <row r="1921" spans="5:8">
      <c r="E1921" s="475"/>
      <c r="F1921" s="475"/>
      <c r="G1921" s="325"/>
      <c r="H1921" s="325"/>
    </row>
    <row r="1922" spans="5:8">
      <c r="E1922" s="475"/>
      <c r="F1922" s="475"/>
      <c r="G1922" s="325"/>
      <c r="H1922" s="325"/>
    </row>
    <row r="1923" spans="5:8">
      <c r="E1923" s="475"/>
      <c r="F1923" s="475"/>
      <c r="G1923" s="325"/>
      <c r="H1923" s="325"/>
    </row>
    <row r="1924" spans="5:8">
      <c r="E1924" s="475"/>
      <c r="F1924" s="475"/>
      <c r="G1924" s="325"/>
      <c r="H1924" s="325"/>
    </row>
    <row r="1925" spans="5:8">
      <c r="E1925" s="475"/>
      <c r="F1925" s="475"/>
      <c r="G1925" s="325"/>
      <c r="H1925" s="325"/>
    </row>
    <row r="1926" spans="5:8">
      <c r="E1926" s="475"/>
      <c r="F1926" s="475"/>
      <c r="G1926" s="325"/>
      <c r="H1926" s="325"/>
    </row>
    <row r="1927" spans="5:8">
      <c r="E1927" s="475"/>
      <c r="F1927" s="475"/>
      <c r="G1927" s="325"/>
      <c r="H1927" s="325"/>
    </row>
    <row r="1928" spans="5:8">
      <c r="E1928" s="475"/>
      <c r="F1928" s="475"/>
      <c r="G1928" s="325"/>
      <c r="H1928" s="325"/>
    </row>
    <row r="1929" spans="5:8">
      <c r="E1929" s="475"/>
      <c r="F1929" s="475"/>
      <c r="G1929" s="325"/>
      <c r="H1929" s="325"/>
    </row>
    <row r="1930" spans="5:8">
      <c r="E1930" s="475"/>
      <c r="F1930" s="475"/>
      <c r="G1930" s="325"/>
      <c r="H1930" s="325"/>
    </row>
    <row r="1931" spans="5:8">
      <c r="E1931" s="475"/>
      <c r="F1931" s="475"/>
      <c r="G1931" s="325"/>
      <c r="H1931" s="325"/>
    </row>
    <row r="1932" spans="5:8">
      <c r="E1932" s="475"/>
      <c r="F1932" s="475"/>
      <c r="G1932" s="325"/>
      <c r="H1932" s="325"/>
    </row>
    <row r="1933" spans="5:8">
      <c r="E1933" s="475"/>
      <c r="F1933" s="475"/>
      <c r="G1933" s="325"/>
      <c r="H1933" s="325"/>
    </row>
    <row r="1934" spans="5:8">
      <c r="E1934" s="475"/>
      <c r="F1934" s="475"/>
      <c r="G1934" s="325"/>
      <c r="H1934" s="325"/>
    </row>
    <row r="1935" spans="5:8">
      <c r="E1935" s="475"/>
      <c r="F1935" s="475"/>
      <c r="G1935" s="325"/>
      <c r="H1935" s="325"/>
    </row>
    <row r="1936" spans="5:8">
      <c r="E1936" s="475"/>
      <c r="F1936" s="475"/>
      <c r="G1936" s="325"/>
      <c r="H1936" s="325"/>
    </row>
    <row r="1937" spans="5:8">
      <c r="E1937" s="475"/>
      <c r="F1937" s="475"/>
      <c r="G1937" s="325"/>
      <c r="H1937" s="325"/>
    </row>
    <row r="1938" spans="5:8">
      <c r="E1938" s="475"/>
      <c r="F1938" s="475"/>
      <c r="G1938" s="325"/>
      <c r="H1938" s="325"/>
    </row>
    <row r="1939" spans="5:8">
      <c r="E1939" s="475"/>
      <c r="F1939" s="475"/>
      <c r="G1939" s="325"/>
      <c r="H1939" s="325"/>
    </row>
    <row r="1940" spans="5:8">
      <c r="E1940" s="475"/>
      <c r="F1940" s="475"/>
      <c r="G1940" s="325"/>
      <c r="H1940" s="325"/>
    </row>
    <row r="1941" spans="5:8">
      <c r="E1941" s="475"/>
      <c r="F1941" s="475"/>
      <c r="G1941" s="325"/>
      <c r="H1941" s="325"/>
    </row>
    <row r="1942" spans="5:8">
      <c r="E1942" s="475"/>
      <c r="F1942" s="475"/>
      <c r="G1942" s="325"/>
      <c r="H1942" s="325"/>
    </row>
    <row r="1943" spans="5:8">
      <c r="E1943" s="475"/>
      <c r="F1943" s="475"/>
      <c r="G1943" s="325"/>
      <c r="H1943" s="325"/>
    </row>
    <row r="1944" spans="5:8">
      <c r="E1944" s="475"/>
      <c r="F1944" s="475"/>
      <c r="G1944" s="325"/>
      <c r="H1944" s="325"/>
    </row>
    <row r="1945" spans="5:8">
      <c r="E1945" s="475"/>
      <c r="F1945" s="475"/>
      <c r="G1945" s="325"/>
      <c r="H1945" s="325"/>
    </row>
    <row r="1946" spans="5:8">
      <c r="E1946" s="475"/>
      <c r="F1946" s="475"/>
      <c r="G1946" s="325"/>
      <c r="H1946" s="325"/>
    </row>
    <row r="1947" spans="5:8">
      <c r="E1947" s="475"/>
      <c r="F1947" s="475"/>
      <c r="G1947" s="325"/>
      <c r="H1947" s="325"/>
    </row>
    <row r="1948" spans="5:8">
      <c r="E1948" s="475"/>
      <c r="F1948" s="475"/>
      <c r="G1948" s="325"/>
      <c r="H1948" s="325"/>
    </row>
    <row r="1949" spans="5:8">
      <c r="E1949" s="475"/>
      <c r="F1949" s="475"/>
      <c r="G1949" s="325"/>
      <c r="H1949" s="325"/>
    </row>
    <row r="1950" spans="5:8">
      <c r="E1950" s="475"/>
      <c r="F1950" s="475"/>
      <c r="G1950" s="325"/>
      <c r="H1950" s="325"/>
    </row>
    <row r="1951" spans="5:8">
      <c r="E1951" s="475"/>
      <c r="F1951" s="475"/>
      <c r="G1951" s="325"/>
      <c r="H1951" s="325"/>
    </row>
    <row r="1952" spans="5:8">
      <c r="E1952" s="475"/>
      <c r="F1952" s="475"/>
      <c r="G1952" s="325"/>
      <c r="H1952" s="325"/>
    </row>
    <row r="1953" spans="5:8">
      <c r="E1953" s="475"/>
      <c r="F1953" s="475"/>
      <c r="G1953" s="325"/>
      <c r="H1953" s="325"/>
    </row>
    <row r="1954" spans="5:8">
      <c r="E1954" s="475"/>
      <c r="F1954" s="475"/>
      <c r="G1954" s="325"/>
      <c r="H1954" s="325"/>
    </row>
    <row r="1955" spans="5:8">
      <c r="E1955" s="475"/>
      <c r="F1955" s="475"/>
      <c r="G1955" s="325"/>
      <c r="H1955" s="325"/>
    </row>
    <row r="1956" spans="5:8">
      <c r="E1956" s="475"/>
      <c r="F1956" s="475"/>
      <c r="G1956" s="325"/>
      <c r="H1956" s="325"/>
    </row>
    <row r="1957" spans="5:8">
      <c r="E1957" s="475"/>
      <c r="F1957" s="475"/>
      <c r="G1957" s="325"/>
      <c r="H1957" s="325"/>
    </row>
    <row r="1958" spans="5:8">
      <c r="E1958" s="475"/>
      <c r="F1958" s="475"/>
      <c r="G1958" s="325"/>
      <c r="H1958" s="325"/>
    </row>
    <row r="1959" spans="5:8">
      <c r="E1959" s="475"/>
      <c r="F1959" s="475"/>
      <c r="G1959" s="325"/>
      <c r="H1959" s="325"/>
    </row>
    <row r="1960" spans="5:8">
      <c r="E1960" s="475"/>
      <c r="F1960" s="475"/>
      <c r="G1960" s="325"/>
      <c r="H1960" s="325"/>
    </row>
    <row r="1961" spans="5:8">
      <c r="E1961" s="475"/>
      <c r="F1961" s="475"/>
      <c r="G1961" s="325"/>
      <c r="H1961" s="325"/>
    </row>
    <row r="1962" spans="5:8">
      <c r="E1962" s="475"/>
      <c r="F1962" s="475"/>
      <c r="G1962" s="325"/>
      <c r="H1962" s="325"/>
    </row>
    <row r="1963" spans="5:8">
      <c r="E1963" s="475"/>
      <c r="F1963" s="475"/>
      <c r="G1963" s="325"/>
      <c r="H1963" s="325"/>
    </row>
    <row r="1964" spans="5:8">
      <c r="E1964" s="475"/>
      <c r="F1964" s="475"/>
      <c r="G1964" s="325"/>
      <c r="H1964" s="325"/>
    </row>
    <row r="1965" spans="5:8">
      <c r="E1965" s="475"/>
      <c r="F1965" s="475"/>
      <c r="G1965" s="325"/>
      <c r="H1965" s="325"/>
    </row>
    <row r="1966" spans="5:8">
      <c r="E1966" s="475"/>
      <c r="F1966" s="475"/>
      <c r="G1966" s="325"/>
      <c r="H1966" s="325"/>
    </row>
    <row r="1967" spans="5:8">
      <c r="E1967" s="475"/>
      <c r="F1967" s="475"/>
      <c r="G1967" s="325"/>
      <c r="H1967" s="325"/>
    </row>
    <row r="1968" spans="5:8">
      <c r="E1968" s="475"/>
      <c r="F1968" s="475"/>
      <c r="G1968" s="325"/>
      <c r="H1968" s="325"/>
    </row>
    <row r="1969" spans="5:8">
      <c r="E1969" s="475"/>
      <c r="F1969" s="475"/>
      <c r="G1969" s="325"/>
      <c r="H1969" s="325"/>
    </row>
    <row r="1970" spans="5:8">
      <c r="E1970" s="475"/>
      <c r="F1970" s="475"/>
      <c r="G1970" s="325"/>
      <c r="H1970" s="325"/>
    </row>
    <row r="1971" spans="5:8">
      <c r="E1971" s="475"/>
      <c r="F1971" s="475"/>
      <c r="G1971" s="325"/>
      <c r="H1971" s="325"/>
    </row>
    <row r="1972" spans="5:8">
      <c r="E1972" s="475"/>
      <c r="F1972" s="475"/>
      <c r="G1972" s="325"/>
      <c r="H1972" s="325"/>
    </row>
    <row r="1973" spans="5:8">
      <c r="E1973" s="475"/>
      <c r="F1973" s="475"/>
      <c r="G1973" s="325"/>
      <c r="H1973" s="325"/>
    </row>
    <row r="1974" spans="5:8">
      <c r="E1974" s="475"/>
      <c r="F1974" s="475"/>
      <c r="G1974" s="325"/>
      <c r="H1974" s="325"/>
    </row>
    <row r="1975" spans="5:8">
      <c r="E1975" s="475"/>
      <c r="F1975" s="475"/>
      <c r="G1975" s="325"/>
      <c r="H1975" s="325"/>
    </row>
    <row r="1976" spans="5:8">
      <c r="E1976" s="475"/>
      <c r="F1976" s="475"/>
      <c r="G1976" s="325"/>
      <c r="H1976" s="325"/>
    </row>
    <row r="1977" spans="5:8">
      <c r="E1977" s="475"/>
      <c r="F1977" s="475"/>
      <c r="G1977" s="325"/>
      <c r="H1977" s="325"/>
    </row>
    <row r="1978" spans="5:8">
      <c r="E1978" s="475"/>
      <c r="F1978" s="475"/>
      <c r="G1978" s="325"/>
      <c r="H1978" s="325"/>
    </row>
    <row r="1979" spans="5:8">
      <c r="E1979" s="475"/>
      <c r="F1979" s="475"/>
      <c r="G1979" s="325"/>
      <c r="H1979" s="325"/>
    </row>
    <row r="1980" spans="5:8">
      <c r="E1980" s="475"/>
      <c r="F1980" s="475"/>
      <c r="G1980" s="325"/>
      <c r="H1980" s="325"/>
    </row>
    <row r="1981" spans="5:8">
      <c r="E1981" s="475"/>
      <c r="F1981" s="475"/>
      <c r="G1981" s="325"/>
      <c r="H1981" s="325"/>
    </row>
    <row r="1982" spans="5:8">
      <c r="E1982" s="475"/>
      <c r="F1982" s="475"/>
      <c r="G1982" s="325"/>
      <c r="H1982" s="325"/>
    </row>
    <row r="1983" spans="5:8">
      <c r="E1983" s="475"/>
      <c r="F1983" s="475"/>
      <c r="G1983" s="325"/>
      <c r="H1983" s="325"/>
    </row>
    <row r="1984" spans="5:8">
      <c r="E1984" s="475"/>
      <c r="F1984" s="475"/>
      <c r="G1984" s="325"/>
      <c r="H1984" s="325"/>
    </row>
    <row r="1985" spans="5:8">
      <c r="E1985" s="475"/>
      <c r="F1985" s="475"/>
      <c r="G1985" s="325"/>
      <c r="H1985" s="325"/>
    </row>
    <row r="1986" spans="5:8">
      <c r="E1986" s="475"/>
      <c r="F1986" s="475"/>
      <c r="G1986" s="325"/>
      <c r="H1986" s="325"/>
    </row>
    <row r="1987" spans="5:8">
      <c r="E1987" s="475"/>
      <c r="F1987" s="475"/>
      <c r="G1987" s="325"/>
      <c r="H1987" s="325"/>
    </row>
    <row r="1988" spans="5:8">
      <c r="E1988" s="475"/>
      <c r="F1988" s="475"/>
      <c r="G1988" s="325"/>
      <c r="H1988" s="325"/>
    </row>
    <row r="1989" spans="5:8">
      <c r="E1989" s="475"/>
      <c r="F1989" s="475"/>
      <c r="G1989" s="325"/>
      <c r="H1989" s="325"/>
    </row>
    <row r="1990" spans="5:8">
      <c r="E1990" s="475"/>
      <c r="F1990" s="475"/>
      <c r="G1990" s="325"/>
      <c r="H1990" s="325"/>
    </row>
    <row r="1991" spans="5:8">
      <c r="E1991" s="475"/>
      <c r="F1991" s="475"/>
      <c r="G1991" s="325"/>
      <c r="H1991" s="325"/>
    </row>
    <row r="1992" spans="5:8">
      <c r="E1992" s="475"/>
      <c r="F1992" s="475"/>
      <c r="G1992" s="325"/>
      <c r="H1992" s="325"/>
    </row>
    <row r="1993" spans="5:8">
      <c r="E1993" s="475"/>
      <c r="F1993" s="475"/>
      <c r="G1993" s="325"/>
      <c r="H1993" s="325"/>
    </row>
    <row r="1994" spans="5:8">
      <c r="E1994" s="475"/>
      <c r="F1994" s="475"/>
      <c r="G1994" s="325"/>
      <c r="H1994" s="325"/>
    </row>
    <row r="1995" spans="5:8">
      <c r="E1995" s="475"/>
      <c r="F1995" s="475"/>
      <c r="G1995" s="325"/>
      <c r="H1995" s="325"/>
    </row>
    <row r="1996" spans="5:8">
      <c r="E1996" s="475"/>
      <c r="F1996" s="475"/>
      <c r="G1996" s="325"/>
      <c r="H1996" s="325"/>
    </row>
    <row r="1997" spans="5:8">
      <c r="E1997" s="475"/>
      <c r="F1997" s="475"/>
      <c r="G1997" s="325"/>
      <c r="H1997" s="325"/>
    </row>
    <row r="1998" spans="5:8">
      <c r="E1998" s="475"/>
      <c r="F1998" s="475"/>
      <c r="G1998" s="325"/>
      <c r="H1998" s="325"/>
    </row>
    <row r="1999" spans="5:8">
      <c r="E1999" s="475"/>
      <c r="F1999" s="475"/>
      <c r="G1999" s="325"/>
      <c r="H1999" s="325"/>
    </row>
    <row r="2000" spans="5:8">
      <c r="E2000" s="475"/>
      <c r="F2000" s="475"/>
      <c r="G2000" s="325"/>
      <c r="H2000" s="325"/>
    </row>
    <row r="2001" spans="5:8">
      <c r="E2001" s="475"/>
      <c r="F2001" s="475"/>
      <c r="G2001" s="325"/>
      <c r="H2001" s="325"/>
    </row>
    <row r="2002" spans="5:8">
      <c r="E2002" s="475"/>
      <c r="F2002" s="475"/>
      <c r="G2002" s="325"/>
      <c r="H2002" s="325"/>
    </row>
    <row r="2003" spans="5:8">
      <c r="E2003" s="475"/>
      <c r="F2003" s="475"/>
      <c r="G2003" s="325"/>
      <c r="H2003" s="325"/>
    </row>
    <row r="2004" spans="5:8">
      <c r="E2004" s="475"/>
      <c r="F2004" s="475"/>
      <c r="G2004" s="325"/>
      <c r="H2004" s="325"/>
    </row>
    <row r="2005" spans="5:8">
      <c r="E2005" s="475"/>
      <c r="F2005" s="475"/>
      <c r="G2005" s="325"/>
      <c r="H2005" s="325"/>
    </row>
    <row r="2006" spans="5:8">
      <c r="E2006" s="475"/>
      <c r="F2006" s="475"/>
      <c r="G2006" s="325"/>
      <c r="H2006" s="325"/>
    </row>
    <row r="2007" spans="5:8">
      <c r="E2007" s="475"/>
      <c r="F2007" s="475"/>
      <c r="G2007" s="325"/>
      <c r="H2007" s="325"/>
    </row>
    <row r="2008" spans="5:8">
      <c r="E2008" s="475"/>
      <c r="F2008" s="475"/>
      <c r="G2008" s="325"/>
      <c r="H2008" s="325"/>
    </row>
    <row r="2009" spans="5:8">
      <c r="E2009" s="475"/>
      <c r="F2009" s="475"/>
      <c r="G2009" s="325"/>
      <c r="H2009" s="325"/>
    </row>
    <row r="2010" spans="5:8">
      <c r="E2010" s="475"/>
      <c r="F2010" s="475"/>
      <c r="G2010" s="325"/>
      <c r="H2010" s="325"/>
    </row>
    <row r="2011" spans="5:8">
      <c r="E2011" s="475"/>
      <c r="F2011" s="475"/>
      <c r="G2011" s="325"/>
      <c r="H2011" s="325"/>
    </row>
    <row r="2012" spans="5:8">
      <c r="E2012" s="475"/>
      <c r="F2012" s="475"/>
      <c r="G2012" s="325"/>
      <c r="H2012" s="325"/>
    </row>
    <row r="2013" spans="5:8">
      <c r="E2013" s="475"/>
      <c r="F2013" s="475"/>
      <c r="G2013" s="325"/>
      <c r="H2013" s="325"/>
    </row>
    <row r="2014" spans="5:8">
      <c r="E2014" s="475"/>
      <c r="F2014" s="475"/>
      <c r="G2014" s="325"/>
      <c r="H2014" s="325"/>
    </row>
    <row r="2015" spans="5:8">
      <c r="E2015" s="475"/>
      <c r="F2015" s="475"/>
      <c r="G2015" s="325"/>
      <c r="H2015" s="325"/>
    </row>
    <row r="2016" spans="5:8">
      <c r="E2016" s="475"/>
      <c r="F2016" s="475"/>
      <c r="G2016" s="325"/>
      <c r="H2016" s="325"/>
    </row>
    <row r="2017" spans="5:8">
      <c r="E2017" s="475"/>
      <c r="F2017" s="475"/>
      <c r="G2017" s="325"/>
      <c r="H2017" s="325"/>
    </row>
    <row r="2018" spans="5:8">
      <c r="E2018" s="475"/>
      <c r="F2018" s="475"/>
      <c r="G2018" s="325"/>
      <c r="H2018" s="325"/>
    </row>
    <row r="2019" spans="5:8">
      <c r="E2019" s="475"/>
      <c r="F2019" s="475"/>
      <c r="G2019" s="325"/>
      <c r="H2019" s="325"/>
    </row>
    <row r="2020" spans="5:8">
      <c r="E2020" s="475"/>
      <c r="F2020" s="475"/>
      <c r="G2020" s="325"/>
      <c r="H2020" s="325"/>
    </row>
    <row r="2021" spans="5:8">
      <c r="E2021" s="475"/>
      <c r="F2021" s="475"/>
      <c r="G2021" s="325"/>
      <c r="H2021" s="325"/>
    </row>
    <row r="2022" spans="5:8">
      <c r="E2022" s="475"/>
      <c r="F2022" s="475"/>
      <c r="G2022" s="325"/>
      <c r="H2022" s="325"/>
    </row>
    <row r="2023" spans="5:8">
      <c r="E2023" s="475"/>
      <c r="F2023" s="475"/>
      <c r="G2023" s="325"/>
      <c r="H2023" s="325"/>
    </row>
    <row r="2024" spans="5:8">
      <c r="E2024" s="475"/>
      <c r="F2024" s="475"/>
      <c r="G2024" s="325"/>
      <c r="H2024" s="325"/>
    </row>
    <row r="2025" spans="5:8">
      <c r="E2025" s="475"/>
      <c r="F2025" s="475"/>
      <c r="G2025" s="325"/>
      <c r="H2025" s="325"/>
    </row>
    <row r="2026" spans="5:8">
      <c r="E2026" s="475"/>
      <c r="F2026" s="475"/>
      <c r="G2026" s="325"/>
      <c r="H2026" s="325"/>
    </row>
    <row r="2027" spans="5:8">
      <c r="E2027" s="475"/>
      <c r="F2027" s="475"/>
      <c r="G2027" s="325"/>
      <c r="H2027" s="325"/>
    </row>
    <row r="2028" spans="5:8">
      <c r="E2028" s="475"/>
      <c r="F2028" s="475"/>
      <c r="G2028" s="325"/>
      <c r="H2028" s="325"/>
    </row>
    <row r="2029" spans="5:8">
      <c r="E2029" s="475"/>
      <c r="F2029" s="475"/>
      <c r="G2029" s="325"/>
      <c r="H2029" s="325"/>
    </row>
    <row r="2030" spans="5:8">
      <c r="E2030" s="475"/>
      <c r="F2030" s="475"/>
      <c r="G2030" s="325"/>
      <c r="H2030" s="325"/>
    </row>
    <row r="2031" spans="5:8">
      <c r="E2031" s="475"/>
      <c r="F2031" s="475"/>
      <c r="G2031" s="325"/>
      <c r="H2031" s="325"/>
    </row>
    <row r="2032" spans="5:8">
      <c r="E2032" s="475"/>
      <c r="F2032" s="475"/>
      <c r="G2032" s="325"/>
      <c r="H2032" s="325"/>
    </row>
    <row r="2033" spans="5:8">
      <c r="E2033" s="475"/>
      <c r="F2033" s="475"/>
      <c r="G2033" s="325"/>
      <c r="H2033" s="325"/>
    </row>
    <row r="2034" spans="5:8">
      <c r="E2034" s="475"/>
      <c r="F2034" s="475"/>
      <c r="G2034" s="325"/>
      <c r="H2034" s="325"/>
    </row>
    <row r="2035" spans="5:8">
      <c r="E2035" s="475"/>
      <c r="F2035" s="475"/>
      <c r="G2035" s="325"/>
      <c r="H2035" s="325"/>
    </row>
    <row r="2036" spans="5:8">
      <c r="E2036" s="475"/>
      <c r="F2036" s="475"/>
      <c r="G2036" s="325"/>
      <c r="H2036" s="325"/>
    </row>
    <row r="2037" spans="5:8">
      <c r="E2037" s="475"/>
      <c r="F2037" s="475"/>
      <c r="G2037" s="325"/>
      <c r="H2037" s="325"/>
    </row>
    <row r="2038" spans="5:8">
      <c r="E2038" s="475"/>
      <c r="F2038" s="475"/>
      <c r="G2038" s="325"/>
      <c r="H2038" s="325"/>
    </row>
    <row r="2039" spans="5:8">
      <c r="E2039" s="475"/>
      <c r="F2039" s="475"/>
      <c r="G2039" s="325"/>
      <c r="H2039" s="325"/>
    </row>
    <row r="2040" spans="5:8">
      <c r="E2040" s="475"/>
      <c r="F2040" s="475"/>
      <c r="G2040" s="325"/>
      <c r="H2040" s="325"/>
    </row>
    <row r="2041" spans="5:8">
      <c r="E2041" s="475"/>
      <c r="F2041" s="475"/>
      <c r="G2041" s="325"/>
      <c r="H2041" s="325"/>
    </row>
    <row r="2042" spans="5:8">
      <c r="E2042" s="475"/>
      <c r="F2042" s="475"/>
      <c r="G2042" s="325"/>
      <c r="H2042" s="325"/>
    </row>
    <row r="2043" spans="5:8">
      <c r="E2043" s="475"/>
      <c r="F2043" s="475"/>
      <c r="G2043" s="325"/>
      <c r="H2043" s="325"/>
    </row>
    <row r="2044" spans="5:8">
      <c r="E2044" s="475"/>
      <c r="F2044" s="475"/>
      <c r="G2044" s="325"/>
      <c r="H2044" s="325"/>
    </row>
    <row r="2045" spans="5:8">
      <c r="E2045" s="475"/>
      <c r="F2045" s="475"/>
      <c r="G2045" s="325"/>
      <c r="H2045" s="325"/>
    </row>
    <row r="2046" spans="5:8">
      <c r="E2046" s="475"/>
      <c r="F2046" s="475"/>
      <c r="G2046" s="325"/>
      <c r="H2046" s="325"/>
    </row>
    <row r="2047" spans="5:8">
      <c r="E2047" s="475"/>
      <c r="F2047" s="475"/>
      <c r="G2047" s="325"/>
      <c r="H2047" s="325"/>
    </row>
    <row r="2048" spans="5:8">
      <c r="E2048" s="475"/>
      <c r="F2048" s="475"/>
      <c r="G2048" s="325"/>
      <c r="H2048" s="325"/>
    </row>
    <row r="2049" spans="5:8">
      <c r="E2049" s="475"/>
      <c r="F2049" s="475"/>
      <c r="G2049" s="325"/>
      <c r="H2049" s="325"/>
    </row>
    <row r="2050" spans="5:8">
      <c r="E2050" s="475"/>
      <c r="F2050" s="475"/>
      <c r="G2050" s="325"/>
      <c r="H2050" s="325"/>
    </row>
    <row r="2051" spans="5:8">
      <c r="E2051" s="475"/>
      <c r="F2051" s="475"/>
      <c r="G2051" s="325"/>
      <c r="H2051" s="325"/>
    </row>
    <row r="2052" spans="5:8">
      <c r="E2052" s="475"/>
      <c r="F2052" s="475"/>
      <c r="G2052" s="325"/>
      <c r="H2052" s="325"/>
    </row>
    <row r="2053" spans="5:8">
      <c r="E2053" s="475"/>
      <c r="F2053" s="475"/>
      <c r="G2053" s="325"/>
      <c r="H2053" s="325"/>
    </row>
    <row r="2054" spans="5:8">
      <c r="E2054" s="475"/>
      <c r="F2054" s="475"/>
      <c r="G2054" s="325"/>
      <c r="H2054" s="325"/>
    </row>
    <row r="2055" spans="5:8">
      <c r="E2055" s="475"/>
      <c r="F2055" s="475"/>
      <c r="G2055" s="325"/>
      <c r="H2055" s="325"/>
    </row>
    <row r="2056" spans="5:8">
      <c r="E2056" s="475"/>
      <c r="F2056" s="475"/>
      <c r="G2056" s="325"/>
      <c r="H2056" s="325"/>
    </row>
    <row r="2057" spans="5:8">
      <c r="E2057" s="475"/>
      <c r="F2057" s="475"/>
      <c r="G2057" s="325"/>
      <c r="H2057" s="325"/>
    </row>
    <row r="2058" spans="5:8">
      <c r="E2058" s="475"/>
      <c r="F2058" s="475"/>
      <c r="G2058" s="325"/>
      <c r="H2058" s="325"/>
    </row>
    <row r="2059" spans="5:8">
      <c r="E2059" s="475"/>
      <c r="F2059" s="475"/>
      <c r="G2059" s="325"/>
      <c r="H2059" s="325"/>
    </row>
    <row r="2060" spans="5:8">
      <c r="E2060" s="475"/>
      <c r="F2060" s="475"/>
      <c r="G2060" s="325"/>
      <c r="H2060" s="325"/>
    </row>
    <row r="2061" spans="5:8">
      <c r="E2061" s="475"/>
      <c r="F2061" s="475"/>
      <c r="G2061" s="325"/>
      <c r="H2061" s="325"/>
    </row>
    <row r="2062" spans="5:8">
      <c r="E2062" s="475"/>
      <c r="F2062" s="475"/>
      <c r="G2062" s="325"/>
      <c r="H2062" s="325"/>
    </row>
    <row r="2063" spans="5:8">
      <c r="E2063" s="475"/>
      <c r="F2063" s="475"/>
      <c r="G2063" s="325"/>
      <c r="H2063" s="325"/>
    </row>
    <row r="2064" spans="5:8">
      <c r="E2064" s="475"/>
      <c r="F2064" s="475"/>
      <c r="G2064" s="325"/>
      <c r="H2064" s="325"/>
    </row>
    <row r="2065" spans="5:8">
      <c r="E2065" s="475"/>
      <c r="F2065" s="475"/>
      <c r="G2065" s="325"/>
      <c r="H2065" s="325"/>
    </row>
    <row r="2066" spans="5:8">
      <c r="E2066" s="475"/>
      <c r="F2066" s="475"/>
      <c r="G2066" s="325"/>
      <c r="H2066" s="325"/>
    </row>
    <row r="2067" spans="5:8">
      <c r="E2067" s="475"/>
      <c r="F2067" s="475"/>
      <c r="G2067" s="325"/>
      <c r="H2067" s="325"/>
    </row>
    <row r="2068" spans="5:8">
      <c r="E2068" s="475"/>
      <c r="F2068" s="475"/>
      <c r="G2068" s="325"/>
      <c r="H2068" s="325"/>
    </row>
    <row r="2069" spans="5:8">
      <c r="E2069" s="475"/>
      <c r="F2069" s="475"/>
      <c r="G2069" s="325"/>
      <c r="H2069" s="325"/>
    </row>
    <row r="2070" spans="5:8">
      <c r="E2070" s="475"/>
      <c r="F2070" s="475"/>
      <c r="G2070" s="325"/>
      <c r="H2070" s="325"/>
    </row>
    <row r="2071" spans="5:8">
      <c r="E2071" s="475"/>
      <c r="F2071" s="475"/>
      <c r="G2071" s="325"/>
      <c r="H2071" s="325"/>
    </row>
    <row r="2072" spans="5:8">
      <c r="E2072" s="475"/>
      <c r="F2072" s="475"/>
      <c r="G2072" s="325"/>
      <c r="H2072" s="325"/>
    </row>
    <row r="2073" spans="5:8">
      <c r="E2073" s="475"/>
      <c r="F2073" s="475"/>
      <c r="G2073" s="325"/>
      <c r="H2073" s="325"/>
    </row>
    <row r="2074" spans="5:8">
      <c r="E2074" s="475"/>
      <c r="F2074" s="475"/>
      <c r="G2074" s="325"/>
      <c r="H2074" s="325"/>
    </row>
    <row r="2075" spans="5:8">
      <c r="E2075" s="475"/>
      <c r="F2075" s="475"/>
      <c r="G2075" s="325"/>
      <c r="H2075" s="325"/>
    </row>
    <row r="2076" spans="5:8">
      <c r="E2076" s="475"/>
      <c r="F2076" s="475"/>
      <c r="G2076" s="325"/>
      <c r="H2076" s="325"/>
    </row>
    <row r="2077" spans="5:8">
      <c r="E2077" s="475"/>
      <c r="F2077" s="475"/>
      <c r="G2077" s="325"/>
      <c r="H2077" s="325"/>
    </row>
    <row r="2078" spans="5:8">
      <c r="E2078" s="475"/>
      <c r="F2078" s="475"/>
      <c r="G2078" s="325"/>
      <c r="H2078" s="325"/>
    </row>
    <row r="2079" spans="5:8">
      <c r="E2079" s="475"/>
      <c r="F2079" s="475"/>
      <c r="G2079" s="325"/>
      <c r="H2079" s="325"/>
    </row>
    <row r="2080" spans="5:8">
      <c r="E2080" s="475"/>
      <c r="F2080" s="475"/>
      <c r="G2080" s="325"/>
      <c r="H2080" s="325"/>
    </row>
    <row r="2081" spans="5:8">
      <c r="E2081" s="475"/>
      <c r="F2081" s="475"/>
      <c r="G2081" s="325"/>
      <c r="H2081" s="325"/>
    </row>
    <row r="2082" spans="5:8">
      <c r="E2082" s="475"/>
      <c r="F2082" s="475"/>
      <c r="G2082" s="325"/>
      <c r="H2082" s="325"/>
    </row>
    <row r="2083" spans="5:8">
      <c r="E2083" s="475"/>
      <c r="F2083" s="475"/>
      <c r="G2083" s="325"/>
      <c r="H2083" s="325"/>
    </row>
    <row r="2084" spans="5:8">
      <c r="E2084" s="475"/>
      <c r="F2084" s="475"/>
      <c r="G2084" s="325"/>
      <c r="H2084" s="325"/>
    </row>
    <row r="2085" spans="5:8">
      <c r="E2085" s="475"/>
      <c r="F2085" s="475"/>
      <c r="G2085" s="325"/>
      <c r="H2085" s="325"/>
    </row>
    <row r="2086" spans="5:8">
      <c r="E2086" s="475"/>
      <c r="F2086" s="475"/>
      <c r="G2086" s="325"/>
      <c r="H2086" s="325"/>
    </row>
    <row r="2087" spans="5:8">
      <c r="E2087" s="475"/>
      <c r="F2087" s="475"/>
      <c r="G2087" s="325"/>
      <c r="H2087" s="325"/>
    </row>
    <row r="2088" spans="5:8">
      <c r="E2088" s="475"/>
      <c r="F2088" s="475"/>
      <c r="G2088" s="325"/>
      <c r="H2088" s="325"/>
    </row>
    <row r="2089" spans="5:8">
      <c r="E2089" s="475"/>
      <c r="F2089" s="475"/>
      <c r="G2089" s="325"/>
      <c r="H2089" s="325"/>
    </row>
    <row r="2090" spans="5:8">
      <c r="E2090" s="475"/>
      <c r="F2090" s="475"/>
      <c r="G2090" s="325"/>
      <c r="H2090" s="325"/>
    </row>
    <row r="2091" spans="5:8">
      <c r="E2091" s="475"/>
      <c r="F2091" s="475"/>
      <c r="G2091" s="325"/>
      <c r="H2091" s="325"/>
    </row>
    <row r="2092" spans="5:8">
      <c r="E2092" s="475"/>
      <c r="F2092" s="475"/>
      <c r="G2092" s="325"/>
      <c r="H2092" s="325"/>
    </row>
    <row r="2093" spans="5:8">
      <c r="E2093" s="475"/>
      <c r="F2093" s="475"/>
      <c r="G2093" s="325"/>
      <c r="H2093" s="325"/>
    </row>
    <row r="2094" spans="5:8">
      <c r="E2094" s="475"/>
      <c r="F2094" s="475"/>
      <c r="G2094" s="325"/>
      <c r="H2094" s="325"/>
    </row>
    <row r="2095" spans="5:8">
      <c r="E2095" s="475"/>
      <c r="F2095" s="475"/>
      <c r="G2095" s="325"/>
      <c r="H2095" s="325"/>
    </row>
    <row r="2096" spans="5:8">
      <c r="E2096" s="475"/>
      <c r="F2096" s="475"/>
      <c r="G2096" s="325"/>
      <c r="H2096" s="325"/>
    </row>
    <row r="2097" spans="5:8">
      <c r="E2097" s="475"/>
      <c r="F2097" s="475"/>
      <c r="G2097" s="325"/>
      <c r="H2097" s="325"/>
    </row>
    <row r="2098" spans="5:8">
      <c r="E2098" s="475"/>
      <c r="F2098" s="475"/>
      <c r="G2098" s="325"/>
      <c r="H2098" s="325"/>
    </row>
    <row r="2099" spans="5:8">
      <c r="E2099" s="475"/>
      <c r="F2099" s="475"/>
      <c r="G2099" s="325"/>
      <c r="H2099" s="325"/>
    </row>
    <row r="2100" spans="5:8">
      <c r="E2100" s="475"/>
      <c r="F2100" s="475"/>
      <c r="G2100" s="325"/>
      <c r="H2100" s="325"/>
    </row>
    <row r="2101" spans="5:8">
      <c r="E2101" s="475"/>
      <c r="F2101" s="475"/>
      <c r="G2101" s="325"/>
      <c r="H2101" s="325"/>
    </row>
    <row r="2102" spans="5:8">
      <c r="E2102" s="475"/>
      <c r="F2102" s="475"/>
      <c r="G2102" s="325"/>
      <c r="H2102" s="325"/>
    </row>
    <row r="2103" spans="5:8">
      <c r="E2103" s="475"/>
      <c r="F2103" s="475"/>
      <c r="G2103" s="325"/>
      <c r="H2103" s="325"/>
    </row>
    <row r="2104" spans="5:8">
      <c r="E2104" s="475"/>
      <c r="F2104" s="475"/>
      <c r="G2104" s="325"/>
      <c r="H2104" s="325"/>
    </row>
    <row r="2105" spans="5:8">
      <c r="E2105" s="475"/>
      <c r="F2105" s="475"/>
      <c r="G2105" s="325"/>
      <c r="H2105" s="325"/>
    </row>
    <row r="2106" spans="5:8">
      <c r="E2106" s="475"/>
      <c r="F2106" s="475"/>
      <c r="G2106" s="325"/>
      <c r="H2106" s="325"/>
    </row>
    <row r="2107" spans="5:8">
      <c r="E2107" s="475"/>
      <c r="F2107" s="475"/>
      <c r="G2107" s="325"/>
      <c r="H2107" s="325"/>
    </row>
    <row r="2108" spans="5:8">
      <c r="E2108" s="475"/>
      <c r="F2108" s="475"/>
      <c r="G2108" s="325"/>
      <c r="H2108" s="325"/>
    </row>
    <row r="2109" spans="5:8">
      <c r="E2109" s="475"/>
      <c r="F2109" s="475"/>
      <c r="G2109" s="325"/>
      <c r="H2109" s="325"/>
    </row>
    <row r="2110" spans="5:8">
      <c r="E2110" s="475"/>
      <c r="F2110" s="475"/>
      <c r="G2110" s="325"/>
      <c r="H2110" s="325"/>
    </row>
    <row r="2111" spans="5:8">
      <c r="E2111" s="475"/>
      <c r="F2111" s="475"/>
      <c r="G2111" s="325"/>
      <c r="H2111" s="325"/>
    </row>
    <row r="2112" spans="5:8">
      <c r="E2112" s="475"/>
      <c r="F2112" s="475"/>
      <c r="G2112" s="325"/>
      <c r="H2112" s="325"/>
    </row>
    <row r="2113" spans="5:8">
      <c r="E2113" s="475"/>
      <c r="F2113" s="475"/>
      <c r="G2113" s="325"/>
      <c r="H2113" s="325"/>
    </row>
    <row r="2114" spans="5:8">
      <c r="E2114" s="475"/>
      <c r="F2114" s="475"/>
      <c r="G2114" s="325"/>
      <c r="H2114" s="325"/>
    </row>
    <row r="2115" spans="5:8">
      <c r="E2115" s="475"/>
      <c r="F2115" s="475"/>
      <c r="G2115" s="325"/>
      <c r="H2115" s="325"/>
    </row>
    <row r="2116" spans="5:8">
      <c r="E2116" s="475"/>
      <c r="F2116" s="475"/>
      <c r="G2116" s="325"/>
      <c r="H2116" s="325"/>
    </row>
    <row r="2117" spans="5:8">
      <c r="E2117" s="475"/>
      <c r="F2117" s="475"/>
      <c r="G2117" s="325"/>
      <c r="H2117" s="325"/>
    </row>
    <row r="2118" spans="5:8">
      <c r="E2118" s="475"/>
      <c r="F2118" s="475"/>
      <c r="G2118" s="325"/>
      <c r="H2118" s="325"/>
    </row>
    <row r="2119" spans="5:8">
      <c r="E2119" s="475"/>
      <c r="F2119" s="475"/>
      <c r="G2119" s="325"/>
      <c r="H2119" s="325"/>
    </row>
    <row r="2120" spans="5:8">
      <c r="E2120" s="475"/>
      <c r="F2120" s="475"/>
      <c r="G2120" s="325"/>
      <c r="H2120" s="325"/>
    </row>
    <row r="2121" spans="5:8">
      <c r="E2121" s="475"/>
      <c r="F2121" s="475"/>
      <c r="G2121" s="325"/>
      <c r="H2121" s="325"/>
    </row>
    <row r="2122" spans="5:8">
      <c r="E2122" s="475"/>
      <c r="F2122" s="475"/>
      <c r="G2122" s="325"/>
      <c r="H2122" s="325"/>
    </row>
    <row r="2123" spans="5:8">
      <c r="E2123" s="475"/>
      <c r="F2123" s="475"/>
      <c r="G2123" s="325"/>
      <c r="H2123" s="325"/>
    </row>
    <row r="2124" spans="5:8">
      <c r="E2124" s="475"/>
      <c r="F2124" s="475"/>
      <c r="G2124" s="325"/>
      <c r="H2124" s="325"/>
    </row>
    <row r="2125" spans="5:8">
      <c r="E2125" s="475"/>
      <c r="F2125" s="475"/>
      <c r="G2125" s="325"/>
      <c r="H2125" s="325"/>
    </row>
    <row r="2126" spans="5:8">
      <c r="E2126" s="475"/>
      <c r="F2126" s="475"/>
      <c r="G2126" s="325"/>
      <c r="H2126" s="325"/>
    </row>
    <row r="2127" spans="5:8">
      <c r="E2127" s="475"/>
      <c r="F2127" s="475"/>
      <c r="G2127" s="325"/>
      <c r="H2127" s="325"/>
    </row>
    <row r="2128" spans="5:8">
      <c r="E2128" s="475"/>
      <c r="F2128" s="475"/>
      <c r="G2128" s="325"/>
      <c r="H2128" s="325"/>
    </row>
    <row r="2129" spans="5:8">
      <c r="E2129" s="475"/>
      <c r="F2129" s="475"/>
      <c r="G2129" s="325"/>
      <c r="H2129" s="325"/>
    </row>
    <row r="2130" spans="5:8">
      <c r="E2130" s="475"/>
      <c r="F2130" s="475"/>
      <c r="G2130" s="325"/>
      <c r="H2130" s="325"/>
    </row>
    <row r="2131" spans="5:8">
      <c r="E2131" s="475"/>
      <c r="F2131" s="475"/>
      <c r="G2131" s="325"/>
      <c r="H2131" s="325"/>
    </row>
    <row r="2132" spans="5:8">
      <c r="E2132" s="475"/>
      <c r="F2132" s="475"/>
      <c r="G2132" s="325"/>
      <c r="H2132" s="325"/>
    </row>
    <row r="2133" spans="5:8">
      <c r="E2133" s="475"/>
      <c r="F2133" s="475"/>
      <c r="G2133" s="325"/>
      <c r="H2133" s="325"/>
    </row>
    <row r="2134" spans="5:8">
      <c r="E2134" s="475"/>
      <c r="F2134" s="475"/>
      <c r="G2134" s="325"/>
      <c r="H2134" s="325"/>
    </row>
    <row r="2135" spans="5:8">
      <c r="E2135" s="475"/>
      <c r="F2135" s="475"/>
      <c r="G2135" s="325"/>
      <c r="H2135" s="325"/>
    </row>
    <row r="2136" spans="5:8">
      <c r="E2136" s="475"/>
      <c r="F2136" s="475"/>
      <c r="G2136" s="325"/>
      <c r="H2136" s="325"/>
    </row>
    <row r="2137" spans="5:8">
      <c r="E2137" s="475"/>
      <c r="F2137" s="475"/>
      <c r="G2137" s="325"/>
      <c r="H2137" s="325"/>
    </row>
    <row r="2138" spans="5:8">
      <c r="E2138" s="475"/>
      <c r="F2138" s="475"/>
      <c r="G2138" s="325"/>
      <c r="H2138" s="325"/>
    </row>
    <row r="2139" spans="5:8">
      <c r="E2139" s="475"/>
      <c r="F2139" s="475"/>
      <c r="G2139" s="325"/>
      <c r="H2139" s="325"/>
    </row>
    <row r="2140" spans="5:8">
      <c r="E2140" s="475"/>
      <c r="F2140" s="475"/>
      <c r="G2140" s="325"/>
      <c r="H2140" s="325"/>
    </row>
    <row r="2141" spans="5:8">
      <c r="E2141" s="475"/>
      <c r="F2141" s="475"/>
      <c r="G2141" s="325"/>
      <c r="H2141" s="325"/>
    </row>
    <row r="2142" spans="5:8">
      <c r="E2142" s="475"/>
      <c r="F2142" s="475"/>
      <c r="G2142" s="325"/>
      <c r="H2142" s="325"/>
    </row>
    <row r="2143" spans="5:8">
      <c r="E2143" s="475"/>
      <c r="F2143" s="475"/>
      <c r="G2143" s="325"/>
      <c r="H2143" s="325"/>
    </row>
    <row r="2144" spans="5:8">
      <c r="E2144" s="475"/>
      <c r="F2144" s="475"/>
      <c r="G2144" s="325"/>
      <c r="H2144" s="325"/>
    </row>
    <row r="2145" spans="5:8">
      <c r="E2145" s="475"/>
      <c r="F2145" s="475"/>
      <c r="G2145" s="325"/>
      <c r="H2145" s="325"/>
    </row>
    <row r="2146" spans="5:8">
      <c r="E2146" s="475"/>
      <c r="F2146" s="475"/>
      <c r="G2146" s="325"/>
      <c r="H2146" s="325"/>
    </row>
    <row r="2147" spans="5:8">
      <c r="E2147" s="475"/>
      <c r="F2147" s="475"/>
      <c r="G2147" s="325"/>
      <c r="H2147" s="325"/>
    </row>
    <row r="2148" spans="5:8">
      <c r="E2148" s="475"/>
      <c r="F2148" s="475"/>
      <c r="G2148" s="325"/>
      <c r="H2148" s="325"/>
    </row>
    <row r="2149" spans="5:8">
      <c r="E2149" s="475"/>
      <c r="F2149" s="475"/>
      <c r="G2149" s="325"/>
      <c r="H2149" s="325"/>
    </row>
    <row r="2150" spans="5:8">
      <c r="E2150" s="475"/>
      <c r="F2150" s="475"/>
      <c r="G2150" s="325"/>
      <c r="H2150" s="325"/>
    </row>
    <row r="2151" spans="5:8">
      <c r="E2151" s="475"/>
      <c r="F2151" s="475"/>
      <c r="G2151" s="325"/>
      <c r="H2151" s="325"/>
    </row>
    <row r="2152" spans="5:8">
      <c r="E2152" s="475"/>
      <c r="F2152" s="475"/>
      <c r="G2152" s="325"/>
      <c r="H2152" s="325"/>
    </row>
    <row r="2153" spans="5:8">
      <c r="E2153" s="475"/>
      <c r="F2153" s="475"/>
      <c r="G2153" s="325"/>
      <c r="H2153" s="325"/>
    </row>
    <row r="2154" spans="5:8">
      <c r="E2154" s="475"/>
      <c r="F2154" s="475"/>
      <c r="G2154" s="325"/>
      <c r="H2154" s="325"/>
    </row>
    <row r="2155" spans="5:8">
      <c r="E2155" s="475"/>
      <c r="F2155" s="475"/>
      <c r="G2155" s="325"/>
      <c r="H2155" s="325"/>
    </row>
    <row r="2156" spans="5:8">
      <c r="E2156" s="475"/>
      <c r="F2156" s="475"/>
      <c r="G2156" s="325"/>
      <c r="H2156" s="325"/>
    </row>
    <row r="2157" spans="5:8">
      <c r="E2157" s="475"/>
      <c r="F2157" s="475"/>
      <c r="G2157" s="325"/>
      <c r="H2157" s="325"/>
    </row>
    <row r="2158" spans="5:8">
      <c r="E2158" s="475"/>
      <c r="F2158" s="475"/>
      <c r="G2158" s="325"/>
      <c r="H2158" s="325"/>
    </row>
    <row r="2159" spans="5:8">
      <c r="E2159" s="475"/>
      <c r="F2159" s="475"/>
      <c r="G2159" s="325"/>
      <c r="H2159" s="325"/>
    </row>
    <row r="2160" spans="5:8">
      <c r="E2160" s="475"/>
      <c r="F2160" s="475"/>
      <c r="G2160" s="325"/>
      <c r="H2160" s="325"/>
    </row>
    <row r="2161" spans="5:8">
      <c r="E2161" s="475"/>
      <c r="F2161" s="475"/>
      <c r="G2161" s="325"/>
      <c r="H2161" s="325"/>
    </row>
    <row r="2162" spans="5:8">
      <c r="E2162" s="475"/>
      <c r="F2162" s="475"/>
      <c r="G2162" s="325"/>
      <c r="H2162" s="325"/>
    </row>
    <row r="2163" spans="5:8">
      <c r="E2163" s="475"/>
      <c r="F2163" s="475"/>
      <c r="G2163" s="325"/>
      <c r="H2163" s="325"/>
    </row>
    <row r="2164" spans="5:8">
      <c r="E2164" s="475"/>
      <c r="F2164" s="475"/>
      <c r="G2164" s="325"/>
      <c r="H2164" s="325"/>
    </row>
    <row r="2165" spans="5:8">
      <c r="E2165" s="475"/>
      <c r="F2165" s="475"/>
      <c r="G2165" s="325"/>
      <c r="H2165" s="325"/>
    </row>
    <row r="2166" spans="5:8">
      <c r="E2166" s="475"/>
      <c r="F2166" s="475"/>
      <c r="G2166" s="325"/>
      <c r="H2166" s="325"/>
    </row>
    <row r="2167" spans="5:8">
      <c r="E2167" s="475"/>
      <c r="F2167" s="475"/>
      <c r="G2167" s="325"/>
      <c r="H2167" s="325"/>
    </row>
    <row r="2168" spans="5:8">
      <c r="E2168" s="475"/>
      <c r="F2168" s="475"/>
      <c r="G2168" s="325"/>
      <c r="H2168" s="325"/>
    </row>
    <row r="2169" spans="5:8">
      <c r="E2169" s="475"/>
      <c r="F2169" s="475"/>
      <c r="G2169" s="325"/>
      <c r="H2169" s="325"/>
    </row>
    <row r="2170" spans="5:8">
      <c r="E2170" s="475"/>
      <c r="F2170" s="475"/>
      <c r="G2170" s="325"/>
      <c r="H2170" s="325"/>
    </row>
    <row r="2171" spans="5:8">
      <c r="E2171" s="475"/>
      <c r="F2171" s="475"/>
      <c r="G2171" s="325"/>
      <c r="H2171" s="325"/>
    </row>
    <row r="2172" spans="5:8">
      <c r="E2172" s="475"/>
      <c r="F2172" s="475"/>
      <c r="G2172" s="325"/>
      <c r="H2172" s="325"/>
    </row>
    <row r="2173" spans="5:8">
      <c r="E2173" s="475"/>
      <c r="F2173" s="475"/>
      <c r="G2173" s="325"/>
      <c r="H2173" s="325"/>
    </row>
    <row r="2174" spans="5:8">
      <c r="E2174" s="475"/>
      <c r="F2174" s="475"/>
      <c r="G2174" s="325"/>
      <c r="H2174" s="325"/>
    </row>
    <row r="2175" spans="5:8">
      <c r="E2175" s="475"/>
      <c r="F2175" s="475"/>
      <c r="G2175" s="325"/>
      <c r="H2175" s="325"/>
    </row>
    <row r="2176" spans="5:8">
      <c r="E2176" s="475"/>
      <c r="F2176" s="475"/>
      <c r="G2176" s="325"/>
      <c r="H2176" s="325"/>
    </row>
    <row r="2177" spans="5:8">
      <c r="E2177" s="475"/>
      <c r="F2177" s="475"/>
      <c r="G2177" s="325"/>
      <c r="H2177" s="325"/>
    </row>
    <row r="2178" spans="5:8">
      <c r="E2178" s="475"/>
      <c r="F2178" s="475"/>
      <c r="G2178" s="325"/>
      <c r="H2178" s="325"/>
    </row>
    <row r="2179" spans="5:8">
      <c r="E2179" s="475"/>
      <c r="F2179" s="475"/>
      <c r="G2179" s="325"/>
      <c r="H2179" s="325"/>
    </row>
    <row r="2180" spans="5:8">
      <c r="E2180" s="475"/>
      <c r="F2180" s="475"/>
      <c r="G2180" s="325"/>
      <c r="H2180" s="325"/>
    </row>
    <row r="2181" spans="5:8">
      <c r="E2181" s="475"/>
      <c r="F2181" s="475"/>
      <c r="G2181" s="325"/>
      <c r="H2181" s="325"/>
    </row>
    <row r="2182" spans="5:8">
      <c r="E2182" s="475"/>
      <c r="F2182" s="475"/>
      <c r="G2182" s="325"/>
      <c r="H2182" s="325"/>
    </row>
    <row r="2183" spans="5:8">
      <c r="E2183" s="475"/>
      <c r="F2183" s="475"/>
      <c r="G2183" s="325"/>
      <c r="H2183" s="325"/>
    </row>
    <row r="2184" spans="5:8">
      <c r="E2184" s="475"/>
      <c r="F2184" s="475"/>
      <c r="G2184" s="325"/>
      <c r="H2184" s="325"/>
    </row>
    <row r="2185" spans="5:8">
      <c r="E2185" s="475"/>
      <c r="F2185" s="475"/>
      <c r="G2185" s="325"/>
      <c r="H2185" s="325"/>
    </row>
    <row r="2186" spans="5:8">
      <c r="E2186" s="475"/>
      <c r="F2186" s="475"/>
      <c r="G2186" s="325"/>
      <c r="H2186" s="325"/>
    </row>
    <row r="2187" spans="5:8">
      <c r="E2187" s="475"/>
      <c r="F2187" s="475"/>
      <c r="G2187" s="325"/>
      <c r="H2187" s="325"/>
    </row>
    <row r="2188" spans="5:8">
      <c r="E2188" s="475"/>
      <c r="F2188" s="475"/>
      <c r="G2188" s="325"/>
      <c r="H2188" s="325"/>
    </row>
    <row r="2189" spans="5:8">
      <c r="E2189" s="475"/>
      <c r="F2189" s="475"/>
      <c r="G2189" s="325"/>
      <c r="H2189" s="325"/>
    </row>
    <row r="2190" spans="5:8">
      <c r="E2190" s="475"/>
      <c r="F2190" s="475"/>
      <c r="G2190" s="325"/>
      <c r="H2190" s="325"/>
    </row>
    <row r="2191" spans="5:8">
      <c r="E2191" s="475"/>
      <c r="F2191" s="475"/>
      <c r="G2191" s="325"/>
      <c r="H2191" s="325"/>
    </row>
    <row r="2192" spans="5:8">
      <c r="E2192" s="475"/>
      <c r="F2192" s="475"/>
      <c r="G2192" s="325"/>
      <c r="H2192" s="325"/>
    </row>
    <row r="2193" spans="5:8">
      <c r="E2193" s="475"/>
      <c r="F2193" s="475"/>
      <c r="G2193" s="325"/>
      <c r="H2193" s="325"/>
    </row>
    <row r="2194" spans="5:8">
      <c r="E2194" s="475"/>
      <c r="F2194" s="475"/>
      <c r="G2194" s="325"/>
      <c r="H2194" s="325"/>
    </row>
    <row r="2195" spans="5:8">
      <c r="E2195" s="475"/>
      <c r="F2195" s="475"/>
      <c r="G2195" s="325"/>
      <c r="H2195" s="325"/>
    </row>
    <row r="2196" spans="5:8">
      <c r="E2196" s="475"/>
      <c r="F2196" s="475"/>
      <c r="G2196" s="325"/>
      <c r="H2196" s="325"/>
    </row>
    <row r="2197" spans="5:8">
      <c r="E2197" s="475"/>
      <c r="F2197" s="475"/>
      <c r="G2197" s="325"/>
      <c r="H2197" s="325"/>
    </row>
    <row r="2198" spans="5:8">
      <c r="E2198" s="475"/>
      <c r="F2198" s="475"/>
      <c r="G2198" s="325"/>
      <c r="H2198" s="325"/>
    </row>
    <row r="2199" spans="5:8">
      <c r="E2199" s="475"/>
      <c r="F2199" s="475"/>
      <c r="G2199" s="325"/>
      <c r="H2199" s="325"/>
    </row>
    <row r="2200" spans="5:8">
      <c r="E2200" s="475"/>
      <c r="F2200" s="475"/>
      <c r="G2200" s="325"/>
      <c r="H2200" s="325"/>
    </row>
    <row r="2201" spans="5:8">
      <c r="E2201" s="475"/>
      <c r="F2201" s="475"/>
      <c r="G2201" s="325"/>
      <c r="H2201" s="325"/>
    </row>
    <row r="2202" spans="5:8">
      <c r="E2202" s="475"/>
      <c r="F2202" s="475"/>
      <c r="G2202" s="325"/>
      <c r="H2202" s="325"/>
    </row>
    <row r="2203" spans="5:8">
      <c r="E2203" s="475"/>
      <c r="F2203" s="475"/>
      <c r="G2203" s="325"/>
      <c r="H2203" s="325"/>
    </row>
    <row r="2204" spans="5:8">
      <c r="E2204" s="475"/>
      <c r="F2204" s="475"/>
      <c r="G2204" s="325"/>
      <c r="H2204" s="325"/>
    </row>
    <row r="2205" spans="5:8">
      <c r="E2205" s="475"/>
      <c r="F2205" s="475"/>
      <c r="G2205" s="325"/>
      <c r="H2205" s="325"/>
    </row>
    <row r="2206" spans="5:8">
      <c r="E2206" s="475"/>
      <c r="F2206" s="475"/>
      <c r="G2206" s="325"/>
      <c r="H2206" s="325"/>
    </row>
    <row r="2207" spans="5:8">
      <c r="E2207" s="475"/>
      <c r="F2207" s="475"/>
      <c r="G2207" s="325"/>
      <c r="H2207" s="325"/>
    </row>
    <row r="2208" spans="5:8">
      <c r="E2208" s="475"/>
      <c r="F2208" s="475"/>
      <c r="G2208" s="325"/>
      <c r="H2208" s="325"/>
    </row>
    <row r="2209" spans="5:8">
      <c r="E2209" s="475"/>
      <c r="F2209" s="475"/>
      <c r="G2209" s="325"/>
      <c r="H2209" s="325"/>
    </row>
    <row r="2210" spans="5:8">
      <c r="E2210" s="475"/>
      <c r="F2210" s="475"/>
      <c r="G2210" s="325"/>
      <c r="H2210" s="325"/>
    </row>
    <row r="2211" spans="5:8">
      <c r="E2211" s="475"/>
      <c r="F2211" s="475"/>
      <c r="G2211" s="325"/>
      <c r="H2211" s="325"/>
    </row>
    <row r="2212" spans="5:8">
      <c r="E2212" s="475"/>
      <c r="F2212" s="475"/>
      <c r="G2212" s="325"/>
      <c r="H2212" s="325"/>
    </row>
    <row r="2213" spans="5:8">
      <c r="E2213" s="475"/>
      <c r="F2213" s="475"/>
      <c r="G2213" s="325"/>
      <c r="H2213" s="325"/>
    </row>
    <row r="2214" spans="5:8">
      <c r="E2214" s="475"/>
      <c r="F2214" s="475"/>
      <c r="G2214" s="325"/>
      <c r="H2214" s="325"/>
    </row>
    <row r="2215" spans="5:8">
      <c r="E2215" s="475"/>
      <c r="F2215" s="475"/>
      <c r="G2215" s="325"/>
      <c r="H2215" s="325"/>
    </row>
    <row r="2216" spans="5:8">
      <c r="E2216" s="475"/>
      <c r="F2216" s="475"/>
      <c r="G2216" s="325"/>
      <c r="H2216" s="325"/>
    </row>
    <row r="2217" spans="5:8">
      <c r="E2217" s="475"/>
      <c r="F2217" s="475"/>
      <c r="G2217" s="325"/>
      <c r="H2217" s="325"/>
    </row>
    <row r="2218" spans="5:8">
      <c r="E2218" s="475"/>
      <c r="F2218" s="475"/>
      <c r="G2218" s="325"/>
      <c r="H2218" s="325"/>
    </row>
    <row r="2219" spans="5:8">
      <c r="E2219" s="475"/>
      <c r="F2219" s="475"/>
      <c r="G2219" s="325"/>
      <c r="H2219" s="325"/>
    </row>
    <row r="2220" spans="5:8">
      <c r="E2220" s="475"/>
      <c r="F2220" s="475"/>
      <c r="G2220" s="325"/>
      <c r="H2220" s="325"/>
    </row>
    <row r="2221" spans="5:8">
      <c r="E2221" s="475"/>
      <c r="F2221" s="475"/>
      <c r="G2221" s="325"/>
      <c r="H2221" s="325"/>
    </row>
    <row r="2222" spans="5:8">
      <c r="E2222" s="475"/>
      <c r="F2222" s="475"/>
      <c r="G2222" s="325"/>
      <c r="H2222" s="325"/>
    </row>
    <row r="2223" spans="5:8">
      <c r="E2223" s="475"/>
      <c r="F2223" s="475"/>
      <c r="G2223" s="325"/>
      <c r="H2223" s="325"/>
    </row>
    <row r="2224" spans="5:8">
      <c r="E2224" s="475"/>
      <c r="F2224" s="475"/>
      <c r="G2224" s="325"/>
      <c r="H2224" s="325"/>
    </row>
    <row r="2225" spans="5:8">
      <c r="E2225" s="475"/>
      <c r="F2225" s="475"/>
      <c r="G2225" s="325"/>
      <c r="H2225" s="325"/>
    </row>
    <row r="2226" spans="5:8">
      <c r="E2226" s="475"/>
      <c r="F2226" s="475"/>
      <c r="G2226" s="325"/>
      <c r="H2226" s="325"/>
    </row>
    <row r="2227" spans="5:8">
      <c r="E2227" s="475"/>
      <c r="F2227" s="475"/>
      <c r="G2227" s="325"/>
      <c r="H2227" s="325"/>
    </row>
    <row r="2228" spans="5:8">
      <c r="E2228" s="475"/>
      <c r="F2228" s="475"/>
      <c r="G2228" s="325"/>
      <c r="H2228" s="325"/>
    </row>
    <row r="2229" spans="5:8">
      <c r="E2229" s="475"/>
      <c r="F2229" s="475"/>
      <c r="G2229" s="325"/>
      <c r="H2229" s="325"/>
    </row>
    <row r="2230" spans="5:8">
      <c r="E2230" s="475"/>
      <c r="F2230" s="475"/>
      <c r="G2230" s="325"/>
      <c r="H2230" s="325"/>
    </row>
    <row r="2231" spans="5:8">
      <c r="E2231" s="475"/>
      <c r="F2231" s="475"/>
      <c r="G2231" s="325"/>
      <c r="H2231" s="325"/>
    </row>
    <row r="2232" spans="5:8">
      <c r="E2232" s="475"/>
      <c r="F2232" s="475"/>
      <c r="G2232" s="325"/>
      <c r="H2232" s="325"/>
    </row>
    <row r="2233" spans="5:8">
      <c r="E2233" s="475"/>
      <c r="F2233" s="475"/>
      <c r="G2233" s="325"/>
      <c r="H2233" s="325"/>
    </row>
    <row r="2234" spans="5:8">
      <c r="E2234" s="475"/>
      <c r="F2234" s="475"/>
      <c r="G2234" s="325"/>
      <c r="H2234" s="325"/>
    </row>
    <row r="2235" spans="5:8">
      <c r="E2235" s="475"/>
      <c r="F2235" s="475"/>
      <c r="G2235" s="325"/>
      <c r="H2235" s="325"/>
    </row>
    <row r="2236" spans="5:8">
      <c r="E2236" s="475"/>
      <c r="F2236" s="475"/>
      <c r="G2236" s="325"/>
      <c r="H2236" s="325"/>
    </row>
    <row r="2237" spans="5:8">
      <c r="E2237" s="475"/>
      <c r="F2237" s="475"/>
      <c r="G2237" s="325"/>
      <c r="H2237" s="325"/>
    </row>
    <row r="2238" spans="5:8">
      <c r="E2238" s="475"/>
      <c r="F2238" s="475"/>
      <c r="G2238" s="325"/>
      <c r="H2238" s="325"/>
    </row>
    <row r="2239" spans="5:8">
      <c r="E2239" s="475"/>
      <c r="F2239" s="475"/>
      <c r="G2239" s="325"/>
      <c r="H2239" s="325"/>
    </row>
    <row r="2240" spans="5:8">
      <c r="E2240" s="475"/>
      <c r="F2240" s="475"/>
      <c r="G2240" s="325"/>
      <c r="H2240" s="325"/>
    </row>
    <row r="2241" spans="5:8">
      <c r="E2241" s="475"/>
      <c r="F2241" s="475"/>
      <c r="G2241" s="325"/>
      <c r="H2241" s="325"/>
    </row>
    <row r="2242" spans="5:8">
      <c r="E2242" s="475"/>
      <c r="F2242" s="475"/>
      <c r="G2242" s="325"/>
      <c r="H2242" s="325"/>
    </row>
    <row r="2243" spans="5:8">
      <c r="E2243" s="475"/>
      <c r="F2243" s="475"/>
      <c r="G2243" s="325"/>
      <c r="H2243" s="325"/>
    </row>
    <row r="2244" spans="5:8">
      <c r="E2244" s="475"/>
      <c r="F2244" s="475"/>
      <c r="G2244" s="325"/>
      <c r="H2244" s="325"/>
    </row>
    <row r="2245" spans="5:8">
      <c r="E2245" s="475"/>
      <c r="F2245" s="475"/>
      <c r="G2245" s="325"/>
      <c r="H2245" s="325"/>
    </row>
    <row r="2246" spans="5:8">
      <c r="E2246" s="475"/>
      <c r="F2246" s="475"/>
      <c r="G2246" s="325"/>
      <c r="H2246" s="325"/>
    </row>
    <row r="2247" spans="5:8">
      <c r="E2247" s="475"/>
      <c r="F2247" s="475"/>
      <c r="G2247" s="325"/>
      <c r="H2247" s="325"/>
    </row>
    <row r="2248" spans="5:8">
      <c r="E2248" s="475"/>
      <c r="F2248" s="475"/>
      <c r="G2248" s="325"/>
      <c r="H2248" s="325"/>
    </row>
    <row r="2249" spans="5:8">
      <c r="E2249" s="475"/>
      <c r="F2249" s="475"/>
      <c r="G2249" s="325"/>
      <c r="H2249" s="325"/>
    </row>
    <row r="2250" spans="5:8">
      <c r="E2250" s="475"/>
      <c r="F2250" s="475"/>
      <c r="G2250" s="325"/>
      <c r="H2250" s="325"/>
    </row>
    <row r="2251" spans="5:8">
      <c r="E2251" s="475"/>
      <c r="F2251" s="475"/>
      <c r="G2251" s="325"/>
      <c r="H2251" s="325"/>
    </row>
    <row r="2252" spans="5:8">
      <c r="E2252" s="475"/>
      <c r="F2252" s="475"/>
      <c r="G2252" s="325"/>
      <c r="H2252" s="325"/>
    </row>
    <row r="2253" spans="5:8">
      <c r="E2253" s="475"/>
      <c r="F2253" s="475"/>
      <c r="G2253" s="325"/>
      <c r="H2253" s="325"/>
    </row>
    <row r="2254" spans="5:8">
      <c r="E2254" s="475"/>
      <c r="F2254" s="475"/>
      <c r="G2254" s="325"/>
      <c r="H2254" s="325"/>
    </row>
    <row r="2255" spans="5:8">
      <c r="E2255" s="475"/>
      <c r="F2255" s="475"/>
      <c r="G2255" s="325"/>
      <c r="H2255" s="325"/>
    </row>
    <row r="2256" spans="5:8">
      <c r="E2256" s="475"/>
      <c r="F2256" s="475"/>
      <c r="G2256" s="325"/>
      <c r="H2256" s="325"/>
    </row>
    <row r="2257" spans="5:8">
      <c r="E2257" s="475"/>
      <c r="F2257" s="475"/>
      <c r="G2257" s="325"/>
      <c r="H2257" s="325"/>
    </row>
    <row r="2258" spans="5:8">
      <c r="E2258" s="475"/>
      <c r="F2258" s="475"/>
      <c r="G2258" s="325"/>
      <c r="H2258" s="325"/>
    </row>
    <row r="2259" spans="5:8">
      <c r="E2259" s="475"/>
      <c r="F2259" s="475"/>
      <c r="G2259" s="325"/>
      <c r="H2259" s="325"/>
    </row>
    <row r="2260" spans="5:8">
      <c r="E2260" s="475"/>
      <c r="F2260" s="475"/>
      <c r="G2260" s="325"/>
      <c r="H2260" s="325"/>
    </row>
    <row r="2261" spans="5:8">
      <c r="E2261" s="475"/>
      <c r="F2261" s="475"/>
      <c r="G2261" s="325"/>
      <c r="H2261" s="325"/>
    </row>
    <row r="2262" spans="5:8">
      <c r="E2262" s="475"/>
      <c r="F2262" s="475"/>
      <c r="G2262" s="325"/>
      <c r="H2262" s="325"/>
    </row>
    <row r="2263" spans="5:8">
      <c r="E2263" s="475"/>
      <c r="F2263" s="475"/>
      <c r="G2263" s="325"/>
      <c r="H2263" s="325"/>
    </row>
    <row r="2264" spans="5:8">
      <c r="E2264" s="475"/>
      <c r="F2264" s="475"/>
      <c r="G2264" s="325"/>
      <c r="H2264" s="325"/>
    </row>
    <row r="2265" spans="5:8">
      <c r="E2265" s="475"/>
      <c r="F2265" s="475"/>
      <c r="G2265" s="325"/>
      <c r="H2265" s="325"/>
    </row>
    <row r="2266" spans="5:8">
      <c r="E2266" s="475"/>
      <c r="F2266" s="475"/>
      <c r="G2266" s="325"/>
      <c r="H2266" s="325"/>
    </row>
    <row r="2267" spans="5:8">
      <c r="E2267" s="475"/>
      <c r="F2267" s="475"/>
      <c r="G2267" s="325"/>
      <c r="H2267" s="325"/>
    </row>
    <row r="2268" spans="5:8">
      <c r="E2268" s="475"/>
      <c r="F2268" s="475"/>
      <c r="G2268" s="325"/>
      <c r="H2268" s="325"/>
    </row>
    <row r="2269" spans="5:8">
      <c r="E2269" s="475"/>
      <c r="F2269" s="475"/>
      <c r="G2269" s="325"/>
      <c r="H2269" s="325"/>
    </row>
    <row r="2270" spans="5:8">
      <c r="E2270" s="475"/>
      <c r="F2270" s="475"/>
      <c r="G2270" s="325"/>
      <c r="H2270" s="325"/>
    </row>
    <row r="2271" spans="5:8">
      <c r="E2271" s="475"/>
      <c r="F2271" s="475"/>
      <c r="G2271" s="325"/>
      <c r="H2271" s="325"/>
    </row>
    <row r="2272" spans="5:8">
      <c r="E2272" s="475"/>
      <c r="F2272" s="475"/>
      <c r="G2272" s="325"/>
      <c r="H2272" s="325"/>
    </row>
    <row r="2273" spans="5:8">
      <c r="E2273" s="475"/>
      <c r="F2273" s="475"/>
      <c r="G2273" s="325"/>
      <c r="H2273" s="325"/>
    </row>
    <row r="2274" spans="5:8">
      <c r="E2274" s="475"/>
      <c r="F2274" s="475"/>
      <c r="G2274" s="325"/>
      <c r="H2274" s="325"/>
    </row>
    <row r="2275" spans="5:8">
      <c r="E2275" s="475"/>
      <c r="F2275" s="475"/>
      <c r="G2275" s="325"/>
      <c r="H2275" s="325"/>
    </row>
    <row r="2276" spans="5:8">
      <c r="E2276" s="475"/>
      <c r="F2276" s="475"/>
      <c r="G2276" s="325"/>
      <c r="H2276" s="325"/>
    </row>
    <row r="2277" spans="5:8">
      <c r="E2277" s="475"/>
      <c r="F2277" s="475"/>
      <c r="G2277" s="325"/>
      <c r="H2277" s="325"/>
    </row>
    <row r="2278" spans="5:8">
      <c r="E2278" s="475"/>
      <c r="F2278" s="475"/>
      <c r="G2278" s="325"/>
      <c r="H2278" s="325"/>
    </row>
    <row r="2279" spans="5:8">
      <c r="E2279" s="475"/>
      <c r="F2279" s="475"/>
      <c r="G2279" s="325"/>
      <c r="H2279" s="325"/>
    </row>
    <row r="2280" spans="5:8">
      <c r="E2280" s="475"/>
      <c r="F2280" s="475"/>
      <c r="G2280" s="325"/>
      <c r="H2280" s="325"/>
    </row>
    <row r="2281" spans="5:8">
      <c r="E2281" s="475"/>
      <c r="F2281" s="475"/>
      <c r="G2281" s="325"/>
      <c r="H2281" s="325"/>
    </row>
    <row r="2282" spans="5:8">
      <c r="E2282" s="475"/>
      <c r="F2282" s="475"/>
      <c r="G2282" s="325"/>
      <c r="H2282" s="325"/>
    </row>
    <row r="2283" spans="5:8">
      <c r="E2283" s="475"/>
      <c r="F2283" s="475"/>
      <c r="G2283" s="325"/>
      <c r="H2283" s="325"/>
    </row>
    <row r="2284" spans="5:8">
      <c r="E2284" s="475"/>
      <c r="F2284" s="475"/>
      <c r="G2284" s="325"/>
      <c r="H2284" s="325"/>
    </row>
    <row r="2285" spans="5:8">
      <c r="E2285" s="475"/>
      <c r="F2285" s="475"/>
      <c r="G2285" s="325"/>
      <c r="H2285" s="325"/>
    </row>
    <row r="2286" spans="5:8">
      <c r="E2286" s="475"/>
      <c r="F2286" s="475"/>
      <c r="G2286" s="325"/>
      <c r="H2286" s="325"/>
    </row>
    <row r="2287" spans="5:8">
      <c r="E2287" s="475"/>
      <c r="F2287" s="475"/>
      <c r="G2287" s="325"/>
      <c r="H2287" s="325"/>
    </row>
    <row r="2288" spans="5:8">
      <c r="E2288" s="475"/>
      <c r="F2288" s="475"/>
      <c r="G2288" s="325"/>
      <c r="H2288" s="325"/>
    </row>
    <row r="2289" spans="5:8">
      <c r="E2289" s="475"/>
      <c r="F2289" s="475"/>
      <c r="G2289" s="325"/>
      <c r="H2289" s="325"/>
    </row>
    <row r="2290" spans="5:8">
      <c r="E2290" s="475"/>
      <c r="F2290" s="475"/>
      <c r="G2290" s="325"/>
      <c r="H2290" s="325"/>
    </row>
    <row r="2291" spans="5:8">
      <c r="E2291" s="475"/>
      <c r="F2291" s="475"/>
      <c r="G2291" s="325"/>
      <c r="H2291" s="325"/>
    </row>
    <row r="2292" spans="5:8">
      <c r="E2292" s="475"/>
      <c r="F2292" s="475"/>
      <c r="G2292" s="325"/>
      <c r="H2292" s="325"/>
    </row>
    <row r="2293" spans="5:8">
      <c r="E2293" s="475"/>
      <c r="F2293" s="475"/>
      <c r="G2293" s="325"/>
      <c r="H2293" s="325"/>
    </row>
    <row r="2294" spans="5:8">
      <c r="E2294" s="475"/>
      <c r="F2294" s="475"/>
      <c r="G2294" s="325"/>
      <c r="H2294" s="325"/>
    </row>
    <row r="2295" spans="5:8">
      <c r="E2295" s="475"/>
      <c r="F2295" s="475"/>
      <c r="G2295" s="325"/>
      <c r="H2295" s="325"/>
    </row>
    <row r="2296" spans="5:8">
      <c r="E2296" s="475"/>
      <c r="F2296" s="475"/>
      <c r="G2296" s="325"/>
      <c r="H2296" s="325"/>
    </row>
    <row r="2297" spans="5:8">
      <c r="E2297" s="475"/>
      <c r="F2297" s="475"/>
      <c r="G2297" s="325"/>
      <c r="H2297" s="325"/>
    </row>
    <row r="2298" spans="5:8">
      <c r="E2298" s="475"/>
      <c r="F2298" s="475"/>
      <c r="G2298" s="325"/>
      <c r="H2298" s="325"/>
    </row>
    <row r="2299" spans="5:8">
      <c r="E2299" s="475"/>
      <c r="F2299" s="475"/>
      <c r="G2299" s="325"/>
      <c r="H2299" s="325"/>
    </row>
    <row r="2300" spans="5:8">
      <c r="E2300" s="475"/>
      <c r="F2300" s="475"/>
      <c r="G2300" s="325"/>
      <c r="H2300" s="325"/>
    </row>
    <row r="2301" spans="5:8">
      <c r="E2301" s="475"/>
      <c r="F2301" s="475"/>
      <c r="G2301" s="325"/>
      <c r="H2301" s="325"/>
    </row>
    <row r="2302" spans="5:8">
      <c r="E2302" s="475"/>
      <c r="F2302" s="475"/>
      <c r="G2302" s="325"/>
      <c r="H2302" s="325"/>
    </row>
    <row r="2303" spans="5:8">
      <c r="E2303" s="475"/>
      <c r="F2303" s="475"/>
      <c r="G2303" s="325"/>
      <c r="H2303" s="325"/>
    </row>
    <row r="2304" spans="5:8">
      <c r="E2304" s="475"/>
      <c r="F2304" s="475"/>
      <c r="G2304" s="325"/>
      <c r="H2304" s="325"/>
    </row>
    <row r="2305" spans="5:8">
      <c r="E2305" s="475"/>
      <c r="F2305" s="475"/>
      <c r="G2305" s="325"/>
      <c r="H2305" s="325"/>
    </row>
    <row r="2306" spans="5:8">
      <c r="E2306" s="475"/>
      <c r="F2306" s="475"/>
      <c r="G2306" s="325"/>
      <c r="H2306" s="325"/>
    </row>
    <row r="2307" spans="5:8">
      <c r="E2307" s="475"/>
      <c r="F2307" s="475"/>
      <c r="G2307" s="325"/>
      <c r="H2307" s="325"/>
    </row>
    <row r="2308" spans="5:8">
      <c r="E2308" s="475"/>
      <c r="F2308" s="475"/>
      <c r="G2308" s="325"/>
      <c r="H2308" s="325"/>
    </row>
    <row r="2309" spans="5:8">
      <c r="E2309" s="475"/>
      <c r="F2309" s="475"/>
      <c r="G2309" s="325"/>
      <c r="H2309" s="325"/>
    </row>
    <row r="2310" spans="5:8">
      <c r="E2310" s="475"/>
      <c r="F2310" s="475"/>
      <c r="G2310" s="325"/>
      <c r="H2310" s="325"/>
    </row>
    <row r="2311" spans="5:8">
      <c r="E2311" s="475"/>
      <c r="F2311" s="475"/>
      <c r="G2311" s="325"/>
      <c r="H2311" s="325"/>
    </row>
    <row r="2312" spans="5:8">
      <c r="E2312" s="475"/>
      <c r="F2312" s="475"/>
      <c r="G2312" s="325"/>
      <c r="H2312" s="325"/>
    </row>
    <row r="2313" spans="5:8">
      <c r="E2313" s="475"/>
      <c r="F2313" s="475"/>
      <c r="G2313" s="325"/>
      <c r="H2313" s="325"/>
    </row>
    <row r="2314" spans="5:8">
      <c r="E2314" s="475"/>
      <c r="F2314" s="475"/>
      <c r="G2314" s="325"/>
      <c r="H2314" s="325"/>
    </row>
    <row r="2315" spans="5:8">
      <c r="E2315" s="475"/>
      <c r="F2315" s="475"/>
      <c r="G2315" s="325"/>
      <c r="H2315" s="325"/>
    </row>
    <row r="2316" spans="5:8">
      <c r="E2316" s="475"/>
      <c r="F2316" s="475"/>
      <c r="G2316" s="325"/>
      <c r="H2316" s="325"/>
    </row>
    <row r="2317" spans="5:8">
      <c r="E2317" s="475"/>
      <c r="F2317" s="475"/>
      <c r="G2317" s="325"/>
      <c r="H2317" s="325"/>
    </row>
    <row r="2318" spans="5:8">
      <c r="E2318" s="475"/>
      <c r="F2318" s="475"/>
      <c r="G2318" s="325"/>
      <c r="H2318" s="325"/>
    </row>
    <row r="2319" spans="5:8">
      <c r="E2319" s="475"/>
      <c r="F2319" s="475"/>
      <c r="G2319" s="325"/>
      <c r="H2319" s="325"/>
    </row>
    <row r="2320" spans="5:8">
      <c r="E2320" s="475"/>
      <c r="F2320" s="475"/>
      <c r="G2320" s="325"/>
      <c r="H2320" s="325"/>
    </row>
    <row r="2321" spans="5:8">
      <c r="E2321" s="475"/>
      <c r="F2321" s="475"/>
      <c r="G2321" s="325"/>
      <c r="H2321" s="325"/>
    </row>
    <row r="2322" spans="5:8">
      <c r="E2322" s="475"/>
      <c r="F2322" s="475"/>
      <c r="G2322" s="325"/>
      <c r="H2322" s="325"/>
    </row>
    <row r="2323" spans="5:8">
      <c r="E2323" s="475"/>
      <c r="F2323" s="475"/>
      <c r="G2323" s="325"/>
      <c r="H2323" s="325"/>
    </row>
    <row r="2324" spans="5:8">
      <c r="E2324" s="475"/>
      <c r="F2324" s="475"/>
      <c r="G2324" s="325"/>
      <c r="H2324" s="325"/>
    </row>
    <row r="2325" spans="5:8">
      <c r="E2325" s="475"/>
      <c r="F2325" s="475"/>
      <c r="G2325" s="325"/>
      <c r="H2325" s="325"/>
    </row>
    <row r="2326" spans="5:8">
      <c r="E2326" s="475"/>
      <c r="F2326" s="475"/>
      <c r="G2326" s="325"/>
      <c r="H2326" s="325"/>
    </row>
    <row r="2327" spans="5:8">
      <c r="E2327" s="475"/>
      <c r="F2327" s="475"/>
      <c r="G2327" s="325"/>
      <c r="H2327" s="325"/>
    </row>
    <row r="2328" spans="5:8">
      <c r="E2328" s="475"/>
      <c r="F2328" s="475"/>
      <c r="G2328" s="325"/>
      <c r="H2328" s="325"/>
    </row>
    <row r="2329" spans="5:8">
      <c r="E2329" s="475"/>
      <c r="F2329" s="475"/>
      <c r="G2329" s="325"/>
      <c r="H2329" s="325"/>
    </row>
    <row r="2330" spans="5:8">
      <c r="E2330" s="475"/>
      <c r="F2330" s="475"/>
      <c r="G2330" s="325"/>
      <c r="H2330" s="325"/>
    </row>
    <row r="2331" spans="5:8">
      <c r="E2331" s="475"/>
      <c r="F2331" s="475"/>
      <c r="G2331" s="325"/>
      <c r="H2331" s="325"/>
    </row>
    <row r="2332" spans="5:8">
      <c r="E2332" s="475"/>
      <c r="F2332" s="475"/>
      <c r="G2332" s="325"/>
      <c r="H2332" s="325"/>
    </row>
    <row r="2333" spans="5:8">
      <c r="E2333" s="475"/>
      <c r="F2333" s="475"/>
      <c r="G2333" s="325"/>
      <c r="H2333" s="325"/>
    </row>
    <row r="2334" spans="5:8">
      <c r="E2334" s="475"/>
      <c r="F2334" s="475"/>
      <c r="G2334" s="325"/>
      <c r="H2334" s="325"/>
    </row>
    <row r="2335" spans="5:8">
      <c r="E2335" s="475"/>
      <c r="F2335" s="475"/>
      <c r="G2335" s="325"/>
      <c r="H2335" s="325"/>
    </row>
    <row r="2336" spans="5:8">
      <c r="E2336" s="475"/>
      <c r="F2336" s="475"/>
      <c r="G2336" s="325"/>
      <c r="H2336" s="325"/>
    </row>
    <row r="2337" spans="5:8">
      <c r="E2337" s="475"/>
      <c r="F2337" s="475"/>
      <c r="G2337" s="325"/>
      <c r="H2337" s="325"/>
    </row>
    <row r="2338" spans="5:8">
      <c r="E2338" s="475"/>
      <c r="F2338" s="475"/>
      <c r="G2338" s="325"/>
      <c r="H2338" s="325"/>
    </row>
    <row r="2339" spans="5:8">
      <c r="E2339" s="475"/>
      <c r="F2339" s="475"/>
      <c r="G2339" s="325"/>
      <c r="H2339" s="325"/>
    </row>
    <row r="2340" spans="5:8">
      <c r="E2340" s="475"/>
      <c r="F2340" s="475"/>
      <c r="G2340" s="325"/>
      <c r="H2340" s="325"/>
    </row>
    <row r="2341" spans="5:8">
      <c r="E2341" s="475"/>
      <c r="F2341" s="475"/>
      <c r="G2341" s="325"/>
      <c r="H2341" s="325"/>
    </row>
    <row r="2342" spans="5:8">
      <c r="E2342" s="475"/>
      <c r="F2342" s="475"/>
      <c r="G2342" s="325"/>
      <c r="H2342" s="325"/>
    </row>
    <row r="2343" spans="5:8">
      <c r="E2343" s="475"/>
      <c r="F2343" s="475"/>
      <c r="G2343" s="325"/>
      <c r="H2343" s="325"/>
    </row>
    <row r="2344" spans="5:8">
      <c r="E2344" s="475"/>
      <c r="F2344" s="475"/>
      <c r="G2344" s="325"/>
      <c r="H2344" s="325"/>
    </row>
    <row r="2345" spans="5:8">
      <c r="E2345" s="475"/>
      <c r="F2345" s="475"/>
      <c r="G2345" s="325"/>
      <c r="H2345" s="325"/>
    </row>
    <row r="2346" spans="5:8">
      <c r="E2346" s="475"/>
      <c r="F2346" s="475"/>
      <c r="G2346" s="325"/>
      <c r="H2346" s="325"/>
    </row>
    <row r="2347" spans="5:8">
      <c r="E2347" s="475"/>
      <c r="F2347" s="475"/>
      <c r="G2347" s="325"/>
      <c r="H2347" s="325"/>
    </row>
    <row r="2348" spans="5:8">
      <c r="E2348" s="475"/>
      <c r="F2348" s="475"/>
      <c r="G2348" s="325"/>
      <c r="H2348" s="325"/>
    </row>
    <row r="2349" spans="5:8">
      <c r="E2349" s="475"/>
      <c r="F2349" s="475"/>
      <c r="G2349" s="325"/>
      <c r="H2349" s="325"/>
    </row>
    <row r="2350" spans="5:8">
      <c r="E2350" s="475"/>
      <c r="F2350" s="475"/>
      <c r="G2350" s="325"/>
      <c r="H2350" s="325"/>
    </row>
    <row r="2351" spans="5:8">
      <c r="E2351" s="475"/>
      <c r="F2351" s="475"/>
      <c r="G2351" s="325"/>
      <c r="H2351" s="325"/>
    </row>
    <row r="2352" spans="5:8">
      <c r="E2352" s="475"/>
      <c r="F2352" s="475"/>
      <c r="G2352" s="325"/>
      <c r="H2352" s="325"/>
    </row>
    <row r="2353" spans="5:8">
      <c r="E2353" s="475"/>
      <c r="F2353" s="475"/>
      <c r="G2353" s="325"/>
      <c r="H2353" s="325"/>
    </row>
    <row r="2354" spans="5:8">
      <c r="E2354" s="475"/>
      <c r="F2354" s="475"/>
      <c r="G2354" s="325"/>
      <c r="H2354" s="325"/>
    </row>
    <row r="2355" spans="5:8">
      <c r="E2355" s="475"/>
      <c r="F2355" s="475"/>
      <c r="G2355" s="325"/>
      <c r="H2355" s="325"/>
    </row>
    <row r="2356" spans="5:8">
      <c r="E2356" s="475"/>
      <c r="F2356" s="475"/>
      <c r="G2356" s="325"/>
      <c r="H2356" s="325"/>
    </row>
    <row r="2357" spans="5:8">
      <c r="E2357" s="475"/>
      <c r="F2357" s="475"/>
      <c r="G2357" s="325"/>
      <c r="H2357" s="325"/>
    </row>
    <row r="2358" spans="5:8">
      <c r="E2358" s="475"/>
      <c r="F2358" s="475"/>
      <c r="G2358" s="325"/>
      <c r="H2358" s="325"/>
    </row>
    <row r="2359" spans="5:8">
      <c r="E2359" s="475"/>
      <c r="F2359" s="475"/>
      <c r="G2359" s="325"/>
      <c r="H2359" s="325"/>
    </row>
    <row r="2360" spans="5:8">
      <c r="E2360" s="475"/>
      <c r="F2360" s="475"/>
      <c r="G2360" s="325"/>
      <c r="H2360" s="325"/>
    </row>
    <row r="2361" spans="5:8">
      <c r="E2361" s="475"/>
      <c r="F2361" s="475"/>
      <c r="G2361" s="325"/>
      <c r="H2361" s="325"/>
    </row>
    <row r="2362" spans="5:8">
      <c r="E2362" s="475"/>
      <c r="F2362" s="475"/>
      <c r="G2362" s="325"/>
      <c r="H2362" s="325"/>
    </row>
    <row r="2363" spans="5:8">
      <c r="E2363" s="475"/>
      <c r="F2363" s="475"/>
      <c r="G2363" s="325"/>
      <c r="H2363" s="325"/>
    </row>
    <row r="2364" spans="5:8">
      <c r="E2364" s="475"/>
      <c r="F2364" s="475"/>
      <c r="G2364" s="325"/>
      <c r="H2364" s="325"/>
    </row>
    <row r="2365" spans="5:8">
      <c r="E2365" s="475"/>
      <c r="F2365" s="475"/>
      <c r="G2365" s="325"/>
      <c r="H2365" s="325"/>
    </row>
    <row r="2366" spans="5:8">
      <c r="E2366" s="475"/>
      <c r="F2366" s="475"/>
      <c r="G2366" s="325"/>
      <c r="H2366" s="325"/>
    </row>
    <row r="2367" spans="5:8">
      <c r="E2367" s="475"/>
      <c r="F2367" s="475"/>
      <c r="G2367" s="325"/>
      <c r="H2367" s="325"/>
    </row>
    <row r="2368" spans="5:8">
      <c r="E2368" s="475"/>
      <c r="F2368" s="475"/>
      <c r="G2368" s="325"/>
      <c r="H2368" s="325"/>
    </row>
    <row r="2369" spans="5:8">
      <c r="E2369" s="475"/>
      <c r="F2369" s="475"/>
      <c r="G2369" s="325"/>
      <c r="H2369" s="325"/>
    </row>
    <row r="2370" spans="5:8">
      <c r="E2370" s="475"/>
      <c r="F2370" s="475"/>
      <c r="G2370" s="325"/>
      <c r="H2370" s="325"/>
    </row>
    <row r="2371" spans="5:8">
      <c r="E2371" s="475"/>
      <c r="F2371" s="475"/>
      <c r="G2371" s="325"/>
      <c r="H2371" s="325"/>
    </row>
    <row r="2372" spans="5:8">
      <c r="E2372" s="475"/>
      <c r="F2372" s="475"/>
      <c r="G2372" s="325"/>
      <c r="H2372" s="325"/>
    </row>
    <row r="2373" spans="5:8">
      <c r="E2373" s="475"/>
      <c r="F2373" s="475"/>
      <c r="G2373" s="325"/>
      <c r="H2373" s="325"/>
    </row>
    <row r="2374" spans="5:8">
      <c r="E2374" s="475"/>
      <c r="F2374" s="475"/>
      <c r="G2374" s="325"/>
      <c r="H2374" s="325"/>
    </row>
    <row r="2375" spans="5:8">
      <c r="E2375" s="475"/>
      <c r="F2375" s="475"/>
      <c r="G2375" s="325"/>
      <c r="H2375" s="325"/>
    </row>
    <row r="2376" spans="5:8">
      <c r="E2376" s="475"/>
      <c r="F2376" s="475"/>
      <c r="G2376" s="325"/>
      <c r="H2376" s="325"/>
    </row>
    <row r="2377" spans="5:8">
      <c r="E2377" s="475"/>
      <c r="F2377" s="475"/>
      <c r="G2377" s="325"/>
      <c r="H2377" s="325"/>
    </row>
    <row r="2378" spans="5:8">
      <c r="E2378" s="475"/>
      <c r="F2378" s="475"/>
      <c r="G2378" s="325"/>
      <c r="H2378" s="325"/>
    </row>
    <row r="2379" spans="5:8">
      <c r="E2379" s="475"/>
      <c r="F2379" s="475"/>
      <c r="G2379" s="325"/>
      <c r="H2379" s="325"/>
    </row>
    <row r="2380" spans="5:8">
      <c r="E2380" s="475"/>
      <c r="F2380" s="475"/>
      <c r="G2380" s="325"/>
      <c r="H2380" s="325"/>
    </row>
    <row r="2381" spans="5:8">
      <c r="E2381" s="475"/>
      <c r="F2381" s="475"/>
      <c r="G2381" s="325"/>
      <c r="H2381" s="325"/>
    </row>
    <row r="2382" spans="5:8">
      <c r="E2382" s="475"/>
      <c r="F2382" s="475"/>
      <c r="G2382" s="325"/>
      <c r="H2382" s="325"/>
    </row>
    <row r="2383" spans="5:8">
      <c r="E2383" s="475"/>
      <c r="F2383" s="475"/>
      <c r="G2383" s="325"/>
      <c r="H2383" s="325"/>
    </row>
    <row r="2384" spans="5:8">
      <c r="E2384" s="475"/>
      <c r="F2384" s="475"/>
      <c r="G2384" s="325"/>
      <c r="H2384" s="325"/>
    </row>
    <row r="2385" spans="5:8">
      <c r="E2385" s="475"/>
      <c r="F2385" s="475"/>
      <c r="G2385" s="325"/>
      <c r="H2385" s="325"/>
    </row>
    <row r="2386" spans="5:8">
      <c r="E2386" s="475"/>
      <c r="F2386" s="475"/>
      <c r="G2386" s="325"/>
      <c r="H2386" s="325"/>
    </row>
    <row r="2387" spans="5:8">
      <c r="E2387" s="475"/>
      <c r="F2387" s="475"/>
      <c r="G2387" s="325"/>
      <c r="H2387" s="325"/>
    </row>
    <row r="2388" spans="5:8">
      <c r="E2388" s="475"/>
      <c r="F2388" s="475"/>
      <c r="G2388" s="325"/>
      <c r="H2388" s="325"/>
    </row>
    <row r="2389" spans="5:8">
      <c r="E2389" s="475"/>
      <c r="F2389" s="475"/>
      <c r="G2389" s="325"/>
      <c r="H2389" s="325"/>
    </row>
    <row r="2390" spans="5:8">
      <c r="E2390" s="475"/>
      <c r="F2390" s="475"/>
      <c r="G2390" s="325"/>
      <c r="H2390" s="325"/>
    </row>
    <row r="2391" spans="5:8">
      <c r="E2391" s="475"/>
      <c r="F2391" s="475"/>
      <c r="G2391" s="325"/>
      <c r="H2391" s="325"/>
    </row>
    <row r="2392" spans="5:8">
      <c r="E2392" s="475"/>
      <c r="F2392" s="475"/>
      <c r="G2392" s="325"/>
      <c r="H2392" s="325"/>
    </row>
    <row r="2393" spans="5:8">
      <c r="E2393" s="475"/>
      <c r="F2393" s="475"/>
      <c r="G2393" s="325"/>
      <c r="H2393" s="325"/>
    </row>
    <row r="2394" spans="5:8">
      <c r="E2394" s="475"/>
      <c r="F2394" s="475"/>
      <c r="G2394" s="325"/>
      <c r="H2394" s="325"/>
    </row>
    <row r="2395" spans="5:8">
      <c r="E2395" s="475"/>
      <c r="F2395" s="475"/>
      <c r="G2395" s="325"/>
      <c r="H2395" s="325"/>
    </row>
    <row r="2396" spans="5:8">
      <c r="E2396" s="475"/>
      <c r="F2396" s="475"/>
      <c r="G2396" s="325"/>
      <c r="H2396" s="325"/>
    </row>
    <row r="2397" spans="5:8">
      <c r="E2397" s="475"/>
      <c r="F2397" s="475"/>
      <c r="G2397" s="325"/>
      <c r="H2397" s="325"/>
    </row>
    <row r="2398" spans="5:8">
      <c r="E2398" s="475"/>
      <c r="F2398" s="475"/>
      <c r="G2398" s="325"/>
      <c r="H2398" s="325"/>
    </row>
    <row r="2399" spans="5:8">
      <c r="E2399" s="475"/>
      <c r="F2399" s="475"/>
      <c r="G2399" s="325"/>
      <c r="H2399" s="325"/>
    </row>
    <row r="2400" spans="5:8">
      <c r="E2400" s="475"/>
      <c r="F2400" s="475"/>
      <c r="G2400" s="325"/>
      <c r="H2400" s="325"/>
    </row>
    <row r="2401" spans="5:8">
      <c r="E2401" s="475"/>
      <c r="F2401" s="475"/>
      <c r="G2401" s="325"/>
      <c r="H2401" s="325"/>
    </row>
    <row r="2402" spans="5:8">
      <c r="E2402" s="475"/>
      <c r="F2402" s="475"/>
      <c r="G2402" s="325"/>
      <c r="H2402" s="325"/>
    </row>
    <row r="2403" spans="5:8">
      <c r="E2403" s="475"/>
      <c r="F2403" s="475"/>
      <c r="G2403" s="325"/>
      <c r="H2403" s="325"/>
    </row>
    <row r="2404" spans="5:8">
      <c r="E2404" s="475"/>
      <c r="F2404" s="475"/>
      <c r="G2404" s="325"/>
      <c r="H2404" s="325"/>
    </row>
    <row r="2405" spans="5:8">
      <c r="E2405" s="475"/>
      <c r="F2405" s="475"/>
      <c r="G2405" s="325"/>
      <c r="H2405" s="325"/>
    </row>
    <row r="2406" spans="5:8">
      <c r="E2406" s="475"/>
      <c r="F2406" s="475"/>
      <c r="G2406" s="325"/>
      <c r="H2406" s="325"/>
    </row>
    <row r="2407" spans="5:8">
      <c r="E2407" s="475"/>
      <c r="F2407" s="475"/>
      <c r="G2407" s="325"/>
      <c r="H2407" s="325"/>
    </row>
    <row r="2408" spans="5:8">
      <c r="E2408" s="475"/>
      <c r="F2408" s="475"/>
      <c r="G2408" s="325"/>
      <c r="H2408" s="325"/>
    </row>
    <row r="2409" spans="5:8">
      <c r="E2409" s="475"/>
      <c r="F2409" s="475"/>
      <c r="G2409" s="325"/>
      <c r="H2409" s="325"/>
    </row>
    <row r="2410" spans="5:8">
      <c r="E2410" s="475"/>
      <c r="F2410" s="475"/>
      <c r="G2410" s="325"/>
      <c r="H2410" s="325"/>
    </row>
    <row r="2411" spans="5:8">
      <c r="E2411" s="475"/>
      <c r="F2411" s="475"/>
      <c r="G2411" s="325"/>
      <c r="H2411" s="325"/>
    </row>
    <row r="2412" spans="5:8">
      <c r="E2412" s="475"/>
      <c r="F2412" s="475"/>
      <c r="G2412" s="325"/>
      <c r="H2412" s="325"/>
    </row>
    <row r="2413" spans="5:8">
      <c r="E2413" s="475"/>
      <c r="F2413" s="475"/>
      <c r="G2413" s="325"/>
      <c r="H2413" s="325"/>
    </row>
    <row r="2414" spans="5:8">
      <c r="E2414" s="475"/>
      <c r="F2414" s="475"/>
      <c r="G2414" s="325"/>
      <c r="H2414" s="325"/>
    </row>
    <row r="2415" spans="5:8">
      <c r="E2415" s="475"/>
      <c r="F2415" s="475"/>
      <c r="G2415" s="325"/>
      <c r="H2415" s="325"/>
    </row>
    <row r="2416" spans="5:8">
      <c r="E2416" s="475"/>
      <c r="F2416" s="475"/>
      <c r="G2416" s="325"/>
      <c r="H2416" s="325"/>
    </row>
    <row r="2417" spans="5:8">
      <c r="E2417" s="475"/>
      <c r="F2417" s="475"/>
      <c r="G2417" s="325"/>
      <c r="H2417" s="325"/>
    </row>
    <row r="2418" spans="5:8">
      <c r="E2418" s="475"/>
      <c r="F2418" s="475"/>
      <c r="G2418" s="325"/>
      <c r="H2418" s="325"/>
    </row>
    <row r="2419" spans="5:8">
      <c r="E2419" s="475"/>
      <c r="F2419" s="475"/>
      <c r="G2419" s="325"/>
      <c r="H2419" s="325"/>
    </row>
    <row r="2420" spans="5:8">
      <c r="E2420" s="475"/>
      <c r="F2420" s="475"/>
      <c r="G2420" s="325"/>
      <c r="H2420" s="325"/>
    </row>
    <row r="2421" spans="5:8">
      <c r="E2421" s="475"/>
      <c r="F2421" s="475"/>
      <c r="G2421" s="325"/>
      <c r="H2421" s="325"/>
    </row>
    <row r="2422" spans="5:8">
      <c r="E2422" s="475"/>
      <c r="F2422" s="475"/>
      <c r="G2422" s="325"/>
      <c r="H2422" s="325"/>
    </row>
    <row r="2423" spans="5:8">
      <c r="E2423" s="475"/>
      <c r="F2423" s="475"/>
      <c r="G2423" s="325"/>
      <c r="H2423" s="325"/>
    </row>
    <row r="2424" spans="5:8">
      <c r="E2424" s="475"/>
      <c r="F2424" s="475"/>
      <c r="G2424" s="325"/>
      <c r="H2424" s="325"/>
    </row>
    <row r="2425" spans="5:8">
      <c r="E2425" s="475"/>
      <c r="F2425" s="475"/>
      <c r="G2425" s="325"/>
      <c r="H2425" s="325"/>
    </row>
    <row r="2426" spans="5:8">
      <c r="E2426" s="475"/>
      <c r="F2426" s="475"/>
      <c r="G2426" s="325"/>
      <c r="H2426" s="325"/>
    </row>
    <row r="2427" spans="5:8">
      <c r="E2427" s="475"/>
      <c r="F2427" s="475"/>
      <c r="G2427" s="325"/>
      <c r="H2427" s="325"/>
    </row>
    <row r="2428" spans="5:8">
      <c r="E2428" s="475"/>
      <c r="F2428" s="475"/>
      <c r="G2428" s="325"/>
      <c r="H2428" s="325"/>
    </row>
    <row r="2429" spans="5:8">
      <c r="E2429" s="475"/>
      <c r="F2429" s="475"/>
      <c r="G2429" s="325"/>
      <c r="H2429" s="325"/>
    </row>
    <row r="2430" spans="5:8">
      <c r="E2430" s="475"/>
      <c r="F2430" s="475"/>
      <c r="G2430" s="325"/>
      <c r="H2430" s="325"/>
    </row>
    <row r="2431" spans="5:8">
      <c r="E2431" s="475"/>
      <c r="F2431" s="475"/>
      <c r="G2431" s="325"/>
      <c r="H2431" s="325"/>
    </row>
    <row r="2432" spans="5:8">
      <c r="E2432" s="475"/>
      <c r="F2432" s="475"/>
      <c r="G2432" s="325"/>
      <c r="H2432" s="325"/>
    </row>
    <row r="2433" spans="5:8">
      <c r="E2433" s="475"/>
      <c r="F2433" s="475"/>
      <c r="G2433" s="325"/>
      <c r="H2433" s="325"/>
    </row>
    <row r="2434" spans="5:8">
      <c r="E2434" s="475"/>
      <c r="F2434" s="475"/>
      <c r="G2434" s="325"/>
      <c r="H2434" s="325"/>
    </row>
    <row r="2435" spans="5:8">
      <c r="E2435" s="475"/>
      <c r="F2435" s="475"/>
      <c r="G2435" s="325"/>
      <c r="H2435" s="325"/>
    </row>
    <row r="2436" spans="5:8">
      <c r="E2436" s="475"/>
      <c r="F2436" s="475"/>
      <c r="G2436" s="325"/>
      <c r="H2436" s="325"/>
    </row>
    <row r="2437" spans="5:8">
      <c r="E2437" s="475"/>
      <c r="F2437" s="475"/>
      <c r="G2437" s="325"/>
      <c r="H2437" s="325"/>
    </row>
    <row r="2438" spans="5:8">
      <c r="E2438" s="475"/>
      <c r="F2438" s="475"/>
      <c r="G2438" s="325"/>
      <c r="H2438" s="325"/>
    </row>
    <row r="2439" spans="5:8">
      <c r="E2439" s="475"/>
      <c r="F2439" s="475"/>
      <c r="G2439" s="325"/>
      <c r="H2439" s="325"/>
    </row>
    <row r="2440" spans="5:8">
      <c r="E2440" s="475"/>
      <c r="F2440" s="475"/>
      <c r="G2440" s="325"/>
      <c r="H2440" s="325"/>
    </row>
    <row r="2441" spans="5:8">
      <c r="E2441" s="475"/>
      <c r="F2441" s="475"/>
      <c r="G2441" s="325"/>
      <c r="H2441" s="325"/>
    </row>
    <row r="2442" spans="5:8">
      <c r="E2442" s="475"/>
      <c r="F2442" s="475"/>
      <c r="G2442" s="325"/>
      <c r="H2442" s="325"/>
    </row>
    <row r="2443" spans="5:8">
      <c r="E2443" s="475"/>
      <c r="F2443" s="475"/>
      <c r="G2443" s="325"/>
      <c r="H2443" s="325"/>
    </row>
    <row r="2444" spans="5:8">
      <c r="E2444" s="475"/>
      <c r="F2444" s="475"/>
      <c r="G2444" s="325"/>
      <c r="H2444" s="325"/>
    </row>
    <row r="2445" spans="5:8">
      <c r="E2445" s="475"/>
      <c r="F2445" s="475"/>
      <c r="G2445" s="325"/>
      <c r="H2445" s="325"/>
    </row>
    <row r="2446" spans="5:8">
      <c r="E2446" s="475"/>
      <c r="F2446" s="475"/>
      <c r="G2446" s="325"/>
      <c r="H2446" s="325"/>
    </row>
    <row r="2447" spans="5:8">
      <c r="E2447" s="475"/>
      <c r="F2447" s="475"/>
      <c r="G2447" s="325"/>
      <c r="H2447" s="325"/>
    </row>
    <row r="2448" spans="5:8">
      <c r="E2448" s="475"/>
      <c r="F2448" s="475"/>
      <c r="G2448" s="325"/>
      <c r="H2448" s="325"/>
    </row>
    <row r="2449" spans="5:8">
      <c r="E2449" s="475"/>
      <c r="F2449" s="475"/>
      <c r="G2449" s="325"/>
      <c r="H2449" s="325"/>
    </row>
    <row r="2450" spans="5:8">
      <c r="E2450" s="475"/>
      <c r="F2450" s="475"/>
      <c r="G2450" s="325"/>
      <c r="H2450" s="325"/>
    </row>
    <row r="2451" spans="5:8">
      <c r="E2451" s="475"/>
      <c r="F2451" s="475"/>
      <c r="G2451" s="325"/>
      <c r="H2451" s="325"/>
    </row>
    <row r="2452" spans="5:8">
      <c r="E2452" s="475"/>
      <c r="F2452" s="475"/>
      <c r="G2452" s="325"/>
      <c r="H2452" s="325"/>
    </row>
    <row r="2453" spans="5:8">
      <c r="E2453" s="475"/>
      <c r="F2453" s="475"/>
      <c r="G2453" s="325"/>
      <c r="H2453" s="325"/>
    </row>
    <row r="2454" spans="5:8">
      <c r="E2454" s="475"/>
      <c r="F2454" s="475"/>
      <c r="G2454" s="325"/>
      <c r="H2454" s="325"/>
    </row>
    <row r="2455" spans="5:8">
      <c r="E2455" s="475"/>
      <c r="F2455" s="475"/>
      <c r="G2455" s="325"/>
      <c r="H2455" s="325"/>
    </row>
    <row r="2456" spans="5:8">
      <c r="E2456" s="475"/>
      <c r="F2456" s="475"/>
      <c r="G2456" s="325"/>
      <c r="H2456" s="325"/>
    </row>
    <row r="2457" spans="5:8">
      <c r="E2457" s="475"/>
      <c r="F2457" s="475"/>
      <c r="G2457" s="325"/>
      <c r="H2457" s="325"/>
    </row>
    <row r="2458" spans="5:8">
      <c r="E2458" s="475"/>
      <c r="F2458" s="475"/>
      <c r="G2458" s="325"/>
      <c r="H2458" s="325"/>
    </row>
    <row r="2459" spans="5:8">
      <c r="E2459" s="475"/>
      <c r="F2459" s="475"/>
      <c r="G2459" s="325"/>
      <c r="H2459" s="325"/>
    </row>
    <row r="2460" spans="5:8">
      <c r="E2460" s="475"/>
      <c r="F2460" s="475"/>
      <c r="G2460" s="325"/>
      <c r="H2460" s="325"/>
    </row>
    <row r="2461" spans="5:8">
      <c r="E2461" s="475"/>
      <c r="F2461" s="475"/>
      <c r="G2461" s="325"/>
      <c r="H2461" s="325"/>
    </row>
    <row r="2462" spans="5:8">
      <c r="E2462" s="475"/>
      <c r="F2462" s="475"/>
      <c r="G2462" s="325"/>
      <c r="H2462" s="325"/>
    </row>
    <row r="2463" spans="5:8">
      <c r="E2463" s="475"/>
      <c r="F2463" s="475"/>
      <c r="G2463" s="325"/>
      <c r="H2463" s="325"/>
    </row>
    <row r="2464" spans="5:8">
      <c r="E2464" s="475"/>
      <c r="F2464" s="475"/>
      <c r="G2464" s="325"/>
      <c r="H2464" s="325"/>
    </row>
    <row r="2465" spans="5:8">
      <c r="E2465" s="475"/>
      <c r="F2465" s="475"/>
      <c r="G2465" s="325"/>
      <c r="H2465" s="325"/>
    </row>
    <row r="2466" spans="5:8">
      <c r="E2466" s="475"/>
      <c r="F2466" s="475"/>
      <c r="G2466" s="325"/>
      <c r="H2466" s="325"/>
    </row>
    <row r="2467" spans="5:8">
      <c r="E2467" s="475"/>
      <c r="F2467" s="475"/>
      <c r="G2467" s="325"/>
      <c r="H2467" s="325"/>
    </row>
    <row r="2468" spans="5:8">
      <c r="E2468" s="475"/>
      <c r="F2468" s="475"/>
      <c r="G2468" s="325"/>
      <c r="H2468" s="325"/>
    </row>
    <row r="2469" spans="5:8">
      <c r="E2469" s="475"/>
      <c r="F2469" s="475"/>
      <c r="G2469" s="325"/>
      <c r="H2469" s="325"/>
    </row>
    <row r="2470" spans="5:8">
      <c r="E2470" s="475"/>
      <c r="F2470" s="475"/>
      <c r="G2470" s="325"/>
      <c r="H2470" s="325"/>
    </row>
    <row r="2471" spans="5:8">
      <c r="E2471" s="475"/>
      <c r="F2471" s="475"/>
      <c r="G2471" s="325"/>
      <c r="H2471" s="325"/>
    </row>
    <row r="2472" spans="5:8">
      <c r="E2472" s="475"/>
      <c r="F2472" s="475"/>
      <c r="G2472" s="325"/>
      <c r="H2472" s="325"/>
    </row>
    <row r="2473" spans="5:8">
      <c r="E2473" s="475"/>
      <c r="F2473" s="475"/>
      <c r="G2473" s="325"/>
      <c r="H2473" s="325"/>
    </row>
    <row r="2474" spans="5:8">
      <c r="E2474" s="475"/>
      <c r="F2474" s="475"/>
      <c r="G2474" s="325"/>
      <c r="H2474" s="325"/>
    </row>
    <row r="2475" spans="5:8">
      <c r="E2475" s="475"/>
      <c r="F2475" s="475"/>
      <c r="G2475" s="325"/>
      <c r="H2475" s="325"/>
    </row>
    <row r="2476" spans="5:8">
      <c r="E2476" s="475"/>
      <c r="F2476" s="475"/>
      <c r="G2476" s="325"/>
      <c r="H2476" s="325"/>
    </row>
    <row r="2477" spans="5:8">
      <c r="E2477" s="475"/>
      <c r="F2477" s="475"/>
      <c r="G2477" s="325"/>
      <c r="H2477" s="325"/>
    </row>
    <row r="2478" spans="5:8">
      <c r="E2478" s="475"/>
      <c r="F2478" s="475"/>
      <c r="G2478" s="325"/>
      <c r="H2478" s="325"/>
    </row>
    <row r="2479" spans="5:8">
      <c r="E2479" s="475"/>
      <c r="F2479" s="475"/>
      <c r="G2479" s="325"/>
      <c r="H2479" s="325"/>
    </row>
    <row r="2480" spans="5:8">
      <c r="E2480" s="475"/>
      <c r="F2480" s="475"/>
      <c r="G2480" s="325"/>
      <c r="H2480" s="325"/>
    </row>
    <row r="2481" spans="5:8">
      <c r="E2481" s="475"/>
      <c r="F2481" s="475"/>
      <c r="G2481" s="325"/>
      <c r="H2481" s="325"/>
    </row>
    <row r="2482" spans="5:8">
      <c r="E2482" s="475"/>
      <c r="F2482" s="475"/>
      <c r="G2482" s="325"/>
      <c r="H2482" s="325"/>
    </row>
    <row r="2483" spans="5:8">
      <c r="E2483" s="475"/>
      <c r="F2483" s="475"/>
      <c r="G2483" s="325"/>
      <c r="H2483" s="325"/>
    </row>
    <row r="2484" spans="5:8">
      <c r="E2484" s="475"/>
      <c r="F2484" s="475"/>
      <c r="G2484" s="325"/>
      <c r="H2484" s="325"/>
    </row>
    <row r="2485" spans="5:8">
      <c r="E2485" s="475"/>
      <c r="F2485" s="475"/>
      <c r="G2485" s="325"/>
      <c r="H2485" s="325"/>
    </row>
    <row r="2486" spans="5:8">
      <c r="E2486" s="475"/>
      <c r="F2486" s="475"/>
      <c r="G2486" s="325"/>
      <c r="H2486" s="325"/>
    </row>
    <row r="2487" spans="5:8">
      <c r="E2487" s="475"/>
      <c r="F2487" s="475"/>
      <c r="G2487" s="325"/>
      <c r="H2487" s="325"/>
    </row>
    <row r="2488" spans="5:8">
      <c r="E2488" s="475"/>
      <c r="F2488" s="475"/>
      <c r="G2488" s="325"/>
      <c r="H2488" s="325"/>
    </row>
    <row r="2489" spans="5:8">
      <c r="E2489" s="475"/>
      <c r="F2489" s="475"/>
      <c r="G2489" s="325"/>
      <c r="H2489" s="325"/>
    </row>
    <row r="2490" spans="5:8">
      <c r="E2490" s="475"/>
      <c r="F2490" s="475"/>
      <c r="G2490" s="325"/>
      <c r="H2490" s="325"/>
    </row>
    <row r="2491" spans="5:8">
      <c r="E2491" s="475"/>
      <c r="F2491" s="475"/>
      <c r="G2491" s="325"/>
      <c r="H2491" s="325"/>
    </row>
    <row r="2492" spans="5:8">
      <c r="E2492" s="475"/>
      <c r="F2492" s="475"/>
      <c r="G2492" s="325"/>
      <c r="H2492" s="325"/>
    </row>
    <row r="2493" spans="5:8">
      <c r="E2493" s="475"/>
      <c r="F2493" s="475"/>
      <c r="G2493" s="325"/>
      <c r="H2493" s="325"/>
    </row>
    <row r="2494" spans="5:8">
      <c r="E2494" s="475"/>
      <c r="F2494" s="475"/>
      <c r="G2494" s="325"/>
      <c r="H2494" s="325"/>
    </row>
    <row r="2495" spans="5:8">
      <c r="E2495" s="475"/>
      <c r="F2495" s="475"/>
      <c r="G2495" s="325"/>
      <c r="H2495" s="325"/>
    </row>
    <row r="2496" spans="5:8">
      <c r="E2496" s="475"/>
      <c r="F2496" s="475"/>
      <c r="G2496" s="325"/>
      <c r="H2496" s="325"/>
    </row>
    <row r="2497" spans="5:8">
      <c r="E2497" s="475"/>
      <c r="F2497" s="475"/>
      <c r="G2497" s="325"/>
      <c r="H2497" s="325"/>
    </row>
    <row r="2498" spans="5:8">
      <c r="E2498" s="475"/>
      <c r="F2498" s="475"/>
      <c r="G2498" s="325"/>
      <c r="H2498" s="325"/>
    </row>
    <row r="2499" spans="5:8">
      <c r="E2499" s="475"/>
      <c r="F2499" s="475"/>
      <c r="G2499" s="325"/>
      <c r="H2499" s="325"/>
    </row>
    <row r="2500" spans="5:8">
      <c r="E2500" s="475"/>
      <c r="F2500" s="475"/>
      <c r="G2500" s="325"/>
      <c r="H2500" s="325"/>
    </row>
    <row r="2501" spans="5:8">
      <c r="E2501" s="475"/>
      <c r="F2501" s="475"/>
      <c r="G2501" s="325"/>
      <c r="H2501" s="325"/>
    </row>
    <row r="2502" spans="5:8">
      <c r="E2502" s="475"/>
      <c r="F2502" s="475"/>
      <c r="G2502" s="325"/>
      <c r="H2502" s="325"/>
    </row>
    <row r="2503" spans="5:8">
      <c r="E2503" s="475"/>
      <c r="F2503" s="475"/>
      <c r="G2503" s="325"/>
      <c r="H2503" s="325"/>
    </row>
    <row r="2504" spans="5:8">
      <c r="E2504" s="475"/>
      <c r="F2504" s="475"/>
      <c r="G2504" s="325"/>
      <c r="H2504" s="325"/>
    </row>
    <row r="2505" spans="5:8">
      <c r="E2505" s="475"/>
      <c r="F2505" s="475"/>
      <c r="G2505" s="325"/>
      <c r="H2505" s="325"/>
    </row>
    <row r="2506" spans="5:8">
      <c r="E2506" s="475"/>
      <c r="F2506" s="475"/>
      <c r="G2506" s="325"/>
      <c r="H2506" s="325"/>
    </row>
    <row r="2507" spans="5:8">
      <c r="E2507" s="475"/>
      <c r="F2507" s="475"/>
      <c r="G2507" s="325"/>
      <c r="H2507" s="325"/>
    </row>
    <row r="2508" spans="5:8">
      <c r="E2508" s="475"/>
      <c r="F2508" s="475"/>
      <c r="G2508" s="325"/>
      <c r="H2508" s="325"/>
    </row>
    <row r="2509" spans="5:8">
      <c r="E2509" s="475"/>
      <c r="F2509" s="475"/>
      <c r="G2509" s="325"/>
      <c r="H2509" s="325"/>
    </row>
    <row r="2510" spans="5:8">
      <c r="E2510" s="475"/>
      <c r="F2510" s="475"/>
      <c r="G2510" s="325"/>
      <c r="H2510" s="325"/>
    </row>
    <row r="2511" spans="5:8">
      <c r="E2511" s="475"/>
      <c r="F2511" s="475"/>
      <c r="G2511" s="325"/>
      <c r="H2511" s="325"/>
    </row>
    <row r="2512" spans="5:8">
      <c r="E2512" s="475"/>
      <c r="F2512" s="475"/>
      <c r="G2512" s="325"/>
      <c r="H2512" s="325"/>
    </row>
    <row r="2513" spans="5:8">
      <c r="E2513" s="475"/>
      <c r="F2513" s="475"/>
      <c r="G2513" s="325"/>
      <c r="H2513" s="325"/>
    </row>
    <row r="2514" spans="5:8">
      <c r="E2514" s="475"/>
      <c r="F2514" s="475"/>
      <c r="G2514" s="325"/>
      <c r="H2514" s="325"/>
    </row>
    <row r="2515" spans="5:8">
      <c r="E2515" s="475"/>
      <c r="F2515" s="475"/>
      <c r="G2515" s="325"/>
      <c r="H2515" s="325"/>
    </row>
    <row r="2516" spans="5:8">
      <c r="E2516" s="475"/>
      <c r="F2516" s="475"/>
      <c r="G2516" s="325"/>
      <c r="H2516" s="325"/>
    </row>
    <row r="2517" spans="5:8">
      <c r="E2517" s="475"/>
      <c r="F2517" s="475"/>
      <c r="G2517" s="325"/>
      <c r="H2517" s="325"/>
    </row>
    <row r="2518" spans="5:8">
      <c r="E2518" s="475"/>
      <c r="F2518" s="475"/>
      <c r="G2518" s="325"/>
      <c r="H2518" s="325"/>
    </row>
    <row r="2519" spans="5:8">
      <c r="E2519" s="475"/>
      <c r="F2519" s="475"/>
      <c r="G2519" s="325"/>
      <c r="H2519" s="325"/>
    </row>
    <row r="2520" spans="5:8">
      <c r="E2520" s="475"/>
      <c r="F2520" s="475"/>
      <c r="G2520" s="325"/>
      <c r="H2520" s="325"/>
    </row>
    <row r="2521" spans="5:8">
      <c r="E2521" s="475"/>
      <c r="F2521" s="475"/>
      <c r="G2521" s="325"/>
      <c r="H2521" s="325"/>
    </row>
    <row r="2522" spans="5:8">
      <c r="E2522" s="475"/>
      <c r="F2522" s="475"/>
      <c r="G2522" s="325"/>
      <c r="H2522" s="325"/>
    </row>
    <row r="2523" spans="5:8">
      <c r="E2523" s="475"/>
      <c r="F2523" s="475"/>
      <c r="G2523" s="325"/>
      <c r="H2523" s="325"/>
    </row>
    <row r="2524" spans="5:8">
      <c r="E2524" s="475"/>
      <c r="F2524" s="475"/>
      <c r="G2524" s="325"/>
      <c r="H2524" s="325"/>
    </row>
    <row r="2525" spans="5:8">
      <c r="E2525" s="475"/>
      <c r="F2525" s="475"/>
      <c r="G2525" s="325"/>
      <c r="H2525" s="325"/>
    </row>
    <row r="2526" spans="5:8">
      <c r="E2526" s="475"/>
      <c r="F2526" s="475"/>
      <c r="G2526" s="325"/>
      <c r="H2526" s="325"/>
    </row>
    <row r="2527" spans="5:8">
      <c r="E2527" s="475"/>
      <c r="F2527" s="475"/>
      <c r="G2527" s="325"/>
      <c r="H2527" s="325"/>
    </row>
    <row r="2528" spans="5:8">
      <c r="E2528" s="475"/>
      <c r="F2528" s="475"/>
      <c r="G2528" s="325"/>
      <c r="H2528" s="325"/>
    </row>
    <row r="2529" spans="5:8">
      <c r="E2529" s="475"/>
      <c r="F2529" s="475"/>
      <c r="G2529" s="325"/>
      <c r="H2529" s="325"/>
    </row>
    <row r="2530" spans="5:8">
      <c r="E2530" s="475"/>
      <c r="F2530" s="475"/>
      <c r="G2530" s="325"/>
      <c r="H2530" s="325"/>
    </row>
    <row r="2531" spans="5:8">
      <c r="E2531" s="475"/>
      <c r="F2531" s="475"/>
      <c r="G2531" s="325"/>
      <c r="H2531" s="325"/>
    </row>
    <row r="2532" spans="5:8">
      <c r="E2532" s="475"/>
      <c r="F2532" s="475"/>
      <c r="G2532" s="325"/>
      <c r="H2532" s="325"/>
    </row>
    <row r="2533" spans="5:8">
      <c r="E2533" s="475"/>
      <c r="F2533" s="475"/>
      <c r="G2533" s="325"/>
      <c r="H2533" s="325"/>
    </row>
    <row r="2534" spans="5:8">
      <c r="E2534" s="475"/>
      <c r="F2534" s="475"/>
      <c r="G2534" s="325"/>
      <c r="H2534" s="325"/>
    </row>
    <row r="2535" spans="5:8">
      <c r="E2535" s="475"/>
      <c r="F2535" s="475"/>
      <c r="G2535" s="325"/>
      <c r="H2535" s="325"/>
    </row>
    <row r="2536" spans="5:8">
      <c r="E2536" s="475"/>
      <c r="F2536" s="475"/>
      <c r="G2536" s="325"/>
      <c r="H2536" s="325"/>
    </row>
    <row r="2537" spans="5:8">
      <c r="E2537" s="475"/>
      <c r="F2537" s="475"/>
      <c r="G2537" s="325"/>
      <c r="H2537" s="325"/>
    </row>
    <row r="2538" spans="5:8">
      <c r="E2538" s="475"/>
      <c r="F2538" s="475"/>
      <c r="G2538" s="325"/>
      <c r="H2538" s="325"/>
    </row>
    <row r="2539" spans="5:8">
      <c r="E2539" s="475"/>
      <c r="F2539" s="475"/>
      <c r="G2539" s="325"/>
      <c r="H2539" s="325"/>
    </row>
    <row r="2540" spans="5:8">
      <c r="E2540" s="475"/>
      <c r="F2540" s="475"/>
      <c r="G2540" s="325"/>
      <c r="H2540" s="325"/>
    </row>
    <row r="2541" spans="5:8">
      <c r="E2541" s="475"/>
      <c r="F2541" s="475"/>
      <c r="G2541" s="325"/>
      <c r="H2541" s="325"/>
    </row>
    <row r="2542" spans="5:8">
      <c r="E2542" s="475"/>
      <c r="F2542" s="475"/>
      <c r="G2542" s="325"/>
      <c r="H2542" s="325"/>
    </row>
    <row r="2543" spans="5:8">
      <c r="E2543" s="475"/>
      <c r="F2543" s="475"/>
      <c r="G2543" s="325"/>
      <c r="H2543" s="325"/>
    </row>
    <row r="2544" spans="5:8">
      <c r="E2544" s="475"/>
      <c r="F2544" s="475"/>
      <c r="G2544" s="325"/>
      <c r="H2544" s="325"/>
    </row>
  </sheetData>
  <autoFilter ref="A1:O761" xr:uid="{00000000-0009-0000-0000-000001000000}">
    <sortState xmlns:xlrd2="http://schemas.microsoft.com/office/spreadsheetml/2017/richdata2" ref="A37:O759">
      <sortCondition ref="H1:H761"/>
    </sortState>
  </autoFilter>
  <phoneticPr fontId="28" type="noConversion"/>
  <dataValidations count="1">
    <dataValidation type="list" allowBlank="1" showInputMessage="1" showErrorMessage="1" sqref="C718:C719 C727:C728" xr:uid="{00000000-0002-0000-0100-000000000000}"/>
  </dataValidations>
  <pageMargins left="0.7" right="0.7" top="0.78740157499999996" bottom="0.78740157499999996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3"/>
  <dimension ref="A1:K1016"/>
  <sheetViews>
    <sheetView topLeftCell="A534" zoomScale="85" zoomScaleNormal="85" workbookViewId="0">
      <selection activeCell="B567" sqref="B567"/>
    </sheetView>
  </sheetViews>
  <sheetFormatPr baseColWidth="10" defaultColWidth="8.69921875" defaultRowHeight="13.8"/>
  <cols>
    <col min="1" max="1" width="16.09765625" customWidth="1"/>
    <col min="2" max="2" width="78.69921875" customWidth="1"/>
    <col min="3" max="3" width="23.3984375" customWidth="1"/>
    <col min="4" max="7" width="17.09765625" style="71" customWidth="1"/>
    <col min="8" max="9" width="17.09765625" customWidth="1"/>
    <col min="10" max="10" width="13.69921875" customWidth="1"/>
  </cols>
  <sheetData>
    <row r="1" spans="1:11" ht="15.6">
      <c r="A1" s="133"/>
      <c r="B1" s="134"/>
      <c r="C1" s="135" t="s">
        <v>442</v>
      </c>
      <c r="D1" s="134"/>
      <c r="E1" s="136"/>
      <c r="F1" s="136"/>
      <c r="G1" s="136"/>
      <c r="H1" s="137"/>
      <c r="I1" s="134"/>
      <c r="J1" s="134"/>
      <c r="K1" s="134"/>
    </row>
    <row r="2" spans="1:11" ht="15.6">
      <c r="A2" s="133"/>
      <c r="B2" s="134"/>
      <c r="C2" s="134"/>
      <c r="D2" s="134"/>
      <c r="E2" s="136"/>
      <c r="F2" s="136"/>
      <c r="G2" s="136"/>
      <c r="H2" s="137"/>
      <c r="I2" s="134"/>
      <c r="J2" s="134"/>
      <c r="K2" s="134"/>
    </row>
    <row r="3" spans="1:11" ht="15.6">
      <c r="A3" s="138" t="s">
        <v>0</v>
      </c>
      <c r="B3" s="139" t="s">
        <v>443</v>
      </c>
      <c r="C3" s="139" t="s">
        <v>444</v>
      </c>
      <c r="D3" s="139" t="s">
        <v>445</v>
      </c>
      <c r="E3" s="140" t="s">
        <v>446</v>
      </c>
      <c r="F3" s="140" t="s">
        <v>447</v>
      </c>
      <c r="G3" s="140"/>
      <c r="H3" s="214" t="s">
        <v>30</v>
      </c>
      <c r="I3" s="139" t="s">
        <v>448</v>
      </c>
      <c r="J3" s="139" t="s">
        <v>449</v>
      </c>
      <c r="K3" s="141"/>
    </row>
    <row r="4" spans="1:11" ht="15.6">
      <c r="A4" s="170">
        <v>45962</v>
      </c>
      <c r="B4" s="225" t="s">
        <v>4161</v>
      </c>
      <c r="C4" s="177"/>
      <c r="D4" s="177"/>
      <c r="E4" s="180"/>
      <c r="F4" s="180"/>
      <c r="G4" s="180"/>
      <c r="H4" s="181">
        <v>12731</v>
      </c>
      <c r="I4" s="182" t="s">
        <v>151</v>
      </c>
      <c r="J4" s="177"/>
      <c r="K4" s="183"/>
    </row>
    <row r="5" spans="1:11" ht="15.6">
      <c r="A5" s="486">
        <v>45964</v>
      </c>
      <c r="B5" s="478" t="s">
        <v>2103</v>
      </c>
      <c r="C5" s="478" t="s">
        <v>172</v>
      </c>
      <c r="D5" s="479" t="s">
        <v>117</v>
      </c>
      <c r="E5" s="480"/>
      <c r="F5" s="481">
        <v>1000</v>
      </c>
      <c r="G5" s="180"/>
      <c r="H5" s="304">
        <f>H4+E5-F5</f>
        <v>11731</v>
      </c>
      <c r="I5" s="482" t="s">
        <v>151</v>
      </c>
      <c r="J5" s="478" t="s">
        <v>4133</v>
      </c>
      <c r="K5" s="183"/>
    </row>
    <row r="6" spans="1:11" ht="15.6">
      <c r="A6" s="486">
        <v>45964</v>
      </c>
      <c r="B6" s="478" t="s">
        <v>4119</v>
      </c>
      <c r="C6" s="478" t="s">
        <v>172</v>
      </c>
      <c r="D6" s="479" t="s">
        <v>117</v>
      </c>
      <c r="E6" s="480"/>
      <c r="F6" s="481">
        <v>1000</v>
      </c>
      <c r="G6" s="180"/>
      <c r="H6" s="304">
        <f t="shared" ref="H6:H65" si="0">H5+E6-F6</f>
        <v>10731</v>
      </c>
      <c r="I6" s="482" t="s">
        <v>151</v>
      </c>
      <c r="J6" s="478" t="s">
        <v>4133</v>
      </c>
      <c r="K6" s="183"/>
    </row>
    <row r="7" spans="1:11" ht="15.6">
      <c r="A7" s="486">
        <v>45964</v>
      </c>
      <c r="B7" s="478" t="s">
        <v>4120</v>
      </c>
      <c r="C7" s="478" t="s">
        <v>172</v>
      </c>
      <c r="D7" s="479" t="s">
        <v>117</v>
      </c>
      <c r="E7" s="480"/>
      <c r="F7" s="481">
        <v>1000</v>
      </c>
      <c r="G7" s="180"/>
      <c r="H7" s="304">
        <f t="shared" si="0"/>
        <v>9731</v>
      </c>
      <c r="I7" s="482" t="s">
        <v>151</v>
      </c>
      <c r="J7" s="478" t="s">
        <v>4133</v>
      </c>
      <c r="K7" s="183"/>
    </row>
    <row r="8" spans="1:11" ht="15.6">
      <c r="A8" s="486">
        <v>45964</v>
      </c>
      <c r="B8" s="298" t="s">
        <v>4121</v>
      </c>
      <c r="C8" s="299" t="s">
        <v>150</v>
      </c>
      <c r="D8" s="300" t="s">
        <v>117</v>
      </c>
      <c r="E8" s="480">
        <v>12500</v>
      </c>
      <c r="F8" s="481"/>
      <c r="G8" s="180"/>
      <c r="H8" s="304">
        <f t="shared" si="0"/>
        <v>22231</v>
      </c>
      <c r="I8" s="482" t="s">
        <v>151</v>
      </c>
      <c r="J8" s="478" t="s">
        <v>4134</v>
      </c>
      <c r="K8" s="183"/>
    </row>
    <row r="9" spans="1:11" ht="15.6">
      <c r="A9" s="486">
        <v>45964</v>
      </c>
      <c r="B9" s="298" t="s">
        <v>4121</v>
      </c>
      <c r="C9" s="299" t="s">
        <v>150</v>
      </c>
      <c r="D9" s="300" t="s">
        <v>117</v>
      </c>
      <c r="E9" s="480"/>
      <c r="F9" s="481">
        <v>12500</v>
      </c>
      <c r="G9" s="180"/>
      <c r="H9" s="304">
        <f t="shared" si="0"/>
        <v>9731</v>
      </c>
      <c r="I9" s="482" t="s">
        <v>151</v>
      </c>
      <c r="J9" s="478" t="s">
        <v>4134</v>
      </c>
      <c r="K9" s="183"/>
    </row>
    <row r="10" spans="1:11" ht="15.6">
      <c r="A10" s="486">
        <v>45965</v>
      </c>
      <c r="B10" s="478" t="s">
        <v>2103</v>
      </c>
      <c r="C10" s="478" t="s">
        <v>172</v>
      </c>
      <c r="D10" s="479" t="s">
        <v>117</v>
      </c>
      <c r="E10" s="480"/>
      <c r="F10" s="481">
        <v>1000</v>
      </c>
      <c r="G10" s="180"/>
      <c r="H10" s="304">
        <f t="shared" si="0"/>
        <v>8731</v>
      </c>
      <c r="I10" s="482" t="s">
        <v>151</v>
      </c>
      <c r="J10" s="478" t="s">
        <v>4133</v>
      </c>
      <c r="K10" s="183"/>
    </row>
    <row r="11" spans="1:11" ht="15.6">
      <c r="A11" s="486">
        <v>45965</v>
      </c>
      <c r="B11" s="478" t="s">
        <v>2104</v>
      </c>
      <c r="C11" s="478" t="s">
        <v>172</v>
      </c>
      <c r="D11" s="479" t="s">
        <v>117</v>
      </c>
      <c r="E11" s="480"/>
      <c r="F11" s="481">
        <v>1000</v>
      </c>
      <c r="G11" s="180"/>
      <c r="H11" s="304">
        <f t="shared" si="0"/>
        <v>7731</v>
      </c>
      <c r="I11" s="482" t="s">
        <v>151</v>
      </c>
      <c r="J11" s="478" t="s">
        <v>4133</v>
      </c>
      <c r="K11" s="183"/>
    </row>
    <row r="12" spans="1:11" ht="15.6">
      <c r="A12" s="486">
        <v>45965</v>
      </c>
      <c r="B12" s="478" t="s">
        <v>2103</v>
      </c>
      <c r="C12" s="478" t="s">
        <v>172</v>
      </c>
      <c r="D12" s="479" t="s">
        <v>117</v>
      </c>
      <c r="E12" s="480"/>
      <c r="F12" s="481">
        <v>1000</v>
      </c>
      <c r="G12" s="180"/>
      <c r="H12" s="304">
        <f t="shared" si="0"/>
        <v>6731</v>
      </c>
      <c r="I12" s="482" t="s">
        <v>151</v>
      </c>
      <c r="J12" s="478" t="s">
        <v>4133</v>
      </c>
      <c r="K12" s="183"/>
    </row>
    <row r="13" spans="1:11" ht="15.6">
      <c r="A13" s="486">
        <v>45965</v>
      </c>
      <c r="B13" s="478" t="s">
        <v>2104</v>
      </c>
      <c r="C13" s="478" t="s">
        <v>172</v>
      </c>
      <c r="D13" s="479" t="s">
        <v>117</v>
      </c>
      <c r="E13" s="480"/>
      <c r="F13" s="481">
        <v>1000</v>
      </c>
      <c r="G13" s="180"/>
      <c r="H13" s="304">
        <f t="shared" si="0"/>
        <v>5731</v>
      </c>
      <c r="I13" s="482" t="s">
        <v>151</v>
      </c>
      <c r="J13" s="478" t="s">
        <v>4133</v>
      </c>
      <c r="K13" s="183"/>
    </row>
    <row r="14" spans="1:11" ht="15.6">
      <c r="A14" s="486">
        <v>45965</v>
      </c>
      <c r="B14" s="478" t="s">
        <v>4122</v>
      </c>
      <c r="C14" s="478" t="s">
        <v>122</v>
      </c>
      <c r="D14" s="479" t="s">
        <v>117</v>
      </c>
      <c r="E14" s="480">
        <v>175000</v>
      </c>
      <c r="F14" s="481"/>
      <c r="G14" s="180"/>
      <c r="H14" s="304">
        <f t="shared" si="0"/>
        <v>180731</v>
      </c>
      <c r="I14" s="482" t="s">
        <v>151</v>
      </c>
      <c r="J14" s="478" t="s">
        <v>4135</v>
      </c>
      <c r="K14" s="183"/>
    </row>
    <row r="15" spans="1:11" ht="15.6">
      <c r="A15" s="486">
        <v>45966</v>
      </c>
      <c r="B15" s="478" t="s">
        <v>2103</v>
      </c>
      <c r="C15" s="478" t="s">
        <v>172</v>
      </c>
      <c r="D15" s="479" t="s">
        <v>117</v>
      </c>
      <c r="E15" s="480"/>
      <c r="F15" s="481">
        <v>1000</v>
      </c>
      <c r="G15" s="180"/>
      <c r="H15" s="304">
        <f t="shared" si="0"/>
        <v>179731</v>
      </c>
      <c r="I15" s="482" t="s">
        <v>151</v>
      </c>
      <c r="J15" s="478" t="s">
        <v>4133</v>
      </c>
      <c r="K15" s="183"/>
    </row>
    <row r="16" spans="1:11" ht="15.6">
      <c r="A16" s="486">
        <v>45966</v>
      </c>
      <c r="B16" s="478" t="s">
        <v>2104</v>
      </c>
      <c r="C16" s="478" t="s">
        <v>172</v>
      </c>
      <c r="D16" s="479" t="s">
        <v>117</v>
      </c>
      <c r="E16" s="480"/>
      <c r="F16" s="481">
        <v>1000</v>
      </c>
      <c r="G16" s="180"/>
      <c r="H16" s="304">
        <f t="shared" si="0"/>
        <v>178731</v>
      </c>
      <c r="I16" s="482" t="s">
        <v>151</v>
      </c>
      <c r="J16" s="478" t="s">
        <v>4133</v>
      </c>
      <c r="K16" s="183"/>
    </row>
    <row r="17" spans="1:11" ht="15.6">
      <c r="A17" s="486">
        <v>45967</v>
      </c>
      <c r="B17" s="478" t="s">
        <v>2103</v>
      </c>
      <c r="C17" s="478" t="s">
        <v>172</v>
      </c>
      <c r="D17" s="479" t="s">
        <v>117</v>
      </c>
      <c r="E17" s="480"/>
      <c r="F17" s="481">
        <v>1000</v>
      </c>
      <c r="G17" s="180"/>
      <c r="H17" s="304">
        <f t="shared" si="0"/>
        <v>177731</v>
      </c>
      <c r="I17" s="482" t="s">
        <v>151</v>
      </c>
      <c r="J17" s="478" t="s">
        <v>4133</v>
      </c>
      <c r="K17" s="183"/>
    </row>
    <row r="18" spans="1:11" ht="15.6">
      <c r="A18" s="486">
        <v>45967</v>
      </c>
      <c r="B18" s="478" t="s">
        <v>2387</v>
      </c>
      <c r="C18" s="478" t="s">
        <v>172</v>
      </c>
      <c r="D18" s="479" t="s">
        <v>117</v>
      </c>
      <c r="E18" s="480"/>
      <c r="F18" s="481">
        <v>1000</v>
      </c>
      <c r="G18" s="180"/>
      <c r="H18" s="304">
        <f t="shared" si="0"/>
        <v>176731</v>
      </c>
      <c r="I18" s="482" t="s">
        <v>151</v>
      </c>
      <c r="J18" s="478" t="s">
        <v>4133</v>
      </c>
      <c r="K18" s="183"/>
    </row>
    <row r="19" spans="1:11" ht="15.6">
      <c r="A19" s="486">
        <v>45968</v>
      </c>
      <c r="B19" s="478" t="s">
        <v>4123</v>
      </c>
      <c r="C19" s="478" t="s">
        <v>125</v>
      </c>
      <c r="D19" s="479" t="s">
        <v>117</v>
      </c>
      <c r="E19" s="480"/>
      <c r="F19" s="481">
        <v>174625</v>
      </c>
      <c r="G19" s="180"/>
      <c r="H19" s="304">
        <f t="shared" si="0"/>
        <v>2106</v>
      </c>
      <c r="I19" s="482" t="s">
        <v>151</v>
      </c>
      <c r="J19" s="478" t="s">
        <v>4136</v>
      </c>
      <c r="K19" s="183"/>
    </row>
    <row r="20" spans="1:11" ht="15.6">
      <c r="A20" s="486">
        <v>45968</v>
      </c>
      <c r="B20" s="478" t="s">
        <v>2103</v>
      </c>
      <c r="C20" s="478" t="s">
        <v>172</v>
      </c>
      <c r="D20" s="479" t="s">
        <v>117</v>
      </c>
      <c r="E20" s="480"/>
      <c r="F20" s="481">
        <v>1000</v>
      </c>
      <c r="G20" s="180"/>
      <c r="H20" s="304">
        <f t="shared" si="0"/>
        <v>1106</v>
      </c>
      <c r="I20" s="482" t="s">
        <v>151</v>
      </c>
      <c r="J20" s="478" t="s">
        <v>4133</v>
      </c>
      <c r="K20" s="183"/>
    </row>
    <row r="21" spans="1:11" ht="15.6">
      <c r="A21" s="486">
        <v>45971</v>
      </c>
      <c r="B21" s="478" t="s">
        <v>2107</v>
      </c>
      <c r="C21" s="478" t="s">
        <v>172</v>
      </c>
      <c r="D21" s="479" t="s">
        <v>117</v>
      </c>
      <c r="E21" s="480"/>
      <c r="F21" s="481">
        <v>1000</v>
      </c>
      <c r="G21" s="180"/>
      <c r="H21" s="304">
        <f t="shared" si="0"/>
        <v>106</v>
      </c>
      <c r="I21" s="482" t="s">
        <v>151</v>
      </c>
      <c r="J21" s="478" t="s">
        <v>4133</v>
      </c>
      <c r="K21" s="183"/>
    </row>
    <row r="22" spans="1:11" ht="15.6">
      <c r="A22" s="486">
        <v>45971</v>
      </c>
      <c r="B22" s="478" t="s">
        <v>2108</v>
      </c>
      <c r="C22" s="478" t="s">
        <v>172</v>
      </c>
      <c r="D22" s="479" t="s">
        <v>117</v>
      </c>
      <c r="E22" s="480"/>
      <c r="F22" s="481">
        <v>1000</v>
      </c>
      <c r="G22" s="180"/>
      <c r="H22" s="304">
        <f t="shared" si="0"/>
        <v>-894</v>
      </c>
      <c r="I22" s="482" t="s">
        <v>151</v>
      </c>
      <c r="J22" s="478" t="s">
        <v>4133</v>
      </c>
      <c r="K22" s="183"/>
    </row>
    <row r="23" spans="1:11" ht="15.6">
      <c r="A23" s="486">
        <v>45971</v>
      </c>
      <c r="B23" s="478" t="s">
        <v>2104</v>
      </c>
      <c r="C23" s="478" t="s">
        <v>172</v>
      </c>
      <c r="D23" s="479" t="s">
        <v>117</v>
      </c>
      <c r="E23" s="480"/>
      <c r="F23" s="481">
        <v>1000</v>
      </c>
      <c r="G23" s="180"/>
      <c r="H23" s="304">
        <f t="shared" si="0"/>
        <v>-1894</v>
      </c>
      <c r="I23" s="482" t="s">
        <v>151</v>
      </c>
      <c r="J23" s="478" t="s">
        <v>4133</v>
      </c>
      <c r="K23" s="183"/>
    </row>
    <row r="24" spans="1:11" ht="15.6">
      <c r="A24" s="486">
        <v>45971</v>
      </c>
      <c r="B24" s="298" t="s">
        <v>4124</v>
      </c>
      <c r="C24" s="299" t="s">
        <v>150</v>
      </c>
      <c r="D24" s="300" t="s">
        <v>117</v>
      </c>
      <c r="E24" s="480">
        <v>12500</v>
      </c>
      <c r="F24" s="481"/>
      <c r="G24" s="180"/>
      <c r="H24" s="304">
        <f t="shared" si="0"/>
        <v>10606</v>
      </c>
      <c r="I24" s="482" t="s">
        <v>151</v>
      </c>
      <c r="J24" s="478" t="s">
        <v>4137</v>
      </c>
      <c r="K24" s="183"/>
    </row>
    <row r="25" spans="1:11" ht="15.6">
      <c r="A25" s="486">
        <v>45971</v>
      </c>
      <c r="B25" s="298" t="s">
        <v>4124</v>
      </c>
      <c r="C25" s="299" t="s">
        <v>150</v>
      </c>
      <c r="D25" s="300" t="s">
        <v>117</v>
      </c>
      <c r="E25" s="480"/>
      <c r="F25" s="481">
        <v>12500</v>
      </c>
      <c r="G25" s="180"/>
      <c r="H25" s="304">
        <f t="shared" si="0"/>
        <v>-1894</v>
      </c>
      <c r="I25" s="482" t="s">
        <v>151</v>
      </c>
      <c r="J25" s="478" t="s">
        <v>4137</v>
      </c>
      <c r="K25" s="183"/>
    </row>
    <row r="26" spans="1:11" ht="15.6">
      <c r="A26" s="486">
        <v>45972</v>
      </c>
      <c r="B26" s="478" t="s">
        <v>2103</v>
      </c>
      <c r="C26" s="478" t="s">
        <v>172</v>
      </c>
      <c r="D26" s="479" t="s">
        <v>117</v>
      </c>
      <c r="E26" s="480"/>
      <c r="F26" s="481">
        <v>1000</v>
      </c>
      <c r="G26" s="180"/>
      <c r="H26" s="304">
        <f t="shared" si="0"/>
        <v>-2894</v>
      </c>
      <c r="I26" s="482" t="s">
        <v>151</v>
      </c>
      <c r="J26" s="478" t="s">
        <v>4133</v>
      </c>
      <c r="K26" s="183"/>
    </row>
    <row r="27" spans="1:11" ht="15.6">
      <c r="A27" s="486">
        <v>45972</v>
      </c>
      <c r="B27" s="478" t="s">
        <v>2116</v>
      </c>
      <c r="C27" s="478" t="s">
        <v>172</v>
      </c>
      <c r="D27" s="479" t="s">
        <v>117</v>
      </c>
      <c r="E27" s="480"/>
      <c r="F27" s="481">
        <v>1000</v>
      </c>
      <c r="G27" s="180"/>
      <c r="H27" s="304">
        <f t="shared" si="0"/>
        <v>-3894</v>
      </c>
      <c r="I27" s="482" t="s">
        <v>151</v>
      </c>
      <c r="J27" s="478" t="s">
        <v>4133</v>
      </c>
      <c r="K27" s="183"/>
    </row>
    <row r="28" spans="1:11" ht="15.6">
      <c r="A28" s="486">
        <v>45973</v>
      </c>
      <c r="B28" s="478" t="s">
        <v>2103</v>
      </c>
      <c r="C28" s="478" t="s">
        <v>172</v>
      </c>
      <c r="D28" s="479" t="s">
        <v>117</v>
      </c>
      <c r="E28" s="480"/>
      <c r="F28" s="481">
        <v>1000</v>
      </c>
      <c r="G28" s="180"/>
      <c r="H28" s="304">
        <f t="shared" si="0"/>
        <v>-4894</v>
      </c>
      <c r="I28" s="482" t="s">
        <v>151</v>
      </c>
      <c r="J28" s="478" t="s">
        <v>4133</v>
      </c>
      <c r="K28" s="183"/>
    </row>
    <row r="29" spans="1:11" ht="15.6">
      <c r="A29" s="486">
        <v>45973</v>
      </c>
      <c r="B29" s="478" t="s">
        <v>3260</v>
      </c>
      <c r="C29" s="478" t="s">
        <v>122</v>
      </c>
      <c r="D29" s="479" t="s">
        <v>117</v>
      </c>
      <c r="E29" s="480">
        <v>20000</v>
      </c>
      <c r="F29" s="481"/>
      <c r="G29" s="180"/>
      <c r="H29" s="304">
        <f t="shared" si="0"/>
        <v>15106</v>
      </c>
      <c r="I29" s="482" t="s">
        <v>151</v>
      </c>
      <c r="J29" s="478" t="s">
        <v>4138</v>
      </c>
      <c r="K29" s="183"/>
    </row>
    <row r="30" spans="1:11" ht="15.6">
      <c r="A30" s="486">
        <v>45973</v>
      </c>
      <c r="B30" s="478" t="s">
        <v>2104</v>
      </c>
      <c r="C30" s="478" t="s">
        <v>172</v>
      </c>
      <c r="D30" s="479" t="s">
        <v>117</v>
      </c>
      <c r="E30" s="480"/>
      <c r="F30" s="481">
        <v>1000</v>
      </c>
      <c r="G30" s="180"/>
      <c r="H30" s="304">
        <f t="shared" si="0"/>
        <v>14106</v>
      </c>
      <c r="I30" s="482" t="s">
        <v>151</v>
      </c>
      <c r="J30" s="478" t="s">
        <v>4133</v>
      </c>
      <c r="K30" s="183"/>
    </row>
    <row r="31" spans="1:11" ht="15.6">
      <c r="A31" s="486">
        <v>45974</v>
      </c>
      <c r="B31" s="478" t="s">
        <v>2103</v>
      </c>
      <c r="C31" s="478" t="s">
        <v>172</v>
      </c>
      <c r="D31" s="479" t="s">
        <v>117</v>
      </c>
      <c r="E31" s="480"/>
      <c r="F31" s="481">
        <v>1000</v>
      </c>
      <c r="G31" s="180"/>
      <c r="H31" s="304">
        <f t="shared" si="0"/>
        <v>13106</v>
      </c>
      <c r="I31" s="482" t="s">
        <v>151</v>
      </c>
      <c r="J31" s="478" t="s">
        <v>4133</v>
      </c>
      <c r="K31" s="183"/>
    </row>
    <row r="32" spans="1:11" ht="15.6">
      <c r="A32" s="486">
        <v>45974</v>
      </c>
      <c r="B32" s="478" t="s">
        <v>2104</v>
      </c>
      <c r="C32" s="478" t="s">
        <v>172</v>
      </c>
      <c r="D32" s="479" t="s">
        <v>117</v>
      </c>
      <c r="E32" s="480"/>
      <c r="F32" s="481">
        <v>1000</v>
      </c>
      <c r="G32" s="180"/>
      <c r="H32" s="304">
        <f t="shared" si="0"/>
        <v>12106</v>
      </c>
      <c r="I32" s="482" t="s">
        <v>151</v>
      </c>
      <c r="J32" s="478" t="s">
        <v>4133</v>
      </c>
      <c r="K32" s="183"/>
    </row>
    <row r="33" spans="1:11" ht="15.6">
      <c r="A33" s="486">
        <v>45975</v>
      </c>
      <c r="B33" s="478" t="s">
        <v>2103</v>
      </c>
      <c r="C33" s="478" t="s">
        <v>172</v>
      </c>
      <c r="D33" s="479" t="s">
        <v>117</v>
      </c>
      <c r="E33" s="480"/>
      <c r="F33" s="481">
        <v>1000</v>
      </c>
      <c r="G33" s="180"/>
      <c r="H33" s="304">
        <f t="shared" si="0"/>
        <v>11106</v>
      </c>
      <c r="I33" s="482" t="s">
        <v>151</v>
      </c>
      <c r="J33" s="478" t="s">
        <v>4133</v>
      </c>
      <c r="K33" s="183"/>
    </row>
    <row r="34" spans="1:11" ht="15.6">
      <c r="A34" s="486">
        <v>45975</v>
      </c>
      <c r="B34" s="478" t="s">
        <v>2104</v>
      </c>
      <c r="C34" s="478" t="s">
        <v>172</v>
      </c>
      <c r="D34" s="479" t="s">
        <v>117</v>
      </c>
      <c r="E34" s="480"/>
      <c r="F34" s="481">
        <v>1000</v>
      </c>
      <c r="G34" s="180"/>
      <c r="H34" s="304">
        <f t="shared" si="0"/>
        <v>10106</v>
      </c>
      <c r="I34" s="482" t="s">
        <v>151</v>
      </c>
      <c r="J34" s="478" t="s">
        <v>4133</v>
      </c>
      <c r="K34" s="183"/>
    </row>
    <row r="35" spans="1:11" ht="15.6">
      <c r="A35" s="486">
        <v>45978</v>
      </c>
      <c r="B35" s="478" t="s">
        <v>2107</v>
      </c>
      <c r="C35" s="478" t="s">
        <v>172</v>
      </c>
      <c r="D35" s="479" t="s">
        <v>117</v>
      </c>
      <c r="E35" s="480"/>
      <c r="F35" s="481">
        <v>1000</v>
      </c>
      <c r="G35" s="180"/>
      <c r="H35" s="304">
        <f t="shared" si="0"/>
        <v>9106</v>
      </c>
      <c r="I35" s="482" t="s">
        <v>151</v>
      </c>
      <c r="J35" s="478" t="s">
        <v>4133</v>
      </c>
      <c r="K35" s="183"/>
    </row>
    <row r="36" spans="1:11" s="325" customFormat="1" ht="15.6">
      <c r="A36" s="486">
        <v>45978</v>
      </c>
      <c r="B36" s="478" t="s">
        <v>2108</v>
      </c>
      <c r="C36" s="478" t="s">
        <v>172</v>
      </c>
      <c r="D36" s="479" t="s">
        <v>117</v>
      </c>
      <c r="E36" s="480"/>
      <c r="F36" s="481">
        <v>1000</v>
      </c>
      <c r="G36" s="180"/>
      <c r="H36" s="304">
        <f t="shared" si="0"/>
        <v>8106</v>
      </c>
      <c r="I36" s="482" t="s">
        <v>151</v>
      </c>
      <c r="J36" s="478" t="s">
        <v>4133</v>
      </c>
      <c r="K36" s="183"/>
    </row>
    <row r="37" spans="1:11" s="325" customFormat="1" ht="15.6">
      <c r="A37" s="486">
        <v>45978</v>
      </c>
      <c r="B37" s="298" t="s">
        <v>4125</v>
      </c>
      <c r="C37" s="299" t="s">
        <v>150</v>
      </c>
      <c r="D37" s="300" t="s">
        <v>117</v>
      </c>
      <c r="E37" s="480">
        <v>12500</v>
      </c>
      <c r="F37" s="481"/>
      <c r="G37" s="180"/>
      <c r="H37" s="304">
        <f t="shared" si="0"/>
        <v>20606</v>
      </c>
      <c r="I37" s="482" t="s">
        <v>151</v>
      </c>
      <c r="J37" s="478" t="s">
        <v>4139</v>
      </c>
      <c r="K37" s="183"/>
    </row>
    <row r="38" spans="1:11" ht="15.6">
      <c r="A38" s="486">
        <v>45978</v>
      </c>
      <c r="B38" s="298" t="s">
        <v>4125</v>
      </c>
      <c r="C38" s="299" t="s">
        <v>150</v>
      </c>
      <c r="D38" s="300" t="s">
        <v>117</v>
      </c>
      <c r="E38" s="480"/>
      <c r="F38" s="481">
        <v>12500</v>
      </c>
      <c r="G38" s="180"/>
      <c r="H38" s="304">
        <f t="shared" si="0"/>
        <v>8106</v>
      </c>
      <c r="I38" s="482" t="s">
        <v>151</v>
      </c>
      <c r="J38" s="478" t="s">
        <v>4139</v>
      </c>
      <c r="K38" s="183"/>
    </row>
    <row r="39" spans="1:11" ht="15.6">
      <c r="A39" s="486">
        <v>45978</v>
      </c>
      <c r="B39" s="478" t="s">
        <v>2104</v>
      </c>
      <c r="C39" s="478" t="s">
        <v>172</v>
      </c>
      <c r="D39" s="479" t="s">
        <v>117</v>
      </c>
      <c r="E39" s="480"/>
      <c r="F39" s="481">
        <v>1000</v>
      </c>
      <c r="G39" s="180"/>
      <c r="H39" s="304">
        <f t="shared" si="0"/>
        <v>7106</v>
      </c>
      <c r="I39" s="482" t="s">
        <v>151</v>
      </c>
      <c r="J39" s="478" t="s">
        <v>4133</v>
      </c>
      <c r="K39" s="183"/>
    </row>
    <row r="40" spans="1:11" ht="15.6">
      <c r="A40" s="486">
        <v>45979</v>
      </c>
      <c r="B40" s="478" t="s">
        <v>2103</v>
      </c>
      <c r="C40" s="478" t="s">
        <v>172</v>
      </c>
      <c r="D40" s="479" t="s">
        <v>117</v>
      </c>
      <c r="E40" s="480"/>
      <c r="F40" s="481">
        <v>1000</v>
      </c>
      <c r="G40" s="180"/>
      <c r="H40" s="304">
        <f t="shared" si="0"/>
        <v>6106</v>
      </c>
      <c r="I40" s="482" t="s">
        <v>151</v>
      </c>
      <c r="J40" s="478" t="s">
        <v>4133</v>
      </c>
      <c r="K40" s="183"/>
    </row>
    <row r="41" spans="1:11" ht="15.6">
      <c r="A41" s="486">
        <v>45979</v>
      </c>
      <c r="B41" s="478" t="s">
        <v>4126</v>
      </c>
      <c r="C41" s="478" t="s">
        <v>172</v>
      </c>
      <c r="D41" s="479" t="s">
        <v>117</v>
      </c>
      <c r="E41" s="480"/>
      <c r="F41" s="481">
        <v>1000</v>
      </c>
      <c r="G41" s="180"/>
      <c r="H41" s="304">
        <f t="shared" si="0"/>
        <v>5106</v>
      </c>
      <c r="I41" s="482" t="s">
        <v>151</v>
      </c>
      <c r="J41" s="478" t="s">
        <v>4133</v>
      </c>
      <c r="K41" s="183"/>
    </row>
    <row r="42" spans="1:11" ht="15.6">
      <c r="A42" s="486">
        <v>45979</v>
      </c>
      <c r="B42" s="478" t="s">
        <v>4127</v>
      </c>
      <c r="C42" s="478" t="s">
        <v>172</v>
      </c>
      <c r="D42" s="479" t="s">
        <v>117</v>
      </c>
      <c r="E42" s="480"/>
      <c r="F42" s="481">
        <v>1000</v>
      </c>
      <c r="G42" s="180"/>
      <c r="H42" s="304">
        <f t="shared" si="0"/>
        <v>4106</v>
      </c>
      <c r="I42" s="482" t="s">
        <v>151</v>
      </c>
      <c r="J42" s="478" t="s">
        <v>4133</v>
      </c>
      <c r="K42" s="183"/>
    </row>
    <row r="43" spans="1:11" ht="15.6">
      <c r="A43" s="486">
        <v>45979</v>
      </c>
      <c r="B43" s="478" t="s">
        <v>2104</v>
      </c>
      <c r="C43" s="478" t="s">
        <v>172</v>
      </c>
      <c r="D43" s="479" t="s">
        <v>117</v>
      </c>
      <c r="E43" s="480"/>
      <c r="F43" s="481">
        <v>1000</v>
      </c>
      <c r="G43" s="180"/>
      <c r="H43" s="304">
        <f t="shared" si="0"/>
        <v>3106</v>
      </c>
      <c r="I43" s="482" t="s">
        <v>151</v>
      </c>
      <c r="J43" s="478" t="s">
        <v>4133</v>
      </c>
      <c r="K43" s="183"/>
    </row>
    <row r="44" spans="1:11" ht="15.6">
      <c r="A44" s="486">
        <v>45980</v>
      </c>
      <c r="B44" s="478" t="s">
        <v>2103</v>
      </c>
      <c r="C44" s="478" t="s">
        <v>172</v>
      </c>
      <c r="D44" s="479" t="s">
        <v>117</v>
      </c>
      <c r="E44" s="480"/>
      <c r="F44" s="481">
        <v>1000</v>
      </c>
      <c r="G44" s="180"/>
      <c r="H44" s="304">
        <f t="shared" si="0"/>
        <v>2106</v>
      </c>
      <c r="I44" s="482" t="s">
        <v>151</v>
      </c>
      <c r="J44" s="478" t="s">
        <v>4133</v>
      </c>
      <c r="K44" s="183"/>
    </row>
    <row r="45" spans="1:11" ht="15.6">
      <c r="A45" s="486">
        <v>45980</v>
      </c>
      <c r="B45" s="478" t="s">
        <v>3260</v>
      </c>
      <c r="C45" s="478" t="s">
        <v>122</v>
      </c>
      <c r="D45" s="479" t="s">
        <v>117</v>
      </c>
      <c r="E45" s="480">
        <v>20000</v>
      </c>
      <c r="F45" s="481"/>
      <c r="G45" s="180"/>
      <c r="H45" s="304">
        <f t="shared" si="0"/>
        <v>22106</v>
      </c>
      <c r="I45" s="482" t="s">
        <v>151</v>
      </c>
      <c r="J45" s="478" t="s">
        <v>4140</v>
      </c>
      <c r="K45" s="183"/>
    </row>
    <row r="46" spans="1:11" ht="15.6">
      <c r="A46" s="486">
        <v>45980</v>
      </c>
      <c r="B46" s="478" t="s">
        <v>2819</v>
      </c>
      <c r="C46" s="478" t="s">
        <v>172</v>
      </c>
      <c r="D46" s="479" t="s">
        <v>117</v>
      </c>
      <c r="E46" s="480"/>
      <c r="F46" s="481">
        <v>1000</v>
      </c>
      <c r="G46" s="180"/>
      <c r="H46" s="304">
        <f t="shared" si="0"/>
        <v>21106</v>
      </c>
      <c r="I46" s="482" t="s">
        <v>151</v>
      </c>
      <c r="J46" s="478" t="s">
        <v>4133</v>
      </c>
      <c r="K46" s="183"/>
    </row>
    <row r="47" spans="1:11" ht="15.6">
      <c r="A47" s="486">
        <v>45981</v>
      </c>
      <c r="B47" s="478" t="s">
        <v>2103</v>
      </c>
      <c r="C47" s="478" t="s">
        <v>172</v>
      </c>
      <c r="D47" s="479" t="s">
        <v>117</v>
      </c>
      <c r="E47" s="480"/>
      <c r="F47" s="481">
        <v>1000</v>
      </c>
      <c r="G47" s="180"/>
      <c r="H47" s="304">
        <f t="shared" si="0"/>
        <v>20106</v>
      </c>
      <c r="I47" s="482" t="s">
        <v>151</v>
      </c>
      <c r="J47" s="478" t="s">
        <v>4133</v>
      </c>
      <c r="K47" s="183"/>
    </row>
    <row r="48" spans="1:11" ht="15.6">
      <c r="A48" s="486">
        <v>45981</v>
      </c>
      <c r="B48" s="478" t="s">
        <v>2104</v>
      </c>
      <c r="C48" s="478" t="s">
        <v>172</v>
      </c>
      <c r="D48" s="479" t="s">
        <v>117</v>
      </c>
      <c r="E48" s="480"/>
      <c r="F48" s="481">
        <v>1000</v>
      </c>
      <c r="G48" s="180"/>
      <c r="H48" s="304">
        <f t="shared" si="0"/>
        <v>19106</v>
      </c>
      <c r="I48" s="482" t="s">
        <v>151</v>
      </c>
      <c r="J48" s="478" t="s">
        <v>4133</v>
      </c>
      <c r="K48" s="183"/>
    </row>
    <row r="49" spans="1:11" ht="15.6">
      <c r="A49" s="486">
        <v>45982</v>
      </c>
      <c r="B49" s="478" t="s">
        <v>4128</v>
      </c>
      <c r="C49" s="478" t="s">
        <v>172</v>
      </c>
      <c r="D49" s="479" t="s">
        <v>117</v>
      </c>
      <c r="E49" s="480"/>
      <c r="F49" s="480">
        <v>1500</v>
      </c>
      <c r="G49" s="180"/>
      <c r="H49" s="304">
        <f t="shared" si="0"/>
        <v>17606</v>
      </c>
      <c r="I49" s="482" t="s">
        <v>151</v>
      </c>
      <c r="J49" s="478" t="s">
        <v>4133</v>
      </c>
      <c r="K49" s="183"/>
    </row>
    <row r="50" spans="1:11" ht="15.6">
      <c r="A50" s="486">
        <v>45982</v>
      </c>
      <c r="B50" s="478" t="s">
        <v>4129</v>
      </c>
      <c r="C50" s="478" t="s">
        <v>172</v>
      </c>
      <c r="D50" s="479" t="s">
        <v>117</v>
      </c>
      <c r="E50" s="480"/>
      <c r="F50" s="480">
        <v>1500</v>
      </c>
      <c r="G50" s="180"/>
      <c r="H50" s="304">
        <f t="shared" si="0"/>
        <v>16106</v>
      </c>
      <c r="I50" s="482" t="s">
        <v>151</v>
      </c>
      <c r="J50" s="478" t="s">
        <v>4133</v>
      </c>
      <c r="K50" s="183"/>
    </row>
    <row r="51" spans="1:11" ht="15.6">
      <c r="A51" s="486">
        <v>45982</v>
      </c>
      <c r="B51" s="478" t="s">
        <v>2116</v>
      </c>
      <c r="C51" s="478" t="s">
        <v>172</v>
      </c>
      <c r="D51" s="479" t="s">
        <v>117</v>
      </c>
      <c r="E51" s="480"/>
      <c r="F51" s="480">
        <v>1000</v>
      </c>
      <c r="G51" s="180"/>
      <c r="H51" s="304">
        <f t="shared" si="0"/>
        <v>15106</v>
      </c>
      <c r="I51" s="482" t="s">
        <v>151</v>
      </c>
      <c r="J51" s="478" t="s">
        <v>4133</v>
      </c>
      <c r="K51" s="183"/>
    </row>
    <row r="52" spans="1:11" ht="15.6">
      <c r="A52" s="486">
        <v>45985</v>
      </c>
      <c r="B52" s="478" t="s">
        <v>2103</v>
      </c>
      <c r="C52" s="478" t="s">
        <v>172</v>
      </c>
      <c r="D52" s="479" t="s">
        <v>117</v>
      </c>
      <c r="E52" s="480"/>
      <c r="F52" s="480">
        <v>1000</v>
      </c>
      <c r="G52" s="180"/>
      <c r="H52" s="304">
        <f t="shared" si="0"/>
        <v>14106</v>
      </c>
      <c r="I52" s="482" t="s">
        <v>151</v>
      </c>
      <c r="J52" s="478" t="s">
        <v>4133</v>
      </c>
      <c r="K52" s="183"/>
    </row>
    <row r="53" spans="1:11" ht="15.6">
      <c r="A53" s="486">
        <v>45985</v>
      </c>
      <c r="B53" s="478" t="s">
        <v>2387</v>
      </c>
      <c r="C53" s="478" t="s">
        <v>172</v>
      </c>
      <c r="D53" s="479" t="s">
        <v>117</v>
      </c>
      <c r="E53" s="480"/>
      <c r="F53" s="480">
        <v>1000</v>
      </c>
      <c r="G53" s="180"/>
      <c r="H53" s="304">
        <f t="shared" si="0"/>
        <v>13106</v>
      </c>
      <c r="I53" s="482" t="s">
        <v>151</v>
      </c>
      <c r="J53" s="478" t="s">
        <v>4133</v>
      </c>
      <c r="K53" s="183"/>
    </row>
    <row r="54" spans="1:11" ht="15.6">
      <c r="A54" s="486">
        <v>45986</v>
      </c>
      <c r="B54" s="478" t="s">
        <v>2106</v>
      </c>
      <c r="C54" s="478" t="s">
        <v>172</v>
      </c>
      <c r="D54" s="479" t="s">
        <v>117</v>
      </c>
      <c r="E54" s="480"/>
      <c r="F54" s="480">
        <v>1000</v>
      </c>
      <c r="G54" s="180"/>
      <c r="H54" s="304">
        <f t="shared" si="0"/>
        <v>12106</v>
      </c>
      <c r="I54" s="482" t="s">
        <v>151</v>
      </c>
      <c r="J54" s="478" t="s">
        <v>4133</v>
      </c>
      <c r="K54" s="183"/>
    </row>
    <row r="55" spans="1:11" ht="15.6">
      <c r="A55" s="486">
        <v>45986</v>
      </c>
      <c r="B55" s="478" t="s">
        <v>2387</v>
      </c>
      <c r="C55" s="478" t="s">
        <v>172</v>
      </c>
      <c r="D55" s="479" t="s">
        <v>117</v>
      </c>
      <c r="E55" s="480"/>
      <c r="F55" s="480">
        <v>1000</v>
      </c>
      <c r="G55" s="180"/>
      <c r="H55" s="304">
        <f t="shared" si="0"/>
        <v>11106</v>
      </c>
      <c r="I55" s="482" t="s">
        <v>151</v>
      </c>
      <c r="J55" s="478" t="s">
        <v>4133</v>
      </c>
      <c r="K55" s="183"/>
    </row>
    <row r="56" spans="1:11" ht="15.6">
      <c r="A56" s="486">
        <v>45987</v>
      </c>
      <c r="B56" s="478" t="s">
        <v>2386</v>
      </c>
      <c r="C56" s="478" t="s">
        <v>172</v>
      </c>
      <c r="D56" s="479" t="s">
        <v>117</v>
      </c>
      <c r="E56" s="480"/>
      <c r="F56" s="480">
        <v>1000</v>
      </c>
      <c r="G56" s="180"/>
      <c r="H56" s="304">
        <f t="shared" si="0"/>
        <v>10106</v>
      </c>
      <c r="I56" s="482" t="s">
        <v>151</v>
      </c>
      <c r="J56" s="478" t="s">
        <v>4133</v>
      </c>
      <c r="K56" s="183"/>
    </row>
    <row r="57" spans="1:11" ht="15.6">
      <c r="A57" s="486">
        <v>45987</v>
      </c>
      <c r="B57" s="478" t="s">
        <v>4130</v>
      </c>
      <c r="C57" s="478" t="s">
        <v>172</v>
      </c>
      <c r="D57" s="479" t="s">
        <v>117</v>
      </c>
      <c r="E57" s="480"/>
      <c r="F57" s="480">
        <v>1000</v>
      </c>
      <c r="G57" s="180"/>
      <c r="H57" s="304">
        <f t="shared" si="0"/>
        <v>9106</v>
      </c>
      <c r="I57" s="482" t="s">
        <v>151</v>
      </c>
      <c r="J57" s="478" t="s">
        <v>4133</v>
      </c>
      <c r="K57" s="183"/>
    </row>
    <row r="58" spans="1:11" ht="15.6">
      <c r="A58" s="486">
        <v>45987</v>
      </c>
      <c r="B58" s="478" t="s">
        <v>4127</v>
      </c>
      <c r="C58" s="478" t="s">
        <v>172</v>
      </c>
      <c r="D58" s="479" t="s">
        <v>117</v>
      </c>
      <c r="E58" s="480"/>
      <c r="F58" s="480">
        <v>1000</v>
      </c>
      <c r="G58" s="180"/>
      <c r="H58" s="304">
        <f t="shared" si="0"/>
        <v>8106</v>
      </c>
      <c r="I58" s="482" t="s">
        <v>151</v>
      </c>
      <c r="J58" s="478" t="s">
        <v>4133</v>
      </c>
      <c r="K58" s="183"/>
    </row>
    <row r="59" spans="1:11" ht="15.6">
      <c r="A59" s="486">
        <v>45987</v>
      </c>
      <c r="B59" s="478" t="s">
        <v>4131</v>
      </c>
      <c r="C59" s="478" t="s">
        <v>122</v>
      </c>
      <c r="D59" s="479" t="s">
        <v>117</v>
      </c>
      <c r="E59" s="480">
        <v>175000</v>
      </c>
      <c r="F59" s="480"/>
      <c r="G59" s="180"/>
      <c r="H59" s="304">
        <f t="shared" si="0"/>
        <v>183106</v>
      </c>
      <c r="I59" s="482" t="s">
        <v>151</v>
      </c>
      <c r="J59" s="478" t="s">
        <v>4141</v>
      </c>
      <c r="K59" s="183"/>
    </row>
    <row r="60" spans="1:11" ht="15.6">
      <c r="A60" s="486">
        <v>45987</v>
      </c>
      <c r="B60" s="478" t="s">
        <v>2387</v>
      </c>
      <c r="C60" s="478" t="s">
        <v>172</v>
      </c>
      <c r="D60" s="479" t="s">
        <v>117</v>
      </c>
      <c r="E60" s="480"/>
      <c r="F60" s="480">
        <v>1000</v>
      </c>
      <c r="G60" s="180"/>
      <c r="H60" s="304">
        <f t="shared" si="0"/>
        <v>182106</v>
      </c>
      <c r="I60" s="482" t="s">
        <v>151</v>
      </c>
      <c r="J60" s="478" t="s">
        <v>4133</v>
      </c>
      <c r="K60" s="183"/>
    </row>
    <row r="61" spans="1:11" ht="15.6">
      <c r="A61" s="486">
        <v>45988</v>
      </c>
      <c r="B61" s="478" t="s">
        <v>2386</v>
      </c>
      <c r="C61" s="478" t="s">
        <v>172</v>
      </c>
      <c r="D61" s="479" t="s">
        <v>117</v>
      </c>
      <c r="E61" s="480"/>
      <c r="F61" s="480">
        <v>1000</v>
      </c>
      <c r="G61" s="180"/>
      <c r="H61" s="304">
        <f t="shared" si="0"/>
        <v>181106</v>
      </c>
      <c r="I61" s="482" t="s">
        <v>151</v>
      </c>
      <c r="J61" s="478" t="s">
        <v>4133</v>
      </c>
      <c r="K61" s="183"/>
    </row>
    <row r="62" spans="1:11" ht="15.6">
      <c r="A62" s="486">
        <v>45988</v>
      </c>
      <c r="B62" s="478" t="s">
        <v>2116</v>
      </c>
      <c r="C62" s="478" t="s">
        <v>172</v>
      </c>
      <c r="D62" s="479" t="s">
        <v>117</v>
      </c>
      <c r="E62" s="480"/>
      <c r="F62" s="480">
        <v>1000</v>
      </c>
      <c r="G62" s="180"/>
      <c r="H62" s="304">
        <f t="shared" si="0"/>
        <v>180106</v>
      </c>
      <c r="I62" s="482" t="s">
        <v>151</v>
      </c>
      <c r="J62" s="478" t="s">
        <v>4133</v>
      </c>
      <c r="K62" s="183"/>
    </row>
    <row r="63" spans="1:11" ht="15.6">
      <c r="A63" s="486">
        <v>45990</v>
      </c>
      <c r="B63" s="478" t="s">
        <v>4132</v>
      </c>
      <c r="C63" s="478" t="s">
        <v>125</v>
      </c>
      <c r="D63" s="479" t="s">
        <v>117</v>
      </c>
      <c r="E63" s="480"/>
      <c r="F63" s="480">
        <v>174625</v>
      </c>
      <c r="G63" s="180"/>
      <c r="H63" s="304">
        <f t="shared" si="0"/>
        <v>5481</v>
      </c>
      <c r="I63" s="482" t="s">
        <v>151</v>
      </c>
      <c r="J63" s="478" t="s">
        <v>4142</v>
      </c>
      <c r="K63" s="183"/>
    </row>
    <row r="64" spans="1:11" ht="15.6">
      <c r="A64" s="486">
        <v>45991</v>
      </c>
      <c r="B64" s="478" t="s">
        <v>2103</v>
      </c>
      <c r="C64" s="478" t="s">
        <v>172</v>
      </c>
      <c r="D64" s="479" t="s">
        <v>117</v>
      </c>
      <c r="E64" s="480"/>
      <c r="F64" s="480">
        <v>1000</v>
      </c>
      <c r="G64" s="180"/>
      <c r="H64" s="304">
        <f t="shared" si="0"/>
        <v>4481</v>
      </c>
      <c r="I64" s="482" t="s">
        <v>151</v>
      </c>
      <c r="J64" s="478" t="s">
        <v>4133</v>
      </c>
      <c r="K64" s="183"/>
    </row>
    <row r="65" spans="1:11" ht="15.6">
      <c r="A65" s="486">
        <v>45991</v>
      </c>
      <c r="B65" s="478" t="s">
        <v>2387</v>
      </c>
      <c r="C65" s="478" t="s">
        <v>172</v>
      </c>
      <c r="D65" s="479" t="s">
        <v>117</v>
      </c>
      <c r="E65" s="480"/>
      <c r="F65" s="480">
        <v>1000</v>
      </c>
      <c r="G65" s="180"/>
      <c r="H65" s="304">
        <f t="shared" si="0"/>
        <v>3481</v>
      </c>
      <c r="I65" s="482" t="s">
        <v>151</v>
      </c>
      <c r="J65" s="478" t="s">
        <v>4133</v>
      </c>
      <c r="K65" s="183"/>
    </row>
    <row r="66" spans="1:11" ht="15.6">
      <c r="A66" s="194"/>
      <c r="B66" s="183"/>
      <c r="C66" s="183"/>
      <c r="D66" s="183"/>
      <c r="E66" s="187">
        <f>SUM(E4:E65)</f>
        <v>427500</v>
      </c>
      <c r="F66" s="187">
        <f>SUM(F4:F65)</f>
        <v>436750</v>
      </c>
      <c r="G66" s="187"/>
      <c r="H66" s="305">
        <f>+H4+E66-F66</f>
        <v>3481</v>
      </c>
      <c r="I66" s="235"/>
      <c r="J66" s="306"/>
      <c r="K66" s="183"/>
    </row>
    <row r="67" spans="1:11" ht="15.6">
      <c r="A67" s="185"/>
      <c r="B67" s="183"/>
      <c r="C67" s="186" t="s">
        <v>450</v>
      </c>
      <c r="D67" s="183"/>
      <c r="E67" s="187"/>
      <c r="F67" s="187"/>
      <c r="G67" s="187"/>
      <c r="H67" s="188"/>
      <c r="I67" s="183"/>
      <c r="J67" s="306"/>
      <c r="K67" s="183"/>
    </row>
    <row r="68" spans="1:11" ht="15.6">
      <c r="A68" s="185"/>
      <c r="B68" s="183"/>
      <c r="C68" s="186"/>
      <c r="D68" s="183"/>
      <c r="E68" s="187"/>
      <c r="F68" s="187"/>
      <c r="G68" s="187"/>
      <c r="H68" s="188"/>
      <c r="I68" s="183"/>
      <c r="J68" s="183"/>
      <c r="K68" s="183"/>
    </row>
    <row r="69" spans="1:11" ht="15.6">
      <c r="A69" s="189" t="s">
        <v>0</v>
      </c>
      <c r="B69" s="190" t="s">
        <v>443</v>
      </c>
      <c r="C69" s="190" t="s">
        <v>444</v>
      </c>
      <c r="D69" s="190" t="s">
        <v>445</v>
      </c>
      <c r="E69" s="191" t="s">
        <v>446</v>
      </c>
      <c r="F69" s="191" t="s">
        <v>447</v>
      </c>
      <c r="G69" s="191"/>
      <c r="H69" s="192" t="s">
        <v>30</v>
      </c>
      <c r="I69" s="190" t="s">
        <v>448</v>
      </c>
      <c r="J69" s="190" t="s">
        <v>449</v>
      </c>
      <c r="K69" s="193"/>
    </row>
    <row r="70" spans="1:11" ht="15.6">
      <c r="A70" s="171">
        <v>45962</v>
      </c>
      <c r="B70" s="177" t="s">
        <v>4161</v>
      </c>
      <c r="C70" s="177"/>
      <c r="D70" s="177"/>
      <c r="E70" s="180"/>
      <c r="F70" s="180"/>
      <c r="G70" s="180"/>
      <c r="H70" s="181">
        <v>135520</v>
      </c>
      <c r="I70" s="172" t="s">
        <v>198</v>
      </c>
      <c r="J70" s="177"/>
      <c r="K70" s="183"/>
    </row>
    <row r="71" spans="1:11" ht="15.6">
      <c r="A71" s="425">
        <v>45964</v>
      </c>
      <c r="B71" s="213" t="s">
        <v>4731</v>
      </c>
      <c r="C71" s="213" t="s">
        <v>2394</v>
      </c>
      <c r="D71" s="329" t="s">
        <v>115</v>
      </c>
      <c r="E71" s="483"/>
      <c r="F71" s="483">
        <v>40000</v>
      </c>
      <c r="G71" s="180"/>
      <c r="H71" s="181">
        <f>H70+E71-F71</f>
        <v>95520</v>
      </c>
      <c r="I71" s="331" t="s">
        <v>198</v>
      </c>
      <c r="J71" s="213" t="s">
        <v>4152</v>
      </c>
      <c r="K71" s="183"/>
    </row>
    <row r="72" spans="1:11" ht="15.6">
      <c r="A72" s="425">
        <v>45964</v>
      </c>
      <c r="B72" s="213" t="s">
        <v>2423</v>
      </c>
      <c r="C72" s="213" t="s">
        <v>172</v>
      </c>
      <c r="D72" s="329" t="s">
        <v>115</v>
      </c>
      <c r="E72" s="483"/>
      <c r="F72" s="483">
        <v>500</v>
      </c>
      <c r="G72" s="180"/>
      <c r="H72" s="181">
        <f t="shared" ref="H72:H92" si="1">H71+E72-F72</f>
        <v>95020</v>
      </c>
      <c r="I72" s="331" t="s">
        <v>198</v>
      </c>
      <c r="J72" s="213" t="s">
        <v>4153</v>
      </c>
      <c r="K72" s="183"/>
    </row>
    <row r="73" spans="1:11" ht="15.6">
      <c r="A73" s="425">
        <v>45964</v>
      </c>
      <c r="B73" s="337" t="s">
        <v>4143</v>
      </c>
      <c r="C73" s="439" t="s">
        <v>150</v>
      </c>
      <c r="D73" s="329" t="s">
        <v>115</v>
      </c>
      <c r="E73" s="483">
        <v>10000</v>
      </c>
      <c r="F73" s="483"/>
      <c r="G73" s="180"/>
      <c r="H73" s="181">
        <f t="shared" si="1"/>
        <v>105020</v>
      </c>
      <c r="I73" s="331" t="s">
        <v>198</v>
      </c>
      <c r="J73" s="213" t="s">
        <v>4154</v>
      </c>
      <c r="K73" s="183"/>
    </row>
    <row r="74" spans="1:11" ht="15.6">
      <c r="A74" s="425">
        <v>45964</v>
      </c>
      <c r="B74" s="337" t="s">
        <v>4143</v>
      </c>
      <c r="C74" s="439" t="s">
        <v>150</v>
      </c>
      <c r="D74" s="329" t="s">
        <v>115</v>
      </c>
      <c r="E74" s="483"/>
      <c r="F74" s="483">
        <v>10000</v>
      </c>
      <c r="G74" s="180"/>
      <c r="H74" s="181">
        <f t="shared" si="1"/>
        <v>95020</v>
      </c>
      <c r="I74" s="331" t="s">
        <v>198</v>
      </c>
      <c r="J74" s="213" t="s">
        <v>4154</v>
      </c>
      <c r="K74" s="183"/>
    </row>
    <row r="75" spans="1:11" ht="15.6">
      <c r="A75" s="425">
        <v>45964</v>
      </c>
      <c r="B75" s="213" t="s">
        <v>2424</v>
      </c>
      <c r="C75" s="213" t="s">
        <v>172</v>
      </c>
      <c r="D75" s="329" t="s">
        <v>115</v>
      </c>
      <c r="E75" s="483"/>
      <c r="F75" s="483">
        <v>500</v>
      </c>
      <c r="G75" s="180"/>
      <c r="H75" s="181">
        <f t="shared" si="1"/>
        <v>94520</v>
      </c>
      <c r="I75" s="331" t="s">
        <v>198</v>
      </c>
      <c r="J75" s="213" t="s">
        <v>4153</v>
      </c>
      <c r="K75" s="183"/>
    </row>
    <row r="76" spans="1:11" ht="15.6">
      <c r="A76" s="425">
        <v>45964</v>
      </c>
      <c r="B76" s="213" t="s">
        <v>4144</v>
      </c>
      <c r="C76" s="213" t="s">
        <v>122</v>
      </c>
      <c r="D76" s="329" t="s">
        <v>115</v>
      </c>
      <c r="E76" s="483">
        <v>112000</v>
      </c>
      <c r="F76" s="483"/>
      <c r="G76" s="180"/>
      <c r="H76" s="181">
        <f t="shared" si="1"/>
        <v>206520</v>
      </c>
      <c r="I76" s="331" t="s">
        <v>198</v>
      </c>
      <c r="J76" s="213" t="s">
        <v>4155</v>
      </c>
      <c r="K76" s="183"/>
    </row>
    <row r="77" spans="1:11" ht="15.6">
      <c r="A77" s="425">
        <v>45965</v>
      </c>
      <c r="B77" s="213" t="s">
        <v>2423</v>
      </c>
      <c r="C77" s="213" t="s">
        <v>172</v>
      </c>
      <c r="D77" s="329" t="s">
        <v>115</v>
      </c>
      <c r="E77" s="483"/>
      <c r="F77" s="483">
        <v>500</v>
      </c>
      <c r="G77" s="180"/>
      <c r="H77" s="181">
        <f t="shared" si="1"/>
        <v>206020</v>
      </c>
      <c r="I77" s="331" t="s">
        <v>198</v>
      </c>
      <c r="J77" s="213" t="s">
        <v>4153</v>
      </c>
      <c r="K77" s="183"/>
    </row>
    <row r="78" spans="1:11" ht="15.6">
      <c r="A78" s="425">
        <v>45965</v>
      </c>
      <c r="B78" s="213" t="s">
        <v>2424</v>
      </c>
      <c r="C78" s="213" t="s">
        <v>172</v>
      </c>
      <c r="D78" s="329" t="s">
        <v>115</v>
      </c>
      <c r="E78" s="483"/>
      <c r="F78" s="483">
        <v>500</v>
      </c>
      <c r="G78" s="180"/>
      <c r="H78" s="181">
        <f t="shared" si="1"/>
        <v>205520</v>
      </c>
      <c r="I78" s="331" t="s">
        <v>198</v>
      </c>
      <c r="J78" s="213" t="s">
        <v>4153</v>
      </c>
      <c r="K78" s="183"/>
    </row>
    <row r="79" spans="1:11" ht="15.6">
      <c r="A79" s="425">
        <v>45968</v>
      </c>
      <c r="B79" s="213" t="s">
        <v>4732</v>
      </c>
      <c r="C79" s="213" t="s">
        <v>2394</v>
      </c>
      <c r="D79" s="329" t="s">
        <v>115</v>
      </c>
      <c r="E79" s="483"/>
      <c r="F79" s="483">
        <v>150000</v>
      </c>
      <c r="G79" s="180"/>
      <c r="H79" s="181">
        <f t="shared" si="1"/>
        <v>55520</v>
      </c>
      <c r="I79" s="331" t="s">
        <v>198</v>
      </c>
      <c r="J79" s="213" t="s">
        <v>4156</v>
      </c>
      <c r="K79" s="183"/>
    </row>
    <row r="80" spans="1:11" ht="15.6">
      <c r="A80" s="425">
        <v>45968</v>
      </c>
      <c r="B80" s="213" t="s">
        <v>4145</v>
      </c>
      <c r="C80" s="213" t="s">
        <v>172</v>
      </c>
      <c r="D80" s="329" t="s">
        <v>115</v>
      </c>
      <c r="E80" s="483"/>
      <c r="F80" s="483">
        <v>500</v>
      </c>
      <c r="G80" s="180"/>
      <c r="H80" s="181">
        <f t="shared" si="1"/>
        <v>55020</v>
      </c>
      <c r="I80" s="331" t="s">
        <v>198</v>
      </c>
      <c r="J80" s="213" t="s">
        <v>4153</v>
      </c>
      <c r="K80" s="183"/>
    </row>
    <row r="81" spans="1:11" ht="15.6">
      <c r="A81" s="425">
        <v>45968</v>
      </c>
      <c r="B81" s="213" t="s">
        <v>1183</v>
      </c>
      <c r="C81" s="213" t="s">
        <v>172</v>
      </c>
      <c r="D81" s="329" t="s">
        <v>115</v>
      </c>
      <c r="E81" s="483"/>
      <c r="F81" s="483">
        <v>7000</v>
      </c>
      <c r="G81" s="180"/>
      <c r="H81" s="181">
        <f t="shared" si="1"/>
        <v>48020</v>
      </c>
      <c r="I81" s="331" t="s">
        <v>198</v>
      </c>
      <c r="J81" s="213" t="s">
        <v>4157</v>
      </c>
      <c r="K81" s="183"/>
    </row>
    <row r="82" spans="1:11" ht="15.6">
      <c r="A82" s="425">
        <v>45968</v>
      </c>
      <c r="B82" s="213" t="s">
        <v>4146</v>
      </c>
      <c r="C82" s="213" t="s">
        <v>172</v>
      </c>
      <c r="D82" s="329" t="s">
        <v>115</v>
      </c>
      <c r="E82" s="483"/>
      <c r="F82" s="483">
        <v>2000</v>
      </c>
      <c r="G82" s="180"/>
      <c r="H82" s="181">
        <f t="shared" si="1"/>
        <v>46020</v>
      </c>
      <c r="I82" s="331" t="s">
        <v>198</v>
      </c>
      <c r="J82" s="213" t="s">
        <v>4153</v>
      </c>
      <c r="K82" s="183"/>
    </row>
    <row r="83" spans="1:11" ht="15.6">
      <c r="A83" s="425">
        <v>45971</v>
      </c>
      <c r="B83" s="337" t="s">
        <v>4147</v>
      </c>
      <c r="C83" s="439" t="s">
        <v>150</v>
      </c>
      <c r="D83" s="329" t="s">
        <v>115</v>
      </c>
      <c r="E83" s="483">
        <v>10000</v>
      </c>
      <c r="F83" s="483"/>
      <c r="G83" s="180"/>
      <c r="H83" s="181">
        <f t="shared" si="1"/>
        <v>56020</v>
      </c>
      <c r="I83" s="331" t="s">
        <v>198</v>
      </c>
      <c r="J83" s="213" t="s">
        <v>4158</v>
      </c>
      <c r="K83" s="183"/>
    </row>
    <row r="84" spans="1:11" ht="15.6">
      <c r="A84" s="425">
        <v>45971</v>
      </c>
      <c r="B84" s="337" t="s">
        <v>4147</v>
      </c>
      <c r="C84" s="439" t="s">
        <v>150</v>
      </c>
      <c r="D84" s="439" t="s">
        <v>115</v>
      </c>
      <c r="E84" s="483"/>
      <c r="F84" s="483">
        <v>10000</v>
      </c>
      <c r="G84" s="180"/>
      <c r="H84" s="181">
        <f t="shared" si="1"/>
        <v>46020</v>
      </c>
      <c r="I84" s="331" t="s">
        <v>198</v>
      </c>
      <c r="J84" s="213" t="s">
        <v>4158</v>
      </c>
      <c r="K84" s="183"/>
    </row>
    <row r="85" spans="1:11" ht="15.6">
      <c r="A85" s="342">
        <v>45971</v>
      </c>
      <c r="B85" s="439" t="s">
        <v>4148</v>
      </c>
      <c r="C85" s="484" t="s">
        <v>263</v>
      </c>
      <c r="D85" s="484" t="s">
        <v>2417</v>
      </c>
      <c r="E85" s="485">
        <v>30000</v>
      </c>
      <c r="F85" s="483"/>
      <c r="G85" s="180"/>
      <c r="H85" s="181">
        <f t="shared" si="1"/>
        <v>76020</v>
      </c>
      <c r="I85" s="484" t="s">
        <v>198</v>
      </c>
      <c r="J85" s="439" t="s">
        <v>4159</v>
      </c>
      <c r="K85" s="183"/>
    </row>
    <row r="86" spans="1:11" ht="15.6">
      <c r="A86" s="342">
        <v>45971</v>
      </c>
      <c r="B86" s="439" t="s">
        <v>4148</v>
      </c>
      <c r="C86" s="484" t="s">
        <v>263</v>
      </c>
      <c r="D86" s="484" t="s">
        <v>2417</v>
      </c>
      <c r="E86" s="485"/>
      <c r="F86" s="483">
        <v>30000</v>
      </c>
      <c r="G86" s="180"/>
      <c r="H86" s="181">
        <f t="shared" si="1"/>
        <v>46020</v>
      </c>
      <c r="I86" s="484" t="s">
        <v>198</v>
      </c>
      <c r="J86" s="439" t="s">
        <v>4159</v>
      </c>
      <c r="K86" s="183"/>
    </row>
    <row r="87" spans="1:11" ht="15.6">
      <c r="A87" s="425">
        <v>45978</v>
      </c>
      <c r="B87" s="337" t="s">
        <v>4149</v>
      </c>
      <c r="C87" s="439" t="s">
        <v>150</v>
      </c>
      <c r="D87" s="439" t="s">
        <v>115</v>
      </c>
      <c r="E87" s="483">
        <v>10000</v>
      </c>
      <c r="F87" s="483"/>
      <c r="G87" s="180"/>
      <c r="H87" s="181">
        <f t="shared" si="1"/>
        <v>56020</v>
      </c>
      <c r="I87" s="331" t="s">
        <v>198</v>
      </c>
      <c r="J87" s="213" t="s">
        <v>4160</v>
      </c>
      <c r="K87" s="183"/>
    </row>
    <row r="88" spans="1:11" ht="15.6">
      <c r="A88" s="425">
        <v>45978</v>
      </c>
      <c r="B88" s="337" t="s">
        <v>4150</v>
      </c>
      <c r="C88" s="439" t="s">
        <v>150</v>
      </c>
      <c r="D88" s="439" t="s">
        <v>115</v>
      </c>
      <c r="E88" s="483"/>
      <c r="F88" s="483">
        <v>10000</v>
      </c>
      <c r="G88" s="180"/>
      <c r="H88" s="181">
        <f t="shared" si="1"/>
        <v>46020</v>
      </c>
      <c r="I88" s="331" t="s">
        <v>198</v>
      </c>
      <c r="J88" s="213" t="s">
        <v>4160</v>
      </c>
      <c r="K88" s="183"/>
    </row>
    <row r="89" spans="1:11" ht="15.6">
      <c r="A89" s="425">
        <v>45981</v>
      </c>
      <c r="B89" s="213" t="s">
        <v>4151</v>
      </c>
      <c r="C89" s="213" t="s">
        <v>172</v>
      </c>
      <c r="D89" s="439" t="s">
        <v>115</v>
      </c>
      <c r="E89" s="483"/>
      <c r="F89" s="483">
        <v>1500</v>
      </c>
      <c r="G89" s="180"/>
      <c r="H89" s="181">
        <f t="shared" si="1"/>
        <v>44520</v>
      </c>
      <c r="I89" s="331" t="s">
        <v>198</v>
      </c>
      <c r="J89" s="213" t="s">
        <v>4153</v>
      </c>
      <c r="K89" s="183"/>
    </row>
    <row r="90" spans="1:11" ht="15.6">
      <c r="A90" s="425">
        <v>45981</v>
      </c>
      <c r="B90" s="213" t="s">
        <v>2847</v>
      </c>
      <c r="C90" s="213" t="s">
        <v>172</v>
      </c>
      <c r="D90" s="439" t="s">
        <v>115</v>
      </c>
      <c r="E90" s="483"/>
      <c r="F90" s="483">
        <v>1000</v>
      </c>
      <c r="G90" s="180"/>
      <c r="H90" s="181">
        <f t="shared" si="1"/>
        <v>43520</v>
      </c>
      <c r="I90" s="331" t="s">
        <v>198</v>
      </c>
      <c r="J90" s="213" t="s">
        <v>4153</v>
      </c>
      <c r="K90" s="183"/>
    </row>
    <row r="91" spans="1:11" ht="15.6">
      <c r="A91" s="425">
        <v>45981</v>
      </c>
      <c r="B91" s="213" t="s">
        <v>2848</v>
      </c>
      <c r="C91" s="213" t="s">
        <v>172</v>
      </c>
      <c r="D91" s="439" t="s">
        <v>115</v>
      </c>
      <c r="E91" s="483"/>
      <c r="F91" s="483">
        <v>1000</v>
      </c>
      <c r="G91" s="180"/>
      <c r="H91" s="181">
        <f t="shared" si="1"/>
        <v>42520</v>
      </c>
      <c r="I91" s="331" t="s">
        <v>198</v>
      </c>
      <c r="J91" s="213" t="s">
        <v>4153</v>
      </c>
      <c r="K91" s="183"/>
    </row>
    <row r="92" spans="1:11" ht="15.6">
      <c r="A92" s="425">
        <v>45981</v>
      </c>
      <c r="B92" s="213" t="s">
        <v>2852</v>
      </c>
      <c r="C92" s="213" t="s">
        <v>172</v>
      </c>
      <c r="D92" s="439" t="s">
        <v>115</v>
      </c>
      <c r="E92" s="483"/>
      <c r="F92" s="483">
        <v>1500</v>
      </c>
      <c r="G92" s="180"/>
      <c r="H92" s="181">
        <f t="shared" si="1"/>
        <v>41020</v>
      </c>
      <c r="I92" s="331" t="s">
        <v>198</v>
      </c>
      <c r="J92" s="213" t="s">
        <v>4153</v>
      </c>
      <c r="K92" s="183"/>
    </row>
    <row r="93" spans="1:11" ht="15.6">
      <c r="A93" s="194"/>
      <c r="B93" s="183"/>
      <c r="C93" s="183"/>
      <c r="D93" s="183"/>
      <c r="E93" s="195">
        <f>SUM(E71:E92)</f>
        <v>172000</v>
      </c>
      <c r="F93" s="195">
        <f>SUM(F71:F92)</f>
        <v>266500</v>
      </c>
      <c r="G93" s="195"/>
      <c r="H93" s="188">
        <f>+E93-F93+H70</f>
        <v>41020</v>
      </c>
      <c r="I93" s="183"/>
      <c r="J93" s="183"/>
      <c r="K93" s="183"/>
    </row>
    <row r="94" spans="1:11" ht="15.6">
      <c r="A94" s="194"/>
      <c r="B94" s="183"/>
      <c r="C94" s="183"/>
      <c r="D94" s="183"/>
      <c r="E94" s="187"/>
      <c r="F94" s="187"/>
      <c r="G94" s="187"/>
      <c r="H94" s="188"/>
      <c r="I94" s="183"/>
      <c r="J94" s="183"/>
      <c r="K94" s="183"/>
    </row>
    <row r="95" spans="1:11" ht="15.6">
      <c r="A95" s="194"/>
      <c r="B95" s="183"/>
      <c r="C95" s="186" t="s">
        <v>451</v>
      </c>
      <c r="D95" s="183"/>
      <c r="E95" s="187"/>
      <c r="F95" s="187"/>
      <c r="G95" s="187"/>
      <c r="H95" s="188"/>
      <c r="I95" s="183"/>
      <c r="J95" s="183"/>
      <c r="K95" s="183"/>
    </row>
    <row r="96" spans="1:11" ht="15.6">
      <c r="A96" s="194"/>
      <c r="B96" s="183"/>
      <c r="C96" s="183"/>
      <c r="D96" s="183"/>
      <c r="E96" s="187"/>
      <c r="F96" s="187"/>
      <c r="G96" s="187"/>
      <c r="H96" s="188"/>
      <c r="I96" s="183"/>
      <c r="J96" s="183"/>
      <c r="K96" s="183"/>
    </row>
    <row r="97" spans="1:11" ht="15.6">
      <c r="A97" s="196" t="s">
        <v>0</v>
      </c>
      <c r="B97" s="190" t="s">
        <v>443</v>
      </c>
      <c r="C97" s="190" t="s">
        <v>778</v>
      </c>
      <c r="D97" s="190" t="s">
        <v>444</v>
      </c>
      <c r="E97" s="191" t="s">
        <v>446</v>
      </c>
      <c r="F97" s="191" t="s">
        <v>447</v>
      </c>
      <c r="G97" s="191"/>
      <c r="H97" s="197" t="s">
        <v>30</v>
      </c>
      <c r="I97" s="190" t="s">
        <v>448</v>
      </c>
      <c r="J97" s="190" t="s">
        <v>449</v>
      </c>
      <c r="K97" s="193"/>
    </row>
    <row r="98" spans="1:11" ht="15.6">
      <c r="A98" s="171">
        <v>45962</v>
      </c>
      <c r="B98" s="125" t="s">
        <v>4161</v>
      </c>
      <c r="C98" s="184"/>
      <c r="D98" s="184"/>
      <c r="E98" s="184"/>
      <c r="F98" s="184"/>
      <c r="G98" s="184"/>
      <c r="H98" s="198">
        <v>0</v>
      </c>
      <c r="I98" s="184" t="s">
        <v>155</v>
      </c>
      <c r="J98" s="184"/>
      <c r="K98" s="183"/>
    </row>
    <row r="99" spans="1:11" ht="15.6">
      <c r="A99" s="641"/>
      <c r="B99" s="642"/>
      <c r="C99" s="642"/>
      <c r="D99" s="643"/>
      <c r="E99" s="173">
        <f>SUM(E98:E98)</f>
        <v>0</v>
      </c>
      <c r="F99" s="173">
        <f>SUM(F98:F98)</f>
        <v>0</v>
      </c>
      <c r="G99" s="173"/>
      <c r="H99" s="201">
        <f>E99-F99+H98</f>
        <v>0</v>
      </c>
      <c r="I99" s="172"/>
      <c r="J99" s="172"/>
      <c r="K99" s="174"/>
    </row>
    <row r="100" spans="1:11" ht="15.6">
      <c r="A100" s="194"/>
      <c r="B100" s="183"/>
      <c r="C100" s="183"/>
      <c r="D100" s="183"/>
      <c r="E100" s="187"/>
      <c r="F100" s="187"/>
      <c r="G100" s="187"/>
      <c r="H100" s="188"/>
      <c r="I100" s="183"/>
      <c r="J100" s="183"/>
      <c r="K100" s="174"/>
    </row>
    <row r="101" spans="1:11" ht="15.6">
      <c r="A101" s="194"/>
      <c r="B101" s="183"/>
      <c r="C101" s="186" t="s">
        <v>646</v>
      </c>
      <c r="D101" s="183"/>
      <c r="E101" s="187"/>
      <c r="F101" s="187"/>
      <c r="G101" s="187"/>
      <c r="H101" s="188"/>
      <c r="I101" s="183"/>
      <c r="J101" s="183"/>
      <c r="K101" s="174"/>
    </row>
    <row r="102" spans="1:11" ht="15.6">
      <c r="A102" s="194"/>
      <c r="B102" s="183"/>
      <c r="C102" s="183"/>
      <c r="D102" s="183"/>
      <c r="E102" s="187"/>
      <c r="F102" s="187"/>
      <c r="G102" s="187"/>
      <c r="H102" s="188"/>
      <c r="I102" s="183"/>
      <c r="J102" s="183"/>
      <c r="K102" s="174"/>
    </row>
    <row r="103" spans="1:11" ht="15.6">
      <c r="A103" s="196" t="s">
        <v>0</v>
      </c>
      <c r="B103" s="190" t="s">
        <v>443</v>
      </c>
      <c r="C103" s="190" t="s">
        <v>444</v>
      </c>
      <c r="D103" s="190" t="s">
        <v>778</v>
      </c>
      <c r="E103" s="191" t="s">
        <v>446</v>
      </c>
      <c r="F103" s="191" t="s">
        <v>447</v>
      </c>
      <c r="G103" s="191"/>
      <c r="H103" s="197" t="s">
        <v>30</v>
      </c>
      <c r="I103" s="190" t="s">
        <v>448</v>
      </c>
      <c r="J103" s="190" t="s">
        <v>449</v>
      </c>
      <c r="K103" s="174"/>
    </row>
    <row r="104" spans="1:11" ht="15.6">
      <c r="A104" s="171">
        <v>45962</v>
      </c>
      <c r="B104" s="125" t="s">
        <v>4161</v>
      </c>
      <c r="C104" s="184"/>
      <c r="D104" s="184"/>
      <c r="E104" s="184"/>
      <c r="F104" s="184"/>
      <c r="G104" s="184"/>
      <c r="H104" s="181">
        <v>7000</v>
      </c>
      <c r="I104" s="184" t="s">
        <v>581</v>
      </c>
      <c r="J104" s="184"/>
      <c r="K104" s="174"/>
    </row>
    <row r="105" spans="1:11" ht="15.6">
      <c r="A105" s="477">
        <v>45964</v>
      </c>
      <c r="B105" s="219" t="s">
        <v>4162</v>
      </c>
      <c r="C105" s="219" t="s">
        <v>172</v>
      </c>
      <c r="D105" s="219" t="s">
        <v>116</v>
      </c>
      <c r="E105" s="487"/>
      <c r="F105" s="488">
        <v>1000</v>
      </c>
      <c r="G105" s="218"/>
      <c r="H105" s="217">
        <f t="shared" ref="H105:H168" si="2">+H104+E105-F105</f>
        <v>6000</v>
      </c>
      <c r="I105" s="219" t="s">
        <v>581</v>
      </c>
      <c r="J105" s="219" t="s">
        <v>4213</v>
      </c>
      <c r="K105" s="174"/>
    </row>
    <row r="106" spans="1:11" ht="15.6">
      <c r="A106" s="477">
        <v>45964</v>
      </c>
      <c r="B106" s="219" t="s">
        <v>3405</v>
      </c>
      <c r="C106" s="219" t="s">
        <v>172</v>
      </c>
      <c r="D106" s="219" t="s">
        <v>116</v>
      </c>
      <c r="E106" s="487"/>
      <c r="F106" s="488">
        <v>500</v>
      </c>
      <c r="G106" s="216"/>
      <c r="H106" s="217">
        <f t="shared" si="2"/>
        <v>5500</v>
      </c>
      <c r="I106" s="219" t="s">
        <v>581</v>
      </c>
      <c r="J106" s="219" t="s">
        <v>4213</v>
      </c>
      <c r="K106" s="174"/>
    </row>
    <row r="107" spans="1:11" ht="15.6">
      <c r="A107" s="477">
        <v>45964</v>
      </c>
      <c r="B107" s="219" t="s">
        <v>4163</v>
      </c>
      <c r="C107" s="242" t="s">
        <v>150</v>
      </c>
      <c r="D107" s="219" t="s">
        <v>117</v>
      </c>
      <c r="E107" s="487">
        <v>7500</v>
      </c>
      <c r="F107" s="488"/>
      <c r="G107" s="218"/>
      <c r="H107" s="217">
        <f t="shared" si="2"/>
        <v>13000</v>
      </c>
      <c r="I107" s="219" t="s">
        <v>581</v>
      </c>
      <c r="J107" s="219" t="s">
        <v>4214</v>
      </c>
      <c r="K107" s="174"/>
    </row>
    <row r="108" spans="1:11" ht="15.6">
      <c r="A108" s="477">
        <v>45964</v>
      </c>
      <c r="B108" s="219" t="s">
        <v>4163</v>
      </c>
      <c r="C108" s="242" t="s">
        <v>150</v>
      </c>
      <c r="D108" s="219" t="s">
        <v>117</v>
      </c>
      <c r="E108" s="487"/>
      <c r="F108" s="488">
        <v>7500</v>
      </c>
      <c r="G108" s="215"/>
      <c r="H108" s="217">
        <f t="shared" si="2"/>
        <v>5500</v>
      </c>
      <c r="I108" s="219" t="s">
        <v>581</v>
      </c>
      <c r="J108" s="219" t="s">
        <v>4214</v>
      </c>
      <c r="K108" s="174"/>
    </row>
    <row r="109" spans="1:11" ht="15.6">
      <c r="A109" s="477">
        <v>45964</v>
      </c>
      <c r="B109" s="219" t="s">
        <v>2881</v>
      </c>
      <c r="C109" s="219" t="s">
        <v>172</v>
      </c>
      <c r="D109" s="219" t="s">
        <v>116</v>
      </c>
      <c r="E109" s="487"/>
      <c r="F109" s="488">
        <v>1000</v>
      </c>
      <c r="G109" s="215"/>
      <c r="H109" s="217">
        <f t="shared" si="2"/>
        <v>4500</v>
      </c>
      <c r="I109" s="219" t="s">
        <v>581</v>
      </c>
      <c r="J109" s="219" t="s">
        <v>4213</v>
      </c>
      <c r="K109" s="174"/>
    </row>
    <row r="110" spans="1:11" ht="15.6">
      <c r="A110" s="342">
        <v>45965</v>
      </c>
      <c r="B110" s="219" t="s">
        <v>816</v>
      </c>
      <c r="C110" s="179" t="s">
        <v>170</v>
      </c>
      <c r="D110" s="219" t="s">
        <v>116</v>
      </c>
      <c r="E110" s="316">
        <v>27000</v>
      </c>
      <c r="F110" s="488"/>
      <c r="G110" s="215"/>
      <c r="H110" s="217">
        <f t="shared" si="2"/>
        <v>31500</v>
      </c>
      <c r="I110" s="219" t="s">
        <v>581</v>
      </c>
      <c r="J110" s="179" t="s">
        <v>4215</v>
      </c>
      <c r="K110" s="174"/>
    </row>
    <row r="111" spans="1:11" ht="15.6">
      <c r="A111" s="342">
        <v>45965</v>
      </c>
      <c r="B111" s="219" t="s">
        <v>816</v>
      </c>
      <c r="C111" s="179" t="s">
        <v>170</v>
      </c>
      <c r="D111" s="219" t="s">
        <v>116</v>
      </c>
      <c r="E111" s="316"/>
      <c r="F111" s="316">
        <v>27000</v>
      </c>
      <c r="G111" s="215"/>
      <c r="H111" s="217">
        <f t="shared" si="2"/>
        <v>4500</v>
      </c>
      <c r="I111" s="219" t="s">
        <v>581</v>
      </c>
      <c r="J111" s="179" t="s">
        <v>4215</v>
      </c>
      <c r="K111" s="174"/>
    </row>
    <row r="112" spans="1:11" ht="15.6">
      <c r="A112" s="477">
        <v>45965</v>
      </c>
      <c r="B112" s="219" t="s">
        <v>4164</v>
      </c>
      <c r="C112" s="219" t="s">
        <v>172</v>
      </c>
      <c r="D112" s="219" t="s">
        <v>116</v>
      </c>
      <c r="E112" s="487"/>
      <c r="F112" s="488">
        <v>1000</v>
      </c>
      <c r="G112" s="215"/>
      <c r="H112" s="217">
        <f t="shared" si="2"/>
        <v>3500</v>
      </c>
      <c r="I112" s="219" t="s">
        <v>581</v>
      </c>
      <c r="J112" s="219" t="s">
        <v>4213</v>
      </c>
      <c r="K112" s="174"/>
    </row>
    <row r="113" spans="1:11" ht="15.6">
      <c r="A113" s="342">
        <v>45966</v>
      </c>
      <c r="B113" s="179" t="s">
        <v>4165</v>
      </c>
      <c r="C113" s="179" t="s">
        <v>170</v>
      </c>
      <c r="D113" s="219" t="s">
        <v>116</v>
      </c>
      <c r="E113" s="316">
        <v>25000</v>
      </c>
      <c r="F113" s="488"/>
      <c r="G113" s="215"/>
      <c r="H113" s="217">
        <f t="shared" si="2"/>
        <v>28500</v>
      </c>
      <c r="I113" s="179" t="s">
        <v>581</v>
      </c>
      <c r="J113" s="179" t="s">
        <v>4216</v>
      </c>
      <c r="K113" s="174"/>
    </row>
    <row r="114" spans="1:11" ht="15.6">
      <c r="A114" s="342">
        <v>45966</v>
      </c>
      <c r="B114" s="179" t="s">
        <v>4166</v>
      </c>
      <c r="C114" s="179" t="s">
        <v>170</v>
      </c>
      <c r="D114" s="219" t="s">
        <v>116</v>
      </c>
      <c r="E114" s="316">
        <v>3500</v>
      </c>
      <c r="F114" s="488"/>
      <c r="G114" s="215"/>
      <c r="H114" s="217">
        <f t="shared" si="2"/>
        <v>32000</v>
      </c>
      <c r="I114" s="179" t="s">
        <v>581</v>
      </c>
      <c r="J114" s="179" t="s">
        <v>4216</v>
      </c>
      <c r="K114" s="174"/>
    </row>
    <row r="115" spans="1:11" ht="15.6">
      <c r="A115" s="342">
        <v>45966</v>
      </c>
      <c r="B115" s="179" t="s">
        <v>4167</v>
      </c>
      <c r="C115" s="179" t="s">
        <v>170</v>
      </c>
      <c r="D115" s="219" t="s">
        <v>116</v>
      </c>
      <c r="E115" s="316">
        <v>34000</v>
      </c>
      <c r="F115" s="488"/>
      <c r="G115" s="215"/>
      <c r="H115" s="217">
        <f t="shared" si="2"/>
        <v>66000</v>
      </c>
      <c r="I115" s="179" t="s">
        <v>581</v>
      </c>
      <c r="J115" s="179" t="s">
        <v>4216</v>
      </c>
      <c r="K115" s="174"/>
    </row>
    <row r="116" spans="1:11" ht="15.6">
      <c r="A116" s="342">
        <v>45966</v>
      </c>
      <c r="B116" s="179" t="s">
        <v>4168</v>
      </c>
      <c r="C116" s="179" t="s">
        <v>170</v>
      </c>
      <c r="D116" s="219" t="s">
        <v>116</v>
      </c>
      <c r="E116" s="316">
        <v>7500</v>
      </c>
      <c r="F116" s="488"/>
      <c r="G116" s="215"/>
      <c r="H116" s="217">
        <f t="shared" si="2"/>
        <v>73500</v>
      </c>
      <c r="I116" s="179" t="s">
        <v>581</v>
      </c>
      <c r="J116" s="179" t="s">
        <v>4216</v>
      </c>
      <c r="K116" s="174"/>
    </row>
    <row r="117" spans="1:11" ht="15.6">
      <c r="A117" s="342">
        <v>45966</v>
      </c>
      <c r="B117" s="179" t="s">
        <v>4169</v>
      </c>
      <c r="C117" s="179" t="s">
        <v>170</v>
      </c>
      <c r="D117" s="219" t="s">
        <v>116</v>
      </c>
      <c r="E117" s="316">
        <v>1000</v>
      </c>
      <c r="F117" s="488"/>
      <c r="G117" s="215"/>
      <c r="H117" s="217">
        <f t="shared" si="2"/>
        <v>74500</v>
      </c>
      <c r="I117" s="179" t="s">
        <v>581</v>
      </c>
      <c r="J117" s="179" t="s">
        <v>4216</v>
      </c>
      <c r="K117" s="174"/>
    </row>
    <row r="118" spans="1:11" ht="15.6">
      <c r="A118" s="342">
        <v>45966</v>
      </c>
      <c r="B118" s="179" t="s">
        <v>4170</v>
      </c>
      <c r="C118" s="179" t="s">
        <v>170</v>
      </c>
      <c r="D118" s="219" t="s">
        <v>116</v>
      </c>
      <c r="E118" s="316">
        <v>5000</v>
      </c>
      <c r="F118" s="488"/>
      <c r="G118" s="215"/>
      <c r="H118" s="217">
        <f t="shared" si="2"/>
        <v>79500</v>
      </c>
      <c r="I118" s="179" t="s">
        <v>581</v>
      </c>
      <c r="J118" s="179" t="s">
        <v>4216</v>
      </c>
      <c r="K118" s="174"/>
    </row>
    <row r="119" spans="1:11" ht="15.6">
      <c r="A119" s="342">
        <v>45966</v>
      </c>
      <c r="B119" s="179" t="s">
        <v>4171</v>
      </c>
      <c r="C119" s="179" t="s">
        <v>170</v>
      </c>
      <c r="D119" s="219" t="s">
        <v>116</v>
      </c>
      <c r="E119" s="316">
        <v>5000</v>
      </c>
      <c r="F119" s="488"/>
      <c r="G119" s="215"/>
      <c r="H119" s="217">
        <f t="shared" si="2"/>
        <v>84500</v>
      </c>
      <c r="I119" s="179" t="s">
        <v>581</v>
      </c>
      <c r="J119" s="179" t="s">
        <v>4216</v>
      </c>
      <c r="K119" s="174"/>
    </row>
    <row r="120" spans="1:11" ht="15.6">
      <c r="A120" s="342">
        <v>45966</v>
      </c>
      <c r="B120" s="179" t="s">
        <v>4172</v>
      </c>
      <c r="C120" s="179" t="s">
        <v>170</v>
      </c>
      <c r="D120" s="219" t="s">
        <v>116</v>
      </c>
      <c r="E120" s="316">
        <v>1000</v>
      </c>
      <c r="F120" s="488"/>
      <c r="G120" s="215"/>
      <c r="H120" s="217">
        <f t="shared" si="2"/>
        <v>85500</v>
      </c>
      <c r="I120" s="179" t="s">
        <v>581</v>
      </c>
      <c r="J120" s="179" t="s">
        <v>4216</v>
      </c>
      <c r="K120" s="174"/>
    </row>
    <row r="121" spans="1:11" ht="15.6">
      <c r="A121" s="342">
        <v>45966</v>
      </c>
      <c r="B121" s="179" t="s">
        <v>4173</v>
      </c>
      <c r="C121" s="179" t="s">
        <v>170</v>
      </c>
      <c r="D121" s="219" t="s">
        <v>116</v>
      </c>
      <c r="E121" s="316">
        <v>3500</v>
      </c>
      <c r="F121" s="488"/>
      <c r="G121" s="215"/>
      <c r="H121" s="217">
        <f t="shared" si="2"/>
        <v>89000</v>
      </c>
      <c r="I121" s="179" t="s">
        <v>581</v>
      </c>
      <c r="J121" s="179" t="s">
        <v>4216</v>
      </c>
      <c r="K121" s="174"/>
    </row>
    <row r="122" spans="1:11" ht="15.6">
      <c r="A122" s="342">
        <v>45966</v>
      </c>
      <c r="B122" s="179" t="s">
        <v>4165</v>
      </c>
      <c r="C122" s="179" t="s">
        <v>170</v>
      </c>
      <c r="D122" s="219" t="s">
        <v>116</v>
      </c>
      <c r="E122" s="316"/>
      <c r="F122" s="316">
        <v>25000</v>
      </c>
      <c r="G122" s="215"/>
      <c r="H122" s="217">
        <f t="shared" si="2"/>
        <v>64000</v>
      </c>
      <c r="I122" s="179" t="s">
        <v>581</v>
      </c>
      <c r="J122" s="179" t="s">
        <v>4216</v>
      </c>
      <c r="K122" s="174"/>
    </row>
    <row r="123" spans="1:11" ht="15.6">
      <c r="A123" s="342">
        <v>45966</v>
      </c>
      <c r="B123" s="179" t="s">
        <v>4166</v>
      </c>
      <c r="C123" s="179" t="s">
        <v>170</v>
      </c>
      <c r="D123" s="219" t="s">
        <v>116</v>
      </c>
      <c r="E123" s="316"/>
      <c r="F123" s="316">
        <v>3500</v>
      </c>
      <c r="G123" s="215"/>
      <c r="H123" s="217">
        <f t="shared" si="2"/>
        <v>60500</v>
      </c>
      <c r="I123" s="179" t="s">
        <v>581</v>
      </c>
      <c r="J123" s="179" t="s">
        <v>4216</v>
      </c>
      <c r="K123" s="174"/>
    </row>
    <row r="124" spans="1:11" ht="15.6">
      <c r="A124" s="342">
        <v>45966</v>
      </c>
      <c r="B124" s="179" t="s">
        <v>4167</v>
      </c>
      <c r="C124" s="179" t="s">
        <v>170</v>
      </c>
      <c r="D124" s="219" t="s">
        <v>116</v>
      </c>
      <c r="E124" s="316"/>
      <c r="F124" s="316">
        <v>34000</v>
      </c>
      <c r="G124" s="215"/>
      <c r="H124" s="217">
        <f t="shared" si="2"/>
        <v>26500</v>
      </c>
      <c r="I124" s="179" t="s">
        <v>581</v>
      </c>
      <c r="J124" s="179" t="s">
        <v>4216</v>
      </c>
      <c r="K124" s="174"/>
    </row>
    <row r="125" spans="1:11" ht="15.6">
      <c r="A125" s="342">
        <v>45966</v>
      </c>
      <c r="B125" s="179" t="s">
        <v>4168</v>
      </c>
      <c r="C125" s="179" t="s">
        <v>170</v>
      </c>
      <c r="D125" s="219" t="s">
        <v>116</v>
      </c>
      <c r="E125" s="316"/>
      <c r="F125" s="316">
        <v>7500</v>
      </c>
      <c r="G125" s="215"/>
      <c r="H125" s="217">
        <f t="shared" si="2"/>
        <v>19000</v>
      </c>
      <c r="I125" s="179" t="s">
        <v>581</v>
      </c>
      <c r="J125" s="179" t="s">
        <v>4216</v>
      </c>
      <c r="K125" s="174"/>
    </row>
    <row r="126" spans="1:11" ht="15.6">
      <c r="A126" s="342">
        <v>45966</v>
      </c>
      <c r="B126" s="179" t="s">
        <v>4169</v>
      </c>
      <c r="C126" s="179" t="s">
        <v>170</v>
      </c>
      <c r="D126" s="219" t="s">
        <v>116</v>
      </c>
      <c r="E126" s="316"/>
      <c r="F126" s="316">
        <v>1000</v>
      </c>
      <c r="G126" s="215"/>
      <c r="H126" s="217">
        <f t="shared" si="2"/>
        <v>18000</v>
      </c>
      <c r="I126" s="179" t="s">
        <v>581</v>
      </c>
      <c r="J126" s="179" t="s">
        <v>4216</v>
      </c>
      <c r="K126" s="174"/>
    </row>
    <row r="127" spans="1:11" ht="15.6">
      <c r="A127" s="342">
        <v>45966</v>
      </c>
      <c r="B127" s="179" t="s">
        <v>4170</v>
      </c>
      <c r="C127" s="179" t="s">
        <v>170</v>
      </c>
      <c r="D127" s="219" t="s">
        <v>116</v>
      </c>
      <c r="E127" s="316"/>
      <c r="F127" s="316">
        <v>5000</v>
      </c>
      <c r="G127" s="215"/>
      <c r="H127" s="217">
        <f t="shared" si="2"/>
        <v>13000</v>
      </c>
      <c r="I127" s="179" t="s">
        <v>581</v>
      </c>
      <c r="J127" s="179" t="s">
        <v>4216</v>
      </c>
      <c r="K127" s="174"/>
    </row>
    <row r="128" spans="1:11" ht="15.6">
      <c r="A128" s="342">
        <v>45966</v>
      </c>
      <c r="B128" s="179" t="s">
        <v>4171</v>
      </c>
      <c r="C128" s="179" t="s">
        <v>170</v>
      </c>
      <c r="D128" s="219" t="s">
        <v>116</v>
      </c>
      <c r="E128" s="316"/>
      <c r="F128" s="316">
        <v>5000</v>
      </c>
      <c r="G128" s="215"/>
      <c r="H128" s="217">
        <f t="shared" si="2"/>
        <v>8000</v>
      </c>
      <c r="I128" s="179" t="s">
        <v>581</v>
      </c>
      <c r="J128" s="179" t="s">
        <v>4216</v>
      </c>
      <c r="K128" s="174"/>
    </row>
    <row r="129" spans="1:11" ht="15.6">
      <c r="A129" s="342">
        <v>45966</v>
      </c>
      <c r="B129" s="179" t="s">
        <v>4172</v>
      </c>
      <c r="C129" s="179" t="s">
        <v>170</v>
      </c>
      <c r="D129" s="219" t="s">
        <v>116</v>
      </c>
      <c r="E129" s="316"/>
      <c r="F129" s="316">
        <v>1000</v>
      </c>
      <c r="G129" s="215"/>
      <c r="H129" s="217">
        <f t="shared" si="2"/>
        <v>7000</v>
      </c>
      <c r="I129" s="179" t="s">
        <v>581</v>
      </c>
      <c r="J129" s="179" t="s">
        <v>4216</v>
      </c>
      <c r="K129" s="174"/>
    </row>
    <row r="130" spans="1:11" ht="15.6">
      <c r="A130" s="342">
        <v>45966</v>
      </c>
      <c r="B130" s="179" t="s">
        <v>4173</v>
      </c>
      <c r="C130" s="179" t="s">
        <v>170</v>
      </c>
      <c r="D130" s="219" t="s">
        <v>116</v>
      </c>
      <c r="E130" s="316"/>
      <c r="F130" s="316">
        <v>3500</v>
      </c>
      <c r="G130" s="215"/>
      <c r="H130" s="217">
        <f t="shared" si="2"/>
        <v>3500</v>
      </c>
      <c r="I130" s="179" t="s">
        <v>581</v>
      </c>
      <c r="J130" s="179" t="s">
        <v>4216</v>
      </c>
      <c r="K130" s="174"/>
    </row>
    <row r="131" spans="1:11" ht="15.6">
      <c r="A131" s="477">
        <v>45966</v>
      </c>
      <c r="B131" s="219" t="s">
        <v>4174</v>
      </c>
      <c r="C131" s="219" t="s">
        <v>172</v>
      </c>
      <c r="D131" s="219" t="s">
        <v>116</v>
      </c>
      <c r="E131" s="487"/>
      <c r="F131" s="488">
        <v>1000</v>
      </c>
      <c r="G131" s="215"/>
      <c r="H131" s="217">
        <f t="shared" si="2"/>
        <v>2500</v>
      </c>
      <c r="I131" s="219" t="s">
        <v>581</v>
      </c>
      <c r="J131" s="219" t="s">
        <v>4213</v>
      </c>
      <c r="K131" s="174"/>
    </row>
    <row r="132" spans="1:11" ht="15.6">
      <c r="A132" s="477">
        <v>45966</v>
      </c>
      <c r="B132" s="219" t="s">
        <v>3382</v>
      </c>
      <c r="C132" s="219" t="s">
        <v>172</v>
      </c>
      <c r="D132" s="219" t="s">
        <v>116</v>
      </c>
      <c r="E132" s="487"/>
      <c r="F132" s="488">
        <v>1000</v>
      </c>
      <c r="G132" s="215"/>
      <c r="H132" s="217">
        <f t="shared" si="2"/>
        <v>1500</v>
      </c>
      <c r="I132" s="219" t="s">
        <v>581</v>
      </c>
      <c r="J132" s="219" t="s">
        <v>4213</v>
      </c>
      <c r="K132" s="174"/>
    </row>
    <row r="133" spans="1:11" ht="15.6">
      <c r="A133" s="477">
        <v>45966</v>
      </c>
      <c r="B133" s="219" t="s">
        <v>4175</v>
      </c>
      <c r="C133" s="219" t="s">
        <v>172</v>
      </c>
      <c r="D133" s="219" t="s">
        <v>116</v>
      </c>
      <c r="E133" s="487"/>
      <c r="F133" s="488">
        <v>1000</v>
      </c>
      <c r="G133" s="215"/>
      <c r="H133" s="217">
        <f t="shared" si="2"/>
        <v>500</v>
      </c>
      <c r="I133" s="219" t="s">
        <v>581</v>
      </c>
      <c r="J133" s="219" t="s">
        <v>4213</v>
      </c>
      <c r="K133" s="174"/>
    </row>
    <row r="134" spans="1:11" ht="15.6">
      <c r="A134" s="477">
        <v>45966</v>
      </c>
      <c r="B134" s="219" t="s">
        <v>4176</v>
      </c>
      <c r="C134" s="219" t="s">
        <v>172</v>
      </c>
      <c r="D134" s="219" t="s">
        <v>116</v>
      </c>
      <c r="E134" s="487"/>
      <c r="F134" s="488">
        <v>1000</v>
      </c>
      <c r="G134" s="215"/>
      <c r="H134" s="217">
        <f t="shared" si="2"/>
        <v>-500</v>
      </c>
      <c r="I134" s="219" t="s">
        <v>581</v>
      </c>
      <c r="J134" s="219" t="s">
        <v>4213</v>
      </c>
      <c r="K134" s="174"/>
    </row>
    <row r="135" spans="1:11" ht="15.6">
      <c r="A135" s="342">
        <v>45967</v>
      </c>
      <c r="B135" s="179" t="s">
        <v>4177</v>
      </c>
      <c r="C135" s="179" t="s">
        <v>170</v>
      </c>
      <c r="D135" s="219" t="s">
        <v>116</v>
      </c>
      <c r="E135" s="316">
        <v>11000</v>
      </c>
      <c r="F135" s="488"/>
      <c r="G135" s="215"/>
      <c r="H135" s="217">
        <f t="shared" si="2"/>
        <v>10500</v>
      </c>
      <c r="I135" s="179" t="s">
        <v>581</v>
      </c>
      <c r="J135" s="179" t="s">
        <v>4217</v>
      </c>
      <c r="K135" s="174"/>
    </row>
    <row r="136" spans="1:11" ht="15.6">
      <c r="A136" s="342">
        <v>45967</v>
      </c>
      <c r="B136" s="179" t="s">
        <v>4178</v>
      </c>
      <c r="C136" s="179" t="s">
        <v>170</v>
      </c>
      <c r="D136" s="219" t="s">
        <v>116</v>
      </c>
      <c r="E136" s="316">
        <v>5000</v>
      </c>
      <c r="F136" s="488"/>
      <c r="G136" s="215"/>
      <c r="H136" s="217">
        <f t="shared" si="2"/>
        <v>15500</v>
      </c>
      <c r="I136" s="179" t="s">
        <v>581</v>
      </c>
      <c r="J136" s="179" t="s">
        <v>4217</v>
      </c>
      <c r="K136" s="174"/>
    </row>
    <row r="137" spans="1:11" ht="15.6">
      <c r="A137" s="342">
        <v>45967</v>
      </c>
      <c r="B137" s="179" t="s">
        <v>4179</v>
      </c>
      <c r="C137" s="179" t="s">
        <v>170</v>
      </c>
      <c r="D137" s="219" t="s">
        <v>116</v>
      </c>
      <c r="E137" s="316">
        <v>2750</v>
      </c>
      <c r="F137" s="488"/>
      <c r="G137" s="215"/>
      <c r="H137" s="217">
        <f t="shared" si="2"/>
        <v>18250</v>
      </c>
      <c r="I137" s="179" t="s">
        <v>581</v>
      </c>
      <c r="J137" s="179" t="s">
        <v>4217</v>
      </c>
      <c r="K137" s="174"/>
    </row>
    <row r="138" spans="1:11" ht="15.6">
      <c r="A138" s="342">
        <v>45967</v>
      </c>
      <c r="B138" s="179" t="s">
        <v>4180</v>
      </c>
      <c r="C138" s="179" t="s">
        <v>170</v>
      </c>
      <c r="D138" s="219" t="s">
        <v>116</v>
      </c>
      <c r="E138" s="316">
        <v>11700</v>
      </c>
      <c r="F138" s="488"/>
      <c r="G138" s="215"/>
      <c r="H138" s="217">
        <f t="shared" si="2"/>
        <v>29950</v>
      </c>
      <c r="I138" s="179" t="s">
        <v>581</v>
      </c>
      <c r="J138" s="179" t="s">
        <v>4217</v>
      </c>
      <c r="K138" s="174"/>
    </row>
    <row r="139" spans="1:11" ht="15.6">
      <c r="A139" s="342">
        <v>45967</v>
      </c>
      <c r="B139" s="179" t="s">
        <v>4181</v>
      </c>
      <c r="C139" s="179" t="s">
        <v>170</v>
      </c>
      <c r="D139" s="219" t="s">
        <v>116</v>
      </c>
      <c r="E139" s="316">
        <v>4000</v>
      </c>
      <c r="F139" s="488"/>
      <c r="G139" s="215"/>
      <c r="H139" s="217">
        <f t="shared" si="2"/>
        <v>33950</v>
      </c>
      <c r="I139" s="179" t="s">
        <v>581</v>
      </c>
      <c r="J139" s="179" t="s">
        <v>4217</v>
      </c>
      <c r="K139" s="174"/>
    </row>
    <row r="140" spans="1:11" ht="15.6">
      <c r="A140" s="342">
        <v>45967</v>
      </c>
      <c r="B140" s="179" t="s">
        <v>4182</v>
      </c>
      <c r="C140" s="179" t="s">
        <v>170</v>
      </c>
      <c r="D140" s="219" t="s">
        <v>116</v>
      </c>
      <c r="E140" s="316">
        <v>3000</v>
      </c>
      <c r="F140" s="488"/>
      <c r="G140" s="215"/>
      <c r="H140" s="217">
        <f t="shared" si="2"/>
        <v>36950</v>
      </c>
      <c r="I140" s="179" t="s">
        <v>581</v>
      </c>
      <c r="J140" s="179" t="s">
        <v>4217</v>
      </c>
      <c r="K140" s="174"/>
    </row>
    <row r="141" spans="1:11" ht="15.6">
      <c r="A141" s="342">
        <v>45967</v>
      </c>
      <c r="B141" s="179" t="s">
        <v>4183</v>
      </c>
      <c r="C141" s="179" t="s">
        <v>170</v>
      </c>
      <c r="D141" s="219" t="s">
        <v>116</v>
      </c>
      <c r="E141" s="316">
        <v>2750</v>
      </c>
      <c r="F141" s="488"/>
      <c r="G141" s="215"/>
      <c r="H141" s="217">
        <f t="shared" si="2"/>
        <v>39700</v>
      </c>
      <c r="I141" s="179" t="s">
        <v>581</v>
      </c>
      <c r="J141" s="179" t="s">
        <v>4217</v>
      </c>
      <c r="K141" s="174"/>
    </row>
    <row r="142" spans="1:11" ht="15.6">
      <c r="A142" s="342">
        <v>45967</v>
      </c>
      <c r="B142" s="179" t="s">
        <v>4184</v>
      </c>
      <c r="C142" s="179" t="s">
        <v>170</v>
      </c>
      <c r="D142" s="219" t="s">
        <v>116</v>
      </c>
      <c r="E142" s="316">
        <v>1500</v>
      </c>
      <c r="F142" s="488"/>
      <c r="G142" s="215"/>
      <c r="H142" s="217">
        <f t="shared" si="2"/>
        <v>41200</v>
      </c>
      <c r="I142" s="179" t="s">
        <v>581</v>
      </c>
      <c r="J142" s="179" t="s">
        <v>4217</v>
      </c>
      <c r="K142" s="174"/>
    </row>
    <row r="143" spans="1:11" ht="15.6">
      <c r="A143" s="342">
        <v>45967</v>
      </c>
      <c r="B143" s="179" t="s">
        <v>4185</v>
      </c>
      <c r="C143" s="179" t="s">
        <v>170</v>
      </c>
      <c r="D143" s="219" t="s">
        <v>116</v>
      </c>
      <c r="E143" s="316">
        <v>2000</v>
      </c>
      <c r="F143" s="488"/>
      <c r="G143" s="215"/>
      <c r="H143" s="217">
        <f t="shared" si="2"/>
        <v>43200</v>
      </c>
      <c r="I143" s="179" t="s">
        <v>581</v>
      </c>
      <c r="J143" s="179" t="s">
        <v>4217</v>
      </c>
      <c r="K143" s="174"/>
    </row>
    <row r="144" spans="1:11" ht="15.6">
      <c r="A144" s="342">
        <v>45967</v>
      </c>
      <c r="B144" s="179" t="s">
        <v>4186</v>
      </c>
      <c r="C144" s="179" t="s">
        <v>170</v>
      </c>
      <c r="D144" s="219" t="s">
        <v>116</v>
      </c>
      <c r="E144" s="316">
        <v>3700</v>
      </c>
      <c r="F144" s="488"/>
      <c r="G144" s="215"/>
      <c r="H144" s="217">
        <f t="shared" si="2"/>
        <v>46900</v>
      </c>
      <c r="I144" s="179" t="s">
        <v>581</v>
      </c>
      <c r="J144" s="179" t="s">
        <v>4217</v>
      </c>
      <c r="K144" s="174"/>
    </row>
    <row r="145" spans="1:11" ht="15.6">
      <c r="A145" s="342">
        <v>45967</v>
      </c>
      <c r="B145" s="179" t="s">
        <v>4187</v>
      </c>
      <c r="C145" s="179" t="s">
        <v>170</v>
      </c>
      <c r="D145" s="219" t="s">
        <v>116</v>
      </c>
      <c r="E145" s="316">
        <v>3750</v>
      </c>
      <c r="F145" s="488"/>
      <c r="G145" s="215"/>
      <c r="H145" s="217">
        <f t="shared" si="2"/>
        <v>50650</v>
      </c>
      <c r="I145" s="179" t="s">
        <v>581</v>
      </c>
      <c r="J145" s="179" t="s">
        <v>4217</v>
      </c>
      <c r="K145" s="174"/>
    </row>
    <row r="146" spans="1:11" ht="15.6">
      <c r="A146" s="342">
        <v>45967</v>
      </c>
      <c r="B146" s="179" t="s">
        <v>4188</v>
      </c>
      <c r="C146" s="179" t="s">
        <v>170</v>
      </c>
      <c r="D146" s="219" t="s">
        <v>116</v>
      </c>
      <c r="E146" s="316">
        <v>8750</v>
      </c>
      <c r="F146" s="488"/>
      <c r="G146" s="215"/>
      <c r="H146" s="217">
        <f t="shared" si="2"/>
        <v>59400</v>
      </c>
      <c r="I146" s="179" t="s">
        <v>581</v>
      </c>
      <c r="J146" s="179" t="s">
        <v>4217</v>
      </c>
      <c r="K146" s="174"/>
    </row>
    <row r="147" spans="1:11" ht="15.6">
      <c r="A147" s="342">
        <v>45967</v>
      </c>
      <c r="B147" s="179" t="s">
        <v>4189</v>
      </c>
      <c r="C147" s="179" t="s">
        <v>170</v>
      </c>
      <c r="D147" s="219" t="s">
        <v>116</v>
      </c>
      <c r="E147" s="316">
        <v>1750</v>
      </c>
      <c r="F147" s="488"/>
      <c r="G147" s="215"/>
      <c r="H147" s="217">
        <f t="shared" si="2"/>
        <v>61150</v>
      </c>
      <c r="I147" s="179" t="s">
        <v>581</v>
      </c>
      <c r="J147" s="179" t="s">
        <v>4217</v>
      </c>
      <c r="K147" s="174"/>
    </row>
    <row r="148" spans="1:11" ht="15.6">
      <c r="A148" s="342">
        <v>45967</v>
      </c>
      <c r="B148" s="179" t="s">
        <v>4177</v>
      </c>
      <c r="C148" s="179" t="s">
        <v>170</v>
      </c>
      <c r="D148" s="219" t="s">
        <v>116</v>
      </c>
      <c r="E148" s="316"/>
      <c r="F148" s="316">
        <v>11000</v>
      </c>
      <c r="G148" s="215"/>
      <c r="H148" s="217">
        <f t="shared" si="2"/>
        <v>50150</v>
      </c>
      <c r="I148" s="179" t="s">
        <v>581</v>
      </c>
      <c r="J148" s="179" t="s">
        <v>4217</v>
      </c>
      <c r="K148" s="174"/>
    </row>
    <row r="149" spans="1:11" ht="15.6">
      <c r="A149" s="342">
        <v>45967</v>
      </c>
      <c r="B149" s="179" t="s">
        <v>4178</v>
      </c>
      <c r="C149" s="179" t="s">
        <v>170</v>
      </c>
      <c r="D149" s="219" t="s">
        <v>116</v>
      </c>
      <c r="E149" s="316"/>
      <c r="F149" s="316">
        <v>5000</v>
      </c>
      <c r="G149" s="215"/>
      <c r="H149" s="217">
        <f t="shared" si="2"/>
        <v>45150</v>
      </c>
      <c r="I149" s="179" t="s">
        <v>581</v>
      </c>
      <c r="J149" s="179" t="s">
        <v>4217</v>
      </c>
      <c r="K149" s="174"/>
    </row>
    <row r="150" spans="1:11" ht="15.6">
      <c r="A150" s="342">
        <v>45967</v>
      </c>
      <c r="B150" s="179" t="s">
        <v>4179</v>
      </c>
      <c r="C150" s="179" t="s">
        <v>170</v>
      </c>
      <c r="D150" s="219" t="s">
        <v>116</v>
      </c>
      <c r="E150" s="316"/>
      <c r="F150" s="316">
        <v>2750</v>
      </c>
      <c r="G150" s="215"/>
      <c r="H150" s="217">
        <f t="shared" si="2"/>
        <v>42400</v>
      </c>
      <c r="I150" s="179" t="s">
        <v>581</v>
      </c>
      <c r="J150" s="179" t="s">
        <v>4217</v>
      </c>
      <c r="K150" s="174"/>
    </row>
    <row r="151" spans="1:11" ht="15.6">
      <c r="A151" s="342">
        <v>45967</v>
      </c>
      <c r="B151" s="179" t="s">
        <v>4180</v>
      </c>
      <c r="C151" s="179" t="s">
        <v>170</v>
      </c>
      <c r="D151" s="219" t="s">
        <v>116</v>
      </c>
      <c r="E151" s="316"/>
      <c r="F151" s="316">
        <v>11700</v>
      </c>
      <c r="G151" s="215"/>
      <c r="H151" s="217">
        <f t="shared" si="2"/>
        <v>30700</v>
      </c>
      <c r="I151" s="179" t="s">
        <v>581</v>
      </c>
      <c r="J151" s="179" t="s">
        <v>4217</v>
      </c>
      <c r="K151" s="174"/>
    </row>
    <row r="152" spans="1:11" ht="15.6">
      <c r="A152" s="342">
        <v>45967</v>
      </c>
      <c r="B152" s="179" t="s">
        <v>4181</v>
      </c>
      <c r="C152" s="179" t="s">
        <v>170</v>
      </c>
      <c r="D152" s="219" t="s">
        <v>116</v>
      </c>
      <c r="E152" s="316"/>
      <c r="F152" s="316">
        <v>4000</v>
      </c>
      <c r="G152" s="215"/>
      <c r="H152" s="217">
        <f t="shared" si="2"/>
        <v>26700</v>
      </c>
      <c r="I152" s="179" t="s">
        <v>581</v>
      </c>
      <c r="J152" s="179" t="s">
        <v>4217</v>
      </c>
      <c r="K152" s="174"/>
    </row>
    <row r="153" spans="1:11" ht="15.6">
      <c r="A153" s="342">
        <v>45967</v>
      </c>
      <c r="B153" s="179" t="s">
        <v>4182</v>
      </c>
      <c r="C153" s="179" t="s">
        <v>170</v>
      </c>
      <c r="D153" s="219" t="s">
        <v>116</v>
      </c>
      <c r="E153" s="316"/>
      <c r="F153" s="316">
        <v>3000</v>
      </c>
      <c r="G153" s="215"/>
      <c r="H153" s="217">
        <f t="shared" si="2"/>
        <v>23700</v>
      </c>
      <c r="I153" s="179" t="s">
        <v>581</v>
      </c>
      <c r="J153" s="179" t="s">
        <v>4217</v>
      </c>
      <c r="K153" s="174"/>
    </row>
    <row r="154" spans="1:11" ht="15.6">
      <c r="A154" s="342">
        <v>45967</v>
      </c>
      <c r="B154" s="179" t="s">
        <v>4183</v>
      </c>
      <c r="C154" s="179" t="s">
        <v>170</v>
      </c>
      <c r="D154" s="219" t="s">
        <v>116</v>
      </c>
      <c r="E154" s="316"/>
      <c r="F154" s="316">
        <v>2750</v>
      </c>
      <c r="G154" s="215"/>
      <c r="H154" s="217">
        <f t="shared" si="2"/>
        <v>20950</v>
      </c>
      <c r="I154" s="179" t="s">
        <v>581</v>
      </c>
      <c r="J154" s="179" t="s">
        <v>4217</v>
      </c>
      <c r="K154" s="174"/>
    </row>
    <row r="155" spans="1:11" ht="15.6">
      <c r="A155" s="342">
        <v>45967</v>
      </c>
      <c r="B155" s="179" t="s">
        <v>4184</v>
      </c>
      <c r="C155" s="179" t="s">
        <v>170</v>
      </c>
      <c r="D155" s="219" t="s">
        <v>116</v>
      </c>
      <c r="E155" s="316"/>
      <c r="F155" s="316">
        <v>1500</v>
      </c>
      <c r="G155" s="215"/>
      <c r="H155" s="217">
        <f t="shared" si="2"/>
        <v>19450</v>
      </c>
      <c r="I155" s="179" t="s">
        <v>581</v>
      </c>
      <c r="J155" s="179" t="s">
        <v>4217</v>
      </c>
      <c r="K155" s="174"/>
    </row>
    <row r="156" spans="1:11" ht="15.6">
      <c r="A156" s="342">
        <v>45967</v>
      </c>
      <c r="B156" s="179" t="s">
        <v>4185</v>
      </c>
      <c r="C156" s="179" t="s">
        <v>170</v>
      </c>
      <c r="D156" s="219" t="s">
        <v>116</v>
      </c>
      <c r="E156" s="316"/>
      <c r="F156" s="316">
        <v>2000</v>
      </c>
      <c r="G156" s="215"/>
      <c r="H156" s="217">
        <f t="shared" si="2"/>
        <v>17450</v>
      </c>
      <c r="I156" s="179" t="s">
        <v>581</v>
      </c>
      <c r="J156" s="179" t="s">
        <v>4217</v>
      </c>
      <c r="K156" s="174"/>
    </row>
    <row r="157" spans="1:11" ht="15.6">
      <c r="A157" s="342">
        <v>45967</v>
      </c>
      <c r="B157" s="179" t="s">
        <v>4186</v>
      </c>
      <c r="C157" s="179" t="s">
        <v>170</v>
      </c>
      <c r="D157" s="219" t="s">
        <v>116</v>
      </c>
      <c r="E157" s="316"/>
      <c r="F157" s="316">
        <v>3700</v>
      </c>
      <c r="G157" s="215"/>
      <c r="H157" s="217">
        <f t="shared" si="2"/>
        <v>13750</v>
      </c>
      <c r="I157" s="179" t="s">
        <v>581</v>
      </c>
      <c r="J157" s="179" t="s">
        <v>4217</v>
      </c>
      <c r="K157" s="174"/>
    </row>
    <row r="158" spans="1:11" ht="15.6">
      <c r="A158" s="342">
        <v>45967</v>
      </c>
      <c r="B158" s="179" t="s">
        <v>4187</v>
      </c>
      <c r="C158" s="179" t="s">
        <v>170</v>
      </c>
      <c r="D158" s="219" t="s">
        <v>116</v>
      </c>
      <c r="E158" s="316"/>
      <c r="F158" s="316">
        <v>3750</v>
      </c>
      <c r="G158" s="215"/>
      <c r="H158" s="217">
        <f t="shared" si="2"/>
        <v>10000</v>
      </c>
      <c r="I158" s="179" t="s">
        <v>581</v>
      </c>
      <c r="J158" s="179" t="s">
        <v>4217</v>
      </c>
      <c r="K158" s="174"/>
    </row>
    <row r="159" spans="1:11" ht="15.6">
      <c r="A159" s="342">
        <v>45967</v>
      </c>
      <c r="B159" s="179" t="s">
        <v>4188</v>
      </c>
      <c r="C159" s="179" t="s">
        <v>170</v>
      </c>
      <c r="D159" s="219" t="s">
        <v>116</v>
      </c>
      <c r="E159" s="316"/>
      <c r="F159" s="316">
        <v>8750</v>
      </c>
      <c r="G159" s="215"/>
      <c r="H159" s="217">
        <f t="shared" si="2"/>
        <v>1250</v>
      </c>
      <c r="I159" s="179" t="s">
        <v>581</v>
      </c>
      <c r="J159" s="179" t="s">
        <v>4217</v>
      </c>
      <c r="K159" s="174"/>
    </row>
    <row r="160" spans="1:11" ht="15.6">
      <c r="A160" s="342">
        <v>45967</v>
      </c>
      <c r="B160" s="179" t="s">
        <v>4189</v>
      </c>
      <c r="C160" s="179" t="s">
        <v>170</v>
      </c>
      <c r="D160" s="219" t="s">
        <v>116</v>
      </c>
      <c r="E160" s="316"/>
      <c r="F160" s="316">
        <v>1750</v>
      </c>
      <c r="G160" s="215"/>
      <c r="H160" s="217">
        <f t="shared" si="2"/>
        <v>-500</v>
      </c>
      <c r="I160" s="179" t="s">
        <v>581</v>
      </c>
      <c r="J160" s="179" t="s">
        <v>4217</v>
      </c>
      <c r="K160" s="174"/>
    </row>
    <row r="161" spans="1:11" ht="15.6">
      <c r="A161" s="477">
        <v>45967</v>
      </c>
      <c r="B161" s="219" t="s">
        <v>4190</v>
      </c>
      <c r="C161" s="219" t="s">
        <v>172</v>
      </c>
      <c r="D161" s="219" t="s">
        <v>116</v>
      </c>
      <c r="E161" s="487"/>
      <c r="F161" s="488">
        <v>1000</v>
      </c>
      <c r="G161" s="215"/>
      <c r="H161" s="217">
        <f t="shared" si="2"/>
        <v>-1500</v>
      </c>
      <c r="I161" s="219" t="s">
        <v>581</v>
      </c>
      <c r="J161" s="219" t="s">
        <v>4213</v>
      </c>
      <c r="K161" s="174"/>
    </row>
    <row r="162" spans="1:11" ht="15.6">
      <c r="A162" s="477">
        <v>45967</v>
      </c>
      <c r="B162" s="219" t="s">
        <v>4191</v>
      </c>
      <c r="C162" s="219" t="s">
        <v>172</v>
      </c>
      <c r="D162" s="219" t="s">
        <v>116</v>
      </c>
      <c r="E162" s="487"/>
      <c r="F162" s="488">
        <v>1000</v>
      </c>
      <c r="G162" s="215"/>
      <c r="H162" s="217">
        <f t="shared" si="2"/>
        <v>-2500</v>
      </c>
      <c r="I162" s="219" t="s">
        <v>581</v>
      </c>
      <c r="J162" s="219" t="s">
        <v>4213</v>
      </c>
      <c r="K162" s="174"/>
    </row>
    <row r="163" spans="1:11" ht="15.6">
      <c r="A163" s="477">
        <v>45968</v>
      </c>
      <c r="B163" s="219" t="s">
        <v>4192</v>
      </c>
      <c r="C163" s="219" t="s">
        <v>172</v>
      </c>
      <c r="D163" s="219" t="s">
        <v>116</v>
      </c>
      <c r="E163" s="487"/>
      <c r="F163" s="488">
        <v>1000</v>
      </c>
      <c r="G163" s="215"/>
      <c r="H163" s="217">
        <f t="shared" si="2"/>
        <v>-3500</v>
      </c>
      <c r="I163" s="219" t="s">
        <v>581</v>
      </c>
      <c r="J163" s="219" t="s">
        <v>4213</v>
      </c>
      <c r="K163" s="174"/>
    </row>
    <row r="164" spans="1:11" ht="15.6">
      <c r="A164" s="477">
        <v>45969</v>
      </c>
      <c r="B164" s="219" t="s">
        <v>4193</v>
      </c>
      <c r="C164" s="219" t="s">
        <v>172</v>
      </c>
      <c r="D164" s="219" t="s">
        <v>116</v>
      </c>
      <c r="E164" s="487"/>
      <c r="F164" s="488">
        <v>1000</v>
      </c>
      <c r="G164" s="215"/>
      <c r="H164" s="217">
        <f t="shared" si="2"/>
        <v>-4500</v>
      </c>
      <c r="I164" s="219" t="s">
        <v>581</v>
      </c>
      <c r="J164" s="219" t="s">
        <v>4213</v>
      </c>
      <c r="K164" s="174"/>
    </row>
    <row r="165" spans="1:11" ht="15.6">
      <c r="A165" s="477">
        <v>45969</v>
      </c>
      <c r="B165" s="219" t="s">
        <v>4194</v>
      </c>
      <c r="C165" s="219" t="s">
        <v>172</v>
      </c>
      <c r="D165" s="219" t="s">
        <v>116</v>
      </c>
      <c r="E165" s="487"/>
      <c r="F165" s="488">
        <v>1000</v>
      </c>
      <c r="G165" s="215"/>
      <c r="H165" s="217">
        <f t="shared" si="2"/>
        <v>-5500</v>
      </c>
      <c r="I165" s="219" t="s">
        <v>581</v>
      </c>
      <c r="J165" s="219" t="s">
        <v>4213</v>
      </c>
      <c r="K165" s="174"/>
    </row>
    <row r="166" spans="1:11" ht="15.6">
      <c r="A166" s="477">
        <v>45971</v>
      </c>
      <c r="B166" s="219" t="s">
        <v>3405</v>
      </c>
      <c r="C166" s="219" t="s">
        <v>172</v>
      </c>
      <c r="D166" s="219" t="s">
        <v>116</v>
      </c>
      <c r="E166" s="487"/>
      <c r="F166" s="488">
        <v>1000</v>
      </c>
      <c r="G166" s="215"/>
      <c r="H166" s="217">
        <f t="shared" si="2"/>
        <v>-6500</v>
      </c>
      <c r="I166" s="219" t="s">
        <v>581</v>
      </c>
      <c r="J166" s="219" t="s">
        <v>4213</v>
      </c>
      <c r="K166" s="174"/>
    </row>
    <row r="167" spans="1:11" ht="15.6">
      <c r="A167" s="477">
        <v>45971</v>
      </c>
      <c r="B167" s="219" t="s">
        <v>3406</v>
      </c>
      <c r="C167" s="219" t="s">
        <v>172</v>
      </c>
      <c r="D167" s="219" t="s">
        <v>116</v>
      </c>
      <c r="E167" s="487"/>
      <c r="F167" s="488">
        <v>1000</v>
      </c>
      <c r="G167" s="215"/>
      <c r="H167" s="217">
        <f t="shared" si="2"/>
        <v>-7500</v>
      </c>
      <c r="I167" s="219" t="s">
        <v>581</v>
      </c>
      <c r="J167" s="219" t="s">
        <v>4213</v>
      </c>
      <c r="K167" s="174"/>
    </row>
    <row r="168" spans="1:11" ht="15.6">
      <c r="A168" s="477">
        <v>45971</v>
      </c>
      <c r="B168" s="219" t="s">
        <v>4195</v>
      </c>
      <c r="C168" s="219" t="s">
        <v>172</v>
      </c>
      <c r="D168" s="219" t="s">
        <v>116</v>
      </c>
      <c r="E168" s="487"/>
      <c r="F168" s="488">
        <v>1000</v>
      </c>
      <c r="G168" s="215"/>
      <c r="H168" s="217">
        <f t="shared" si="2"/>
        <v>-8500</v>
      </c>
      <c r="I168" s="219" t="s">
        <v>581</v>
      </c>
      <c r="J168" s="219" t="s">
        <v>4213</v>
      </c>
      <c r="K168" s="174"/>
    </row>
    <row r="169" spans="1:11" ht="15.6">
      <c r="A169" s="477">
        <v>45971</v>
      </c>
      <c r="B169" s="219" t="s">
        <v>4196</v>
      </c>
      <c r="C169" s="242" t="s">
        <v>150</v>
      </c>
      <c r="D169" s="219" t="s">
        <v>117</v>
      </c>
      <c r="E169" s="487">
        <v>7500</v>
      </c>
      <c r="F169" s="488"/>
      <c r="G169" s="215"/>
      <c r="H169" s="217">
        <f t="shared" ref="H169:H210" si="3">+H168+E169-F169</f>
        <v>-1000</v>
      </c>
      <c r="I169" s="219" t="s">
        <v>581</v>
      </c>
      <c r="J169" s="219" t="s">
        <v>4218</v>
      </c>
      <c r="K169" s="174"/>
    </row>
    <row r="170" spans="1:11" ht="15.6">
      <c r="A170" s="477">
        <v>45971</v>
      </c>
      <c r="B170" s="219" t="s">
        <v>4196</v>
      </c>
      <c r="C170" s="242" t="s">
        <v>150</v>
      </c>
      <c r="D170" s="219" t="s">
        <v>117</v>
      </c>
      <c r="E170" s="487"/>
      <c r="F170" s="488">
        <v>7500</v>
      </c>
      <c r="G170" s="215"/>
      <c r="H170" s="217">
        <f t="shared" si="3"/>
        <v>-8500</v>
      </c>
      <c r="I170" s="219" t="s">
        <v>581</v>
      </c>
      <c r="J170" s="219" t="s">
        <v>4218</v>
      </c>
      <c r="K170" s="174"/>
    </row>
    <row r="171" spans="1:11" ht="15.6">
      <c r="A171" s="477">
        <v>45973</v>
      </c>
      <c r="B171" s="219" t="s">
        <v>647</v>
      </c>
      <c r="C171" s="489" t="s">
        <v>122</v>
      </c>
      <c r="D171" s="219" t="s">
        <v>116</v>
      </c>
      <c r="E171" s="487">
        <v>20000</v>
      </c>
      <c r="F171" s="488"/>
      <c r="G171" s="215"/>
      <c r="H171" s="217">
        <f t="shared" si="3"/>
        <v>11500</v>
      </c>
      <c r="I171" s="219" t="s">
        <v>581</v>
      </c>
      <c r="J171" s="219" t="s">
        <v>4219</v>
      </c>
      <c r="K171" s="174"/>
    </row>
    <row r="172" spans="1:11" ht="15.6">
      <c r="A172" s="477">
        <v>45974</v>
      </c>
      <c r="B172" s="219" t="s">
        <v>4197</v>
      </c>
      <c r="C172" s="219" t="s">
        <v>172</v>
      </c>
      <c r="D172" s="219" t="s">
        <v>116</v>
      </c>
      <c r="E172" s="487"/>
      <c r="F172" s="488">
        <v>1000</v>
      </c>
      <c r="G172" s="215"/>
      <c r="H172" s="217">
        <f t="shared" si="3"/>
        <v>10500</v>
      </c>
      <c r="I172" s="219" t="s">
        <v>581</v>
      </c>
      <c r="J172" s="219" t="s">
        <v>4213</v>
      </c>
      <c r="K172" s="174"/>
    </row>
    <row r="173" spans="1:11" ht="15.6">
      <c r="A173" s="477">
        <v>45978</v>
      </c>
      <c r="B173" s="219" t="s">
        <v>4198</v>
      </c>
      <c r="C173" s="219" t="s">
        <v>172</v>
      </c>
      <c r="D173" s="219" t="s">
        <v>116</v>
      </c>
      <c r="E173" s="487"/>
      <c r="F173" s="488">
        <v>1000</v>
      </c>
      <c r="G173" s="215"/>
      <c r="H173" s="217">
        <f t="shared" si="3"/>
        <v>9500</v>
      </c>
      <c r="I173" s="219" t="s">
        <v>581</v>
      </c>
      <c r="J173" s="219" t="s">
        <v>4213</v>
      </c>
      <c r="K173" s="174"/>
    </row>
    <row r="174" spans="1:11" ht="15.6">
      <c r="A174" s="477">
        <v>45978</v>
      </c>
      <c r="B174" s="219" t="s">
        <v>3405</v>
      </c>
      <c r="C174" s="219" t="s">
        <v>172</v>
      </c>
      <c r="D174" s="219" t="s">
        <v>116</v>
      </c>
      <c r="E174" s="487"/>
      <c r="F174" s="488">
        <v>500</v>
      </c>
      <c r="G174" s="215"/>
      <c r="H174" s="217">
        <f t="shared" si="3"/>
        <v>9000</v>
      </c>
      <c r="I174" s="219" t="s">
        <v>581</v>
      </c>
      <c r="J174" s="219" t="s">
        <v>4213</v>
      </c>
      <c r="K174" s="174"/>
    </row>
    <row r="175" spans="1:11" ht="15.6">
      <c r="A175" s="477">
        <v>45978</v>
      </c>
      <c r="B175" s="219" t="s">
        <v>3406</v>
      </c>
      <c r="C175" s="219" t="s">
        <v>172</v>
      </c>
      <c r="D175" s="219" t="s">
        <v>116</v>
      </c>
      <c r="E175" s="487"/>
      <c r="F175" s="488">
        <v>1000</v>
      </c>
      <c r="G175" s="215"/>
      <c r="H175" s="217">
        <f t="shared" si="3"/>
        <v>8000</v>
      </c>
      <c r="I175" s="219" t="s">
        <v>581</v>
      </c>
      <c r="J175" s="219" t="s">
        <v>4213</v>
      </c>
      <c r="K175" s="174"/>
    </row>
    <row r="176" spans="1:11" ht="15.6">
      <c r="A176" s="477">
        <v>45978</v>
      </c>
      <c r="B176" s="219" t="s">
        <v>4199</v>
      </c>
      <c r="C176" s="242" t="s">
        <v>150</v>
      </c>
      <c r="D176" s="219" t="s">
        <v>117</v>
      </c>
      <c r="E176" s="487">
        <v>7500</v>
      </c>
      <c r="F176" s="488"/>
      <c r="G176" s="215"/>
      <c r="H176" s="217">
        <f t="shared" si="3"/>
        <v>15500</v>
      </c>
      <c r="I176" s="219" t="s">
        <v>581</v>
      </c>
      <c r="J176" s="219" t="s">
        <v>4220</v>
      </c>
      <c r="K176" s="174"/>
    </row>
    <row r="177" spans="1:11" ht="15.6">
      <c r="A177" s="477">
        <v>45978</v>
      </c>
      <c r="B177" s="219" t="s">
        <v>4199</v>
      </c>
      <c r="C177" s="242" t="s">
        <v>150</v>
      </c>
      <c r="D177" s="219" t="s">
        <v>117</v>
      </c>
      <c r="E177" s="487"/>
      <c r="F177" s="488">
        <v>7500</v>
      </c>
      <c r="G177" s="215"/>
      <c r="H177" s="217">
        <f t="shared" si="3"/>
        <v>8000</v>
      </c>
      <c r="I177" s="219" t="s">
        <v>581</v>
      </c>
      <c r="J177" s="219" t="s">
        <v>4220</v>
      </c>
      <c r="K177" s="174"/>
    </row>
    <row r="178" spans="1:11" ht="15.6">
      <c r="A178" s="342">
        <v>45978</v>
      </c>
      <c r="B178" s="179" t="s">
        <v>4200</v>
      </c>
      <c r="C178" s="219" t="s">
        <v>180</v>
      </c>
      <c r="D178" s="219" t="s">
        <v>116</v>
      </c>
      <c r="E178" s="316">
        <v>5495</v>
      </c>
      <c r="F178" s="488"/>
      <c r="G178" s="215"/>
      <c r="H178" s="217">
        <f t="shared" si="3"/>
        <v>13495</v>
      </c>
      <c r="I178" s="219" t="s">
        <v>581</v>
      </c>
      <c r="J178" s="179" t="s">
        <v>4221</v>
      </c>
      <c r="K178" s="174"/>
    </row>
    <row r="179" spans="1:11" ht="15.6">
      <c r="A179" s="342">
        <v>45978</v>
      </c>
      <c r="B179" s="179" t="s">
        <v>4200</v>
      </c>
      <c r="C179" s="219" t="s">
        <v>180</v>
      </c>
      <c r="D179" s="219" t="s">
        <v>116</v>
      </c>
      <c r="E179" s="487"/>
      <c r="F179" s="316">
        <v>5495</v>
      </c>
      <c r="G179" s="215"/>
      <c r="H179" s="217">
        <f t="shared" si="3"/>
        <v>8000</v>
      </c>
      <c r="I179" s="219" t="s">
        <v>581</v>
      </c>
      <c r="J179" s="179" t="s">
        <v>4221</v>
      </c>
      <c r="K179" s="174"/>
    </row>
    <row r="180" spans="1:11" ht="15.6">
      <c r="A180" s="342">
        <v>45979</v>
      </c>
      <c r="B180" s="179" t="s">
        <v>2162</v>
      </c>
      <c r="C180" s="319" t="s">
        <v>121</v>
      </c>
      <c r="D180" s="219" t="s">
        <v>115</v>
      </c>
      <c r="E180" s="316">
        <v>115000</v>
      </c>
      <c r="F180" s="488"/>
      <c r="G180" s="215"/>
      <c r="H180" s="217">
        <f t="shared" si="3"/>
        <v>123000</v>
      </c>
      <c r="I180" s="219" t="s">
        <v>581</v>
      </c>
      <c r="J180" s="179" t="s">
        <v>4222</v>
      </c>
      <c r="K180" s="174"/>
    </row>
    <row r="181" spans="1:11" ht="15.6">
      <c r="A181" s="342">
        <v>45979</v>
      </c>
      <c r="B181" s="179" t="s">
        <v>2162</v>
      </c>
      <c r="C181" s="319" t="s">
        <v>121</v>
      </c>
      <c r="D181" s="219" t="s">
        <v>115</v>
      </c>
      <c r="E181" s="487"/>
      <c r="F181" s="316">
        <v>115000</v>
      </c>
      <c r="G181" s="215"/>
      <c r="H181" s="217">
        <f t="shared" si="3"/>
        <v>8000</v>
      </c>
      <c r="I181" s="219" t="s">
        <v>581</v>
      </c>
      <c r="J181" s="179" t="s">
        <v>4222</v>
      </c>
      <c r="K181" s="174"/>
    </row>
    <row r="182" spans="1:11" ht="15.6">
      <c r="A182" s="477">
        <v>45979</v>
      </c>
      <c r="B182" s="219" t="s">
        <v>4198</v>
      </c>
      <c r="C182" s="219" t="s">
        <v>172</v>
      </c>
      <c r="D182" s="219" t="s">
        <v>116</v>
      </c>
      <c r="E182" s="487"/>
      <c r="F182" s="488">
        <v>1000</v>
      </c>
      <c r="G182" s="215"/>
      <c r="H182" s="217">
        <f t="shared" si="3"/>
        <v>7000</v>
      </c>
      <c r="I182" s="219" t="s">
        <v>581</v>
      </c>
      <c r="J182" s="219" t="s">
        <v>4213</v>
      </c>
      <c r="K182" s="174"/>
    </row>
    <row r="183" spans="1:11" ht="15.6">
      <c r="A183" s="477">
        <v>45979</v>
      </c>
      <c r="B183" s="219" t="s">
        <v>4201</v>
      </c>
      <c r="C183" s="219" t="s">
        <v>172</v>
      </c>
      <c r="D183" s="219" t="s">
        <v>116</v>
      </c>
      <c r="E183" s="487"/>
      <c r="F183" s="488">
        <v>1000</v>
      </c>
      <c r="G183" s="215"/>
      <c r="H183" s="217">
        <f t="shared" si="3"/>
        <v>6000</v>
      </c>
      <c r="I183" s="219" t="s">
        <v>581</v>
      </c>
      <c r="J183" s="219" t="s">
        <v>4213</v>
      </c>
      <c r="K183" s="174"/>
    </row>
    <row r="184" spans="1:11" ht="15.6">
      <c r="A184" s="477">
        <v>45979</v>
      </c>
      <c r="B184" s="219" t="s">
        <v>4202</v>
      </c>
      <c r="C184" s="219" t="s">
        <v>172</v>
      </c>
      <c r="D184" s="219" t="s">
        <v>116</v>
      </c>
      <c r="E184" s="487"/>
      <c r="F184" s="488">
        <v>1000</v>
      </c>
      <c r="G184" s="215"/>
      <c r="H184" s="217">
        <f t="shared" si="3"/>
        <v>5000</v>
      </c>
      <c r="I184" s="219" t="s">
        <v>581</v>
      </c>
      <c r="J184" s="219" t="s">
        <v>4213</v>
      </c>
      <c r="K184" s="174"/>
    </row>
    <row r="185" spans="1:11" ht="15.6">
      <c r="A185" s="477">
        <v>45979</v>
      </c>
      <c r="B185" s="219" t="s">
        <v>2892</v>
      </c>
      <c r="C185" s="219" t="s">
        <v>172</v>
      </c>
      <c r="D185" s="219" t="s">
        <v>116</v>
      </c>
      <c r="E185" s="487"/>
      <c r="F185" s="488">
        <v>1000</v>
      </c>
      <c r="G185" s="215"/>
      <c r="H185" s="217">
        <f t="shared" si="3"/>
        <v>4000</v>
      </c>
      <c r="I185" s="219" t="s">
        <v>581</v>
      </c>
      <c r="J185" s="219" t="s">
        <v>4213</v>
      </c>
      <c r="K185" s="174"/>
    </row>
    <row r="186" spans="1:11" ht="15.6">
      <c r="A186" s="342">
        <v>45980</v>
      </c>
      <c r="B186" s="179" t="s">
        <v>4203</v>
      </c>
      <c r="C186" s="219" t="s">
        <v>180</v>
      </c>
      <c r="D186" s="219" t="s">
        <v>116</v>
      </c>
      <c r="E186" s="316">
        <v>6440</v>
      </c>
      <c r="F186" s="488"/>
      <c r="G186" s="215"/>
      <c r="H186" s="217">
        <f t="shared" si="3"/>
        <v>10440</v>
      </c>
      <c r="I186" s="219" t="s">
        <v>581</v>
      </c>
      <c r="J186" s="179" t="s">
        <v>4223</v>
      </c>
      <c r="K186" s="174"/>
    </row>
    <row r="187" spans="1:11" ht="15.6">
      <c r="A187" s="342">
        <v>45980</v>
      </c>
      <c r="B187" s="179" t="s">
        <v>4203</v>
      </c>
      <c r="C187" s="219" t="s">
        <v>180</v>
      </c>
      <c r="D187" s="219" t="s">
        <v>116</v>
      </c>
      <c r="E187" s="487"/>
      <c r="F187" s="316">
        <v>6440</v>
      </c>
      <c r="G187" s="215"/>
      <c r="H187" s="217">
        <f t="shared" si="3"/>
        <v>4000</v>
      </c>
      <c r="I187" s="219" t="s">
        <v>581</v>
      </c>
      <c r="J187" s="179" t="s">
        <v>4223</v>
      </c>
      <c r="K187" s="174"/>
    </row>
    <row r="188" spans="1:11" ht="15.6">
      <c r="A188" s="477">
        <v>45980</v>
      </c>
      <c r="B188" s="219" t="s">
        <v>4204</v>
      </c>
      <c r="C188" s="219" t="s">
        <v>172</v>
      </c>
      <c r="D188" s="219" t="s">
        <v>116</v>
      </c>
      <c r="E188" s="487"/>
      <c r="F188" s="488">
        <v>1000</v>
      </c>
      <c r="G188" s="215"/>
      <c r="H188" s="217">
        <f t="shared" si="3"/>
        <v>3000</v>
      </c>
      <c r="I188" s="219" t="s">
        <v>581</v>
      </c>
      <c r="J188" s="219" t="s">
        <v>4213</v>
      </c>
      <c r="K188" s="174"/>
    </row>
    <row r="189" spans="1:11" ht="15.6">
      <c r="A189" s="477">
        <v>45980</v>
      </c>
      <c r="B189" s="219" t="s">
        <v>3398</v>
      </c>
      <c r="C189" s="219" t="s">
        <v>172</v>
      </c>
      <c r="D189" s="219" t="s">
        <v>116</v>
      </c>
      <c r="E189" s="487"/>
      <c r="F189" s="488">
        <v>1000</v>
      </c>
      <c r="G189" s="215"/>
      <c r="H189" s="217">
        <f t="shared" si="3"/>
        <v>2000</v>
      </c>
      <c r="I189" s="219" t="s">
        <v>581</v>
      </c>
      <c r="J189" s="219" t="s">
        <v>4213</v>
      </c>
      <c r="K189" s="174"/>
    </row>
    <row r="190" spans="1:11" ht="15.6">
      <c r="A190" s="342">
        <v>45982</v>
      </c>
      <c r="B190" s="179" t="s">
        <v>4203</v>
      </c>
      <c r="C190" s="219" t="s">
        <v>180</v>
      </c>
      <c r="D190" s="219" t="s">
        <v>116</v>
      </c>
      <c r="E190" s="316">
        <v>4060</v>
      </c>
      <c r="F190" s="488"/>
      <c r="G190" s="215"/>
      <c r="H190" s="217">
        <f t="shared" si="3"/>
        <v>6060</v>
      </c>
      <c r="I190" s="219" t="s">
        <v>581</v>
      </c>
      <c r="J190" s="179" t="s">
        <v>4224</v>
      </c>
      <c r="K190" s="174"/>
    </row>
    <row r="191" spans="1:11" ht="15.6">
      <c r="A191" s="342">
        <v>45982</v>
      </c>
      <c r="B191" s="179" t="s">
        <v>4203</v>
      </c>
      <c r="C191" s="219" t="s">
        <v>180</v>
      </c>
      <c r="D191" s="219" t="s">
        <v>116</v>
      </c>
      <c r="E191" s="487"/>
      <c r="F191" s="316">
        <v>4060</v>
      </c>
      <c r="G191" s="215"/>
      <c r="H191" s="217">
        <f t="shared" si="3"/>
        <v>2000</v>
      </c>
      <c r="I191" s="219" t="s">
        <v>581</v>
      </c>
      <c r="J191" s="179" t="s">
        <v>4224</v>
      </c>
      <c r="K191" s="174"/>
    </row>
    <row r="192" spans="1:11" ht="15.6">
      <c r="A192" s="477">
        <v>45982</v>
      </c>
      <c r="B192" s="219" t="s">
        <v>4204</v>
      </c>
      <c r="C192" s="219" t="s">
        <v>172</v>
      </c>
      <c r="D192" s="219" t="s">
        <v>116</v>
      </c>
      <c r="E192" s="487"/>
      <c r="F192" s="488">
        <v>1000</v>
      </c>
      <c r="G192" s="215"/>
      <c r="H192" s="217">
        <f t="shared" si="3"/>
        <v>1000</v>
      </c>
      <c r="I192" s="219" t="s">
        <v>581</v>
      </c>
      <c r="J192" s="219" t="s">
        <v>4213</v>
      </c>
      <c r="K192" s="174"/>
    </row>
    <row r="193" spans="1:11" ht="15.6">
      <c r="A193" s="477">
        <v>45982</v>
      </c>
      <c r="B193" s="219" t="s">
        <v>3398</v>
      </c>
      <c r="C193" s="219" t="s">
        <v>172</v>
      </c>
      <c r="D193" s="219" t="s">
        <v>116</v>
      </c>
      <c r="E193" s="487"/>
      <c r="F193" s="488">
        <v>1000</v>
      </c>
      <c r="G193" s="215"/>
      <c r="H193" s="217">
        <f t="shared" si="3"/>
        <v>0</v>
      </c>
      <c r="I193" s="219" t="s">
        <v>581</v>
      </c>
      <c r="J193" s="219" t="s">
        <v>4213</v>
      </c>
      <c r="K193" s="174"/>
    </row>
    <row r="194" spans="1:11" ht="15.6">
      <c r="A194" s="477">
        <v>45986</v>
      </c>
      <c r="B194" s="219" t="s">
        <v>4198</v>
      </c>
      <c r="C194" s="219" t="s">
        <v>172</v>
      </c>
      <c r="D194" s="219" t="s">
        <v>116</v>
      </c>
      <c r="E194" s="487"/>
      <c r="F194" s="488">
        <v>1000</v>
      </c>
      <c r="G194" s="215"/>
      <c r="H194" s="217">
        <f t="shared" si="3"/>
        <v>-1000</v>
      </c>
      <c r="I194" s="219" t="s">
        <v>581</v>
      </c>
      <c r="J194" s="219" t="s">
        <v>4213</v>
      </c>
      <c r="K194" s="174"/>
    </row>
    <row r="195" spans="1:11" ht="15.6">
      <c r="A195" s="477">
        <v>45986</v>
      </c>
      <c r="B195" s="219" t="s">
        <v>4201</v>
      </c>
      <c r="C195" s="219" t="s">
        <v>172</v>
      </c>
      <c r="D195" s="219" t="s">
        <v>116</v>
      </c>
      <c r="E195" s="487"/>
      <c r="F195" s="488">
        <v>1000</v>
      </c>
      <c r="G195" s="215"/>
      <c r="H195" s="217">
        <f t="shared" si="3"/>
        <v>-2000</v>
      </c>
      <c r="I195" s="219" t="s">
        <v>581</v>
      </c>
      <c r="J195" s="219" t="s">
        <v>4213</v>
      </c>
      <c r="K195" s="174"/>
    </row>
    <row r="196" spans="1:11" ht="15.6">
      <c r="A196" s="342">
        <v>45987</v>
      </c>
      <c r="B196" s="179" t="s">
        <v>4205</v>
      </c>
      <c r="C196" s="219" t="s">
        <v>180</v>
      </c>
      <c r="D196" s="219" t="s">
        <v>116</v>
      </c>
      <c r="E196" s="316">
        <v>4760</v>
      </c>
      <c r="F196" s="488"/>
      <c r="G196" s="215"/>
      <c r="H196" s="217">
        <f t="shared" si="3"/>
        <v>2760</v>
      </c>
      <c r="I196" s="179" t="s">
        <v>581</v>
      </c>
      <c r="J196" s="179" t="s">
        <v>4225</v>
      </c>
      <c r="K196" s="174"/>
    </row>
    <row r="197" spans="1:11" ht="15.6">
      <c r="A197" s="342">
        <v>45987</v>
      </c>
      <c r="B197" s="179" t="s">
        <v>4205</v>
      </c>
      <c r="C197" s="219" t="s">
        <v>180</v>
      </c>
      <c r="D197" s="219" t="s">
        <v>116</v>
      </c>
      <c r="E197" s="487"/>
      <c r="F197" s="316">
        <v>4760</v>
      </c>
      <c r="G197" s="215"/>
      <c r="H197" s="217">
        <f t="shared" si="3"/>
        <v>-2000</v>
      </c>
      <c r="I197" s="179" t="s">
        <v>581</v>
      </c>
      <c r="J197" s="179" t="s">
        <v>4225</v>
      </c>
      <c r="K197" s="174"/>
    </row>
    <row r="198" spans="1:11" ht="15.6">
      <c r="A198" s="477">
        <v>45987</v>
      </c>
      <c r="B198" s="219" t="s">
        <v>4206</v>
      </c>
      <c r="C198" s="219" t="s">
        <v>172</v>
      </c>
      <c r="D198" s="219" t="s">
        <v>116</v>
      </c>
      <c r="E198" s="487"/>
      <c r="F198" s="488">
        <v>1000</v>
      </c>
      <c r="G198" s="215"/>
      <c r="H198" s="217">
        <f t="shared" si="3"/>
        <v>-3000</v>
      </c>
      <c r="I198" s="219" t="s">
        <v>581</v>
      </c>
      <c r="J198" s="219" t="s">
        <v>4213</v>
      </c>
      <c r="K198" s="174"/>
    </row>
    <row r="199" spans="1:11" ht="15.6">
      <c r="A199" s="477">
        <v>45987</v>
      </c>
      <c r="B199" s="219" t="s">
        <v>3398</v>
      </c>
      <c r="C199" s="219" t="s">
        <v>172</v>
      </c>
      <c r="D199" s="219" t="s">
        <v>116</v>
      </c>
      <c r="E199" s="487"/>
      <c r="F199" s="488">
        <v>1000</v>
      </c>
      <c r="G199" s="215"/>
      <c r="H199" s="217">
        <f t="shared" si="3"/>
        <v>-4000</v>
      </c>
      <c r="I199" s="219" t="s">
        <v>581</v>
      </c>
      <c r="J199" s="219" t="s">
        <v>4213</v>
      </c>
      <c r="K199" s="174"/>
    </row>
    <row r="200" spans="1:11" ht="15.6">
      <c r="A200" s="342">
        <v>45988</v>
      </c>
      <c r="B200" s="219" t="s">
        <v>4207</v>
      </c>
      <c r="C200" s="179" t="s">
        <v>302</v>
      </c>
      <c r="D200" s="219" t="s">
        <v>116</v>
      </c>
      <c r="E200" s="316">
        <v>40000</v>
      </c>
      <c r="F200" s="488"/>
      <c r="G200" s="215"/>
      <c r="H200" s="217">
        <f t="shared" si="3"/>
        <v>36000</v>
      </c>
      <c r="I200" s="219" t="s">
        <v>581</v>
      </c>
      <c r="J200" s="179" t="s">
        <v>4226</v>
      </c>
      <c r="K200" s="174"/>
    </row>
    <row r="201" spans="1:11" ht="15.6">
      <c r="A201" s="342">
        <v>45988</v>
      </c>
      <c r="B201" s="219" t="s">
        <v>4208</v>
      </c>
      <c r="C201" s="219" t="s">
        <v>302</v>
      </c>
      <c r="D201" s="219" t="s">
        <v>116</v>
      </c>
      <c r="E201" s="316">
        <v>80000</v>
      </c>
      <c r="F201" s="488"/>
      <c r="G201" s="215"/>
      <c r="H201" s="217">
        <f t="shared" si="3"/>
        <v>116000</v>
      </c>
      <c r="I201" s="179" t="s">
        <v>581</v>
      </c>
      <c r="J201" s="179" t="s">
        <v>4227</v>
      </c>
      <c r="K201" s="174"/>
    </row>
    <row r="202" spans="1:11" ht="15.6">
      <c r="A202" s="342">
        <v>45988</v>
      </c>
      <c r="B202" s="219" t="s">
        <v>4209</v>
      </c>
      <c r="C202" s="219" t="s">
        <v>124</v>
      </c>
      <c r="D202" s="219" t="s">
        <v>116</v>
      </c>
      <c r="E202" s="316">
        <v>8000</v>
      </c>
      <c r="F202" s="488"/>
      <c r="G202" s="215"/>
      <c r="H202" s="217">
        <f t="shared" si="3"/>
        <v>124000</v>
      </c>
      <c r="I202" s="219" t="s">
        <v>581</v>
      </c>
      <c r="J202" s="179" t="s">
        <v>4228</v>
      </c>
      <c r="K202" s="174"/>
    </row>
    <row r="203" spans="1:11" ht="15.6">
      <c r="A203" s="342">
        <v>45988</v>
      </c>
      <c r="B203" s="179" t="s">
        <v>4210</v>
      </c>
      <c r="C203" s="179" t="s">
        <v>624</v>
      </c>
      <c r="D203" s="179" t="s">
        <v>116</v>
      </c>
      <c r="E203" s="316">
        <v>45050</v>
      </c>
      <c r="F203" s="488"/>
      <c r="G203" s="215"/>
      <c r="H203" s="217">
        <f t="shared" si="3"/>
        <v>169050</v>
      </c>
      <c r="I203" s="179" t="s">
        <v>581</v>
      </c>
      <c r="J203" s="179" t="s">
        <v>4229</v>
      </c>
      <c r="K203" s="174"/>
    </row>
    <row r="204" spans="1:11" ht="15.6">
      <c r="A204" s="342">
        <v>45988</v>
      </c>
      <c r="B204" s="219" t="s">
        <v>4207</v>
      </c>
      <c r="C204" s="179" t="s">
        <v>302</v>
      </c>
      <c r="D204" s="219" t="s">
        <v>116</v>
      </c>
      <c r="E204" s="487"/>
      <c r="F204" s="316">
        <v>40000</v>
      </c>
      <c r="G204" s="215"/>
      <c r="H204" s="217">
        <f t="shared" si="3"/>
        <v>129050</v>
      </c>
      <c r="I204" s="219" t="s">
        <v>581</v>
      </c>
      <c r="J204" s="179" t="s">
        <v>4226</v>
      </c>
      <c r="K204" s="174"/>
    </row>
    <row r="205" spans="1:11" ht="15.6">
      <c r="A205" s="342">
        <v>45988</v>
      </c>
      <c r="B205" s="219" t="s">
        <v>4208</v>
      </c>
      <c r="C205" s="219" t="s">
        <v>302</v>
      </c>
      <c r="D205" s="219" t="s">
        <v>116</v>
      </c>
      <c r="E205" s="487"/>
      <c r="F205" s="316">
        <v>80000</v>
      </c>
      <c r="G205" s="215"/>
      <c r="H205" s="217">
        <f t="shared" si="3"/>
        <v>49050</v>
      </c>
      <c r="I205" s="179" t="s">
        <v>581</v>
      </c>
      <c r="J205" s="179" t="s">
        <v>4227</v>
      </c>
      <c r="K205" s="174"/>
    </row>
    <row r="206" spans="1:11" ht="15.6">
      <c r="A206" s="342">
        <v>45988</v>
      </c>
      <c r="B206" s="219" t="s">
        <v>4209</v>
      </c>
      <c r="C206" s="219" t="s">
        <v>124</v>
      </c>
      <c r="D206" s="219" t="s">
        <v>116</v>
      </c>
      <c r="E206" s="487"/>
      <c r="F206" s="316">
        <v>8000</v>
      </c>
      <c r="G206" s="215"/>
      <c r="H206" s="217">
        <f t="shared" si="3"/>
        <v>41050</v>
      </c>
      <c r="I206" s="219" t="s">
        <v>581</v>
      </c>
      <c r="J206" s="179" t="s">
        <v>4228</v>
      </c>
      <c r="K206" s="174"/>
    </row>
    <row r="207" spans="1:11" ht="15.6">
      <c r="A207" s="342">
        <v>45988</v>
      </c>
      <c r="B207" s="179" t="s">
        <v>4210</v>
      </c>
      <c r="C207" s="179" t="s">
        <v>624</v>
      </c>
      <c r="D207" s="179" t="s">
        <v>116</v>
      </c>
      <c r="E207" s="487"/>
      <c r="F207" s="316">
        <v>45050</v>
      </c>
      <c r="G207" s="215"/>
      <c r="H207" s="217">
        <f t="shared" si="3"/>
        <v>-4000</v>
      </c>
      <c r="I207" s="179" t="s">
        <v>581</v>
      </c>
      <c r="J207" s="179" t="s">
        <v>4229</v>
      </c>
      <c r="K207" s="174"/>
    </row>
    <row r="208" spans="1:11" ht="15.6">
      <c r="A208" s="477">
        <v>45988</v>
      </c>
      <c r="B208" s="219" t="s">
        <v>4211</v>
      </c>
      <c r="C208" s="219" t="s">
        <v>172</v>
      </c>
      <c r="D208" s="219" t="s">
        <v>116</v>
      </c>
      <c r="E208" s="487"/>
      <c r="F208" s="488">
        <v>1000</v>
      </c>
      <c r="G208" s="215"/>
      <c r="H208" s="217">
        <f t="shared" si="3"/>
        <v>-5000</v>
      </c>
      <c r="I208" s="219" t="s">
        <v>581</v>
      </c>
      <c r="J208" s="219" t="s">
        <v>4213</v>
      </c>
      <c r="K208" s="174"/>
    </row>
    <row r="209" spans="1:11" ht="15.6">
      <c r="A209" s="477">
        <v>45988</v>
      </c>
      <c r="B209" s="490" t="s">
        <v>4212</v>
      </c>
      <c r="C209" s="219" t="s">
        <v>172</v>
      </c>
      <c r="D209" s="219" t="s">
        <v>116</v>
      </c>
      <c r="E209" s="487"/>
      <c r="F209" s="488">
        <v>1000</v>
      </c>
      <c r="G209" s="215"/>
      <c r="H209" s="217">
        <f t="shared" si="3"/>
        <v>-6000</v>
      </c>
      <c r="I209" s="219" t="s">
        <v>581</v>
      </c>
      <c r="J209" s="219" t="s">
        <v>4213</v>
      </c>
      <c r="K209" s="174"/>
    </row>
    <row r="210" spans="1:11" ht="15.6">
      <c r="A210" s="477">
        <v>45988</v>
      </c>
      <c r="B210" s="219" t="s">
        <v>647</v>
      </c>
      <c r="C210" s="489" t="s">
        <v>122</v>
      </c>
      <c r="D210" s="219" t="s">
        <v>116</v>
      </c>
      <c r="E210" s="487">
        <v>15000</v>
      </c>
      <c r="F210" s="488"/>
      <c r="G210" s="215"/>
      <c r="H210" s="217">
        <f t="shared" si="3"/>
        <v>9000</v>
      </c>
      <c r="I210" s="219" t="s">
        <v>581</v>
      </c>
      <c r="J210" s="219" t="s">
        <v>4230</v>
      </c>
      <c r="K210" s="174"/>
    </row>
    <row r="211" spans="1:11" ht="15.6">
      <c r="A211" s="185"/>
      <c r="B211" s="183"/>
      <c r="C211" s="183"/>
      <c r="D211" s="183"/>
      <c r="E211" s="187">
        <f>SUM(E105:E210)</f>
        <v>540455</v>
      </c>
      <c r="F211" s="187">
        <f>SUM(F104:F210)</f>
        <v>538455</v>
      </c>
      <c r="G211" s="187"/>
      <c r="H211" s="188">
        <f>+H104+E211-F211</f>
        <v>9000</v>
      </c>
      <c r="I211" s="183"/>
      <c r="J211" s="183"/>
      <c r="K211" s="183"/>
    </row>
    <row r="212" spans="1:11" ht="15.6">
      <c r="A212" s="185"/>
      <c r="B212" s="183"/>
      <c r="C212" s="183"/>
      <c r="D212" s="183"/>
      <c r="E212" s="187"/>
      <c r="F212" s="187"/>
      <c r="G212" s="187"/>
      <c r="H212" s="188"/>
      <c r="I212" s="183"/>
      <c r="J212" s="183"/>
      <c r="K212" s="183"/>
    </row>
    <row r="213" spans="1:11" ht="15.6">
      <c r="A213" s="185"/>
      <c r="B213" s="183"/>
      <c r="C213" s="186" t="s">
        <v>453</v>
      </c>
      <c r="D213" s="183"/>
      <c r="E213" s="187"/>
      <c r="F213" s="187"/>
      <c r="G213" s="187"/>
      <c r="H213" s="188"/>
      <c r="I213" s="183"/>
      <c r="J213" s="183"/>
      <c r="K213" s="183"/>
    </row>
    <row r="214" spans="1:11" ht="15.6">
      <c r="A214" s="185"/>
      <c r="B214" s="183"/>
      <c r="C214" s="183"/>
      <c r="D214" s="183"/>
      <c r="E214" s="187"/>
      <c r="F214" s="187"/>
      <c r="G214" s="187"/>
      <c r="H214" s="188"/>
      <c r="I214" s="183"/>
      <c r="J214" s="183"/>
      <c r="K214" s="183"/>
    </row>
    <row r="215" spans="1:11" ht="15.6">
      <c r="A215" s="189" t="s">
        <v>0</v>
      </c>
      <c r="B215" s="190" t="s">
        <v>443</v>
      </c>
      <c r="C215" s="190" t="s">
        <v>444</v>
      </c>
      <c r="D215" s="190" t="s">
        <v>445</v>
      </c>
      <c r="E215" s="191" t="s">
        <v>446</v>
      </c>
      <c r="F215" s="191" t="s">
        <v>447</v>
      </c>
      <c r="G215" s="191"/>
      <c r="H215" s="197" t="s">
        <v>30</v>
      </c>
      <c r="I215" s="190" t="s">
        <v>448</v>
      </c>
      <c r="J215" s="190" t="s">
        <v>449</v>
      </c>
      <c r="K215" s="183"/>
    </row>
    <row r="216" spans="1:11" ht="15.6">
      <c r="A216" s="144">
        <v>45962</v>
      </c>
      <c r="B216" s="177" t="s">
        <v>4161</v>
      </c>
      <c r="C216" s="177"/>
      <c r="D216" s="177"/>
      <c r="E216" s="180"/>
      <c r="F216" s="180"/>
      <c r="G216" s="180"/>
      <c r="H216" s="181">
        <v>16110</v>
      </c>
      <c r="I216" s="181" t="s">
        <v>182</v>
      </c>
      <c r="J216" s="177"/>
      <c r="K216" s="183"/>
    </row>
    <row r="217" spans="1:11" ht="15.6">
      <c r="A217" s="341">
        <v>45964</v>
      </c>
      <c r="B217" s="172" t="s">
        <v>4231</v>
      </c>
      <c r="C217" s="172" t="s">
        <v>150</v>
      </c>
      <c r="D217" s="172" t="s">
        <v>119</v>
      </c>
      <c r="E217" s="172">
        <v>10000</v>
      </c>
      <c r="F217" s="172"/>
      <c r="G217" s="180"/>
      <c r="H217" s="181">
        <f>H216+E217-F217</f>
        <v>26110</v>
      </c>
      <c r="I217" s="172" t="s">
        <v>182</v>
      </c>
      <c r="J217" s="172" t="s">
        <v>4236</v>
      </c>
      <c r="K217" s="183"/>
    </row>
    <row r="218" spans="1:11" ht="15.6">
      <c r="A218" s="341">
        <v>45964</v>
      </c>
      <c r="B218" s="172" t="s">
        <v>4231</v>
      </c>
      <c r="C218" s="172" t="s">
        <v>150</v>
      </c>
      <c r="D218" s="172" t="s">
        <v>2472</v>
      </c>
      <c r="E218" s="172"/>
      <c r="F218" s="172">
        <v>10000</v>
      </c>
      <c r="G218" s="180"/>
      <c r="H218" s="181">
        <f t="shared" ref="H218:H281" si="4">H217+E218-F218</f>
        <v>16110</v>
      </c>
      <c r="I218" s="172" t="s">
        <v>182</v>
      </c>
      <c r="J218" s="172" t="s">
        <v>4236</v>
      </c>
      <c r="K218" s="183"/>
    </row>
    <row r="219" spans="1:11" ht="15.6">
      <c r="A219" s="237">
        <v>45967</v>
      </c>
      <c r="B219" s="142" t="s">
        <v>4917</v>
      </c>
      <c r="C219" s="142" t="s">
        <v>172</v>
      </c>
      <c r="D219" s="142" t="s">
        <v>119</v>
      </c>
      <c r="E219" s="142"/>
      <c r="F219" s="142">
        <v>1500</v>
      </c>
      <c r="G219" s="180"/>
      <c r="H219" s="181">
        <f t="shared" si="4"/>
        <v>14610</v>
      </c>
      <c r="I219" s="142" t="s">
        <v>182</v>
      </c>
      <c r="J219" s="142" t="s">
        <v>4237</v>
      </c>
      <c r="K219" s="183"/>
    </row>
    <row r="220" spans="1:11" ht="15.6">
      <c r="A220" s="237">
        <v>45967</v>
      </c>
      <c r="B220" s="142" t="s">
        <v>4917</v>
      </c>
      <c r="C220" s="142" t="s">
        <v>172</v>
      </c>
      <c r="D220" s="142" t="s">
        <v>119</v>
      </c>
      <c r="E220" s="142"/>
      <c r="F220" s="142">
        <v>1500</v>
      </c>
      <c r="G220" s="180"/>
      <c r="H220" s="181">
        <f t="shared" si="4"/>
        <v>13110</v>
      </c>
      <c r="I220" s="142" t="s">
        <v>182</v>
      </c>
      <c r="J220" s="142" t="s">
        <v>4237</v>
      </c>
      <c r="K220" s="183"/>
    </row>
    <row r="221" spans="1:11" ht="15.6">
      <c r="A221" s="237">
        <v>45967</v>
      </c>
      <c r="B221" s="142" t="s">
        <v>4917</v>
      </c>
      <c r="C221" s="142" t="s">
        <v>172</v>
      </c>
      <c r="D221" s="142" t="s">
        <v>119</v>
      </c>
      <c r="E221" s="142"/>
      <c r="F221" s="142">
        <v>1000</v>
      </c>
      <c r="G221" s="180"/>
      <c r="H221" s="181">
        <f t="shared" si="4"/>
        <v>12110</v>
      </c>
      <c r="I221" s="142" t="s">
        <v>182</v>
      </c>
      <c r="J221" s="142" t="s">
        <v>4237</v>
      </c>
      <c r="K221" s="183"/>
    </row>
    <row r="222" spans="1:11" ht="15.6">
      <c r="A222" s="237">
        <v>45967</v>
      </c>
      <c r="B222" s="142" t="s">
        <v>4917</v>
      </c>
      <c r="C222" s="142" t="s">
        <v>172</v>
      </c>
      <c r="D222" s="142" t="s">
        <v>119</v>
      </c>
      <c r="E222" s="142"/>
      <c r="F222" s="142">
        <v>1500</v>
      </c>
      <c r="G222" s="180"/>
      <c r="H222" s="181">
        <f t="shared" si="4"/>
        <v>10610</v>
      </c>
      <c r="I222" s="142" t="s">
        <v>182</v>
      </c>
      <c r="J222" s="142" t="s">
        <v>4237</v>
      </c>
      <c r="K222" s="183"/>
    </row>
    <row r="223" spans="1:11" ht="15.6">
      <c r="A223" s="237">
        <v>45967</v>
      </c>
      <c r="B223" s="142" t="s">
        <v>4917</v>
      </c>
      <c r="C223" s="142" t="s">
        <v>172</v>
      </c>
      <c r="D223" s="142" t="s">
        <v>119</v>
      </c>
      <c r="E223" s="142"/>
      <c r="F223" s="142">
        <v>1000</v>
      </c>
      <c r="G223" s="180"/>
      <c r="H223" s="181">
        <f t="shared" si="4"/>
        <v>9610</v>
      </c>
      <c r="I223" s="142" t="s">
        <v>182</v>
      </c>
      <c r="J223" s="142" t="s">
        <v>4237</v>
      </c>
      <c r="K223" s="183"/>
    </row>
    <row r="224" spans="1:11" ht="15.6">
      <c r="A224" s="237">
        <v>45967</v>
      </c>
      <c r="B224" s="142" t="s">
        <v>4917</v>
      </c>
      <c r="C224" s="142" t="s">
        <v>172</v>
      </c>
      <c r="D224" s="142" t="s">
        <v>119</v>
      </c>
      <c r="E224" s="142"/>
      <c r="F224" s="142">
        <v>1500</v>
      </c>
      <c r="G224" s="180"/>
      <c r="H224" s="181">
        <f t="shared" si="4"/>
        <v>8110</v>
      </c>
      <c r="I224" s="142" t="s">
        <v>182</v>
      </c>
      <c r="J224" s="142" t="s">
        <v>4237</v>
      </c>
      <c r="K224" s="183"/>
    </row>
    <row r="225" spans="1:11" ht="15.6">
      <c r="A225" s="237">
        <v>45967</v>
      </c>
      <c r="B225" s="142" t="s">
        <v>4975</v>
      </c>
      <c r="C225" s="142" t="s">
        <v>366</v>
      </c>
      <c r="D225" s="142" t="s">
        <v>119</v>
      </c>
      <c r="E225" s="142"/>
      <c r="F225" s="142">
        <v>1000</v>
      </c>
      <c r="G225" s="180"/>
      <c r="H225" s="181">
        <f t="shared" si="4"/>
        <v>7110</v>
      </c>
      <c r="I225" s="142" t="s">
        <v>182</v>
      </c>
      <c r="J225" s="142" t="s">
        <v>4238</v>
      </c>
      <c r="K225" s="183"/>
    </row>
    <row r="226" spans="1:11" ht="15.6">
      <c r="A226" s="237">
        <v>45968</v>
      </c>
      <c r="B226" s="142" t="s">
        <v>4917</v>
      </c>
      <c r="C226" s="142" t="s">
        <v>172</v>
      </c>
      <c r="D226" s="142" t="s">
        <v>119</v>
      </c>
      <c r="E226" s="142"/>
      <c r="F226" s="142">
        <v>1500</v>
      </c>
      <c r="G226" s="180"/>
      <c r="H226" s="181">
        <f t="shared" si="4"/>
        <v>5610</v>
      </c>
      <c r="I226" s="142" t="s">
        <v>182</v>
      </c>
      <c r="J226" s="142" t="s">
        <v>4237</v>
      </c>
      <c r="K226" s="183"/>
    </row>
    <row r="227" spans="1:11" ht="15.6">
      <c r="A227" s="237">
        <v>45968</v>
      </c>
      <c r="B227" s="142" t="s">
        <v>4917</v>
      </c>
      <c r="C227" s="142" t="s">
        <v>172</v>
      </c>
      <c r="D227" s="142" t="s">
        <v>119</v>
      </c>
      <c r="E227" s="142"/>
      <c r="F227" s="142">
        <v>3000</v>
      </c>
      <c r="G227" s="180"/>
      <c r="H227" s="181">
        <f t="shared" si="4"/>
        <v>2610</v>
      </c>
      <c r="I227" s="142" t="s">
        <v>182</v>
      </c>
      <c r="J227" s="142" t="s">
        <v>4237</v>
      </c>
      <c r="K227" s="183"/>
    </row>
    <row r="228" spans="1:11" ht="15.6">
      <c r="A228" s="237">
        <v>45968</v>
      </c>
      <c r="B228" s="142" t="s">
        <v>4917</v>
      </c>
      <c r="C228" s="142" t="s">
        <v>172</v>
      </c>
      <c r="D228" s="142" t="s">
        <v>119</v>
      </c>
      <c r="E228" s="142"/>
      <c r="F228" s="142">
        <v>2000</v>
      </c>
      <c r="G228" s="180"/>
      <c r="H228" s="181">
        <f t="shared" si="4"/>
        <v>610</v>
      </c>
      <c r="I228" s="142" t="s">
        <v>182</v>
      </c>
      <c r="J228" s="142" t="s">
        <v>4237</v>
      </c>
      <c r="K228" s="183"/>
    </row>
    <row r="229" spans="1:11" ht="15.6">
      <c r="A229" s="237">
        <v>45968</v>
      </c>
      <c r="B229" s="142" t="s">
        <v>4912</v>
      </c>
      <c r="C229" s="142" t="s">
        <v>172</v>
      </c>
      <c r="D229" s="142" t="s">
        <v>119</v>
      </c>
      <c r="E229" s="142"/>
      <c r="F229" s="142">
        <v>2000</v>
      </c>
      <c r="G229" s="180"/>
      <c r="H229" s="181">
        <f t="shared" si="4"/>
        <v>-1390</v>
      </c>
      <c r="I229" s="142" t="s">
        <v>182</v>
      </c>
      <c r="J229" s="142" t="s">
        <v>4237</v>
      </c>
      <c r="K229" s="183"/>
    </row>
    <row r="230" spans="1:11" ht="15.6">
      <c r="A230" s="237">
        <v>45968</v>
      </c>
      <c r="B230" s="142" t="s">
        <v>4912</v>
      </c>
      <c r="C230" s="142" t="s">
        <v>172</v>
      </c>
      <c r="D230" s="142" t="s">
        <v>119</v>
      </c>
      <c r="E230" s="142"/>
      <c r="F230" s="142">
        <v>3000</v>
      </c>
      <c r="G230" s="180"/>
      <c r="H230" s="181">
        <f t="shared" si="4"/>
        <v>-4390</v>
      </c>
      <c r="I230" s="142" t="s">
        <v>182</v>
      </c>
      <c r="J230" s="142" t="s">
        <v>4237</v>
      </c>
      <c r="K230" s="183"/>
    </row>
    <row r="231" spans="1:11" ht="15.6">
      <c r="A231" s="237">
        <v>45968</v>
      </c>
      <c r="B231" s="142" t="s">
        <v>4917</v>
      </c>
      <c r="C231" s="142" t="s">
        <v>172</v>
      </c>
      <c r="D231" s="142" t="s">
        <v>119</v>
      </c>
      <c r="E231" s="142"/>
      <c r="F231" s="142">
        <v>1500</v>
      </c>
      <c r="G231" s="180"/>
      <c r="H231" s="181">
        <f t="shared" si="4"/>
        <v>-5890</v>
      </c>
      <c r="I231" s="142" t="s">
        <v>182</v>
      </c>
      <c r="J231" s="142" t="s">
        <v>4237</v>
      </c>
      <c r="K231" s="183"/>
    </row>
    <row r="232" spans="1:11" ht="15.6">
      <c r="A232" s="237">
        <v>45968</v>
      </c>
      <c r="B232" s="142" t="s">
        <v>4975</v>
      </c>
      <c r="C232" s="142" t="s">
        <v>366</v>
      </c>
      <c r="D232" s="142" t="s">
        <v>119</v>
      </c>
      <c r="E232" s="142"/>
      <c r="F232" s="142">
        <v>900</v>
      </c>
      <c r="G232" s="180"/>
      <c r="H232" s="181">
        <f t="shared" si="4"/>
        <v>-6790</v>
      </c>
      <c r="I232" s="142" t="s">
        <v>182</v>
      </c>
      <c r="J232" s="142" t="s">
        <v>4238</v>
      </c>
      <c r="K232" s="183"/>
    </row>
    <row r="233" spans="1:11" ht="15.6">
      <c r="A233" s="237">
        <v>45971</v>
      </c>
      <c r="B233" s="142" t="s">
        <v>4233</v>
      </c>
      <c r="C233" s="142" t="s">
        <v>122</v>
      </c>
      <c r="D233" s="142" t="s">
        <v>119</v>
      </c>
      <c r="E233" s="142">
        <v>20000</v>
      </c>
      <c r="F233" s="142"/>
      <c r="G233" s="180"/>
      <c r="H233" s="181">
        <f t="shared" si="4"/>
        <v>13210</v>
      </c>
      <c r="I233" s="142" t="s">
        <v>182</v>
      </c>
      <c r="J233" s="142" t="s">
        <v>4239</v>
      </c>
      <c r="K233" s="183"/>
    </row>
    <row r="234" spans="1:11" ht="15.6">
      <c r="A234" s="237">
        <v>45971</v>
      </c>
      <c r="B234" s="172" t="s">
        <v>4234</v>
      </c>
      <c r="C234" s="172" t="s">
        <v>150</v>
      </c>
      <c r="D234" s="172" t="s">
        <v>119</v>
      </c>
      <c r="E234" s="142">
        <v>10000</v>
      </c>
      <c r="F234" s="142"/>
      <c r="G234" s="180"/>
      <c r="H234" s="181">
        <f t="shared" si="4"/>
        <v>23210</v>
      </c>
      <c r="I234" s="142" t="s">
        <v>182</v>
      </c>
      <c r="J234" s="172" t="s">
        <v>4240</v>
      </c>
      <c r="K234" s="183"/>
    </row>
    <row r="235" spans="1:11" ht="15.6">
      <c r="A235" s="237">
        <v>45971</v>
      </c>
      <c r="B235" s="172" t="s">
        <v>4234</v>
      </c>
      <c r="C235" s="172" t="s">
        <v>150</v>
      </c>
      <c r="D235" s="172" t="s">
        <v>2472</v>
      </c>
      <c r="E235" s="142"/>
      <c r="F235" s="142">
        <v>10000</v>
      </c>
      <c r="G235" s="180"/>
      <c r="H235" s="181">
        <f t="shared" si="4"/>
        <v>13210</v>
      </c>
      <c r="I235" s="142" t="s">
        <v>182</v>
      </c>
      <c r="J235" s="172" t="s">
        <v>4240</v>
      </c>
      <c r="K235" s="183"/>
    </row>
    <row r="236" spans="1:11" ht="15.6">
      <c r="A236" s="237">
        <v>45972</v>
      </c>
      <c r="B236" s="142" t="s">
        <v>4917</v>
      </c>
      <c r="C236" s="142" t="s">
        <v>172</v>
      </c>
      <c r="D236" s="142" t="s">
        <v>119</v>
      </c>
      <c r="E236" s="142"/>
      <c r="F236" s="142">
        <v>3500</v>
      </c>
      <c r="G236" s="180"/>
      <c r="H236" s="181">
        <f t="shared" si="4"/>
        <v>9710</v>
      </c>
      <c r="I236" s="142" t="s">
        <v>182</v>
      </c>
      <c r="J236" s="142" t="s">
        <v>4237</v>
      </c>
      <c r="K236" s="183"/>
    </row>
    <row r="237" spans="1:11" ht="15.6">
      <c r="A237" s="237">
        <v>45972</v>
      </c>
      <c r="B237" s="142" t="s">
        <v>4912</v>
      </c>
      <c r="C237" s="142" t="s">
        <v>172</v>
      </c>
      <c r="D237" s="142" t="s">
        <v>119</v>
      </c>
      <c r="E237" s="142"/>
      <c r="F237" s="142">
        <v>2000</v>
      </c>
      <c r="G237" s="180"/>
      <c r="H237" s="181">
        <f t="shared" si="4"/>
        <v>7710</v>
      </c>
      <c r="I237" s="142" t="s">
        <v>182</v>
      </c>
      <c r="J237" s="142" t="s">
        <v>4237</v>
      </c>
      <c r="K237" s="183"/>
    </row>
    <row r="238" spans="1:11" ht="15.6">
      <c r="A238" s="237">
        <v>45972</v>
      </c>
      <c r="B238" s="142" t="s">
        <v>4912</v>
      </c>
      <c r="C238" s="142" t="s">
        <v>172</v>
      </c>
      <c r="D238" s="142" t="s">
        <v>119</v>
      </c>
      <c r="E238" s="142"/>
      <c r="F238" s="142">
        <v>1500</v>
      </c>
      <c r="G238" s="180"/>
      <c r="H238" s="181">
        <f t="shared" si="4"/>
        <v>6210</v>
      </c>
      <c r="I238" s="142" t="s">
        <v>182</v>
      </c>
      <c r="J238" s="142" t="s">
        <v>4237</v>
      </c>
      <c r="K238" s="183"/>
    </row>
    <row r="239" spans="1:11" ht="15.6">
      <c r="A239" s="237">
        <v>45972</v>
      </c>
      <c r="B239" s="142" t="s">
        <v>4917</v>
      </c>
      <c r="C239" s="142" t="s">
        <v>172</v>
      </c>
      <c r="D239" s="142" t="s">
        <v>119</v>
      </c>
      <c r="E239" s="142"/>
      <c r="F239" s="142">
        <v>1500</v>
      </c>
      <c r="G239" s="180"/>
      <c r="H239" s="181">
        <f t="shared" si="4"/>
        <v>4710</v>
      </c>
      <c r="I239" s="142" t="s">
        <v>182</v>
      </c>
      <c r="J239" s="142" t="s">
        <v>4237</v>
      </c>
      <c r="K239" s="183"/>
    </row>
    <row r="240" spans="1:11" ht="15.6">
      <c r="A240" s="237">
        <v>45972</v>
      </c>
      <c r="B240" s="142" t="s">
        <v>4975</v>
      </c>
      <c r="C240" s="142" t="s">
        <v>366</v>
      </c>
      <c r="D240" s="142" t="s">
        <v>119</v>
      </c>
      <c r="E240" s="142"/>
      <c r="F240" s="142">
        <v>1000</v>
      </c>
      <c r="G240" s="180"/>
      <c r="H240" s="181">
        <f t="shared" si="4"/>
        <v>3710</v>
      </c>
      <c r="I240" s="142" t="s">
        <v>182</v>
      </c>
      <c r="J240" s="142" t="s">
        <v>4238</v>
      </c>
      <c r="K240" s="183"/>
    </row>
    <row r="241" spans="1:11" ht="15.6">
      <c r="A241" s="237">
        <v>45973</v>
      </c>
      <c r="B241" s="142" t="s">
        <v>4917</v>
      </c>
      <c r="C241" s="142" t="s">
        <v>172</v>
      </c>
      <c r="D241" s="142" t="s">
        <v>119</v>
      </c>
      <c r="E241" s="142"/>
      <c r="F241" s="142">
        <v>1500</v>
      </c>
      <c r="G241" s="180"/>
      <c r="H241" s="181">
        <f t="shared" si="4"/>
        <v>2210</v>
      </c>
      <c r="I241" s="142" t="s">
        <v>182</v>
      </c>
      <c r="J241" s="142" t="s">
        <v>4237</v>
      </c>
      <c r="K241" s="183"/>
    </row>
    <row r="242" spans="1:11" ht="15.6">
      <c r="A242" s="237">
        <v>45973</v>
      </c>
      <c r="B242" s="142" t="s">
        <v>4917</v>
      </c>
      <c r="C242" s="142" t="s">
        <v>172</v>
      </c>
      <c r="D242" s="142" t="s">
        <v>119</v>
      </c>
      <c r="E242" s="142"/>
      <c r="F242" s="142">
        <v>1000</v>
      </c>
      <c r="G242" s="180"/>
      <c r="H242" s="181">
        <f t="shared" si="4"/>
        <v>1210</v>
      </c>
      <c r="I242" s="142" t="s">
        <v>182</v>
      </c>
      <c r="J242" s="142" t="s">
        <v>4237</v>
      </c>
      <c r="K242" s="183"/>
    </row>
    <row r="243" spans="1:11" ht="15.6">
      <c r="A243" s="237">
        <v>45973</v>
      </c>
      <c r="B243" s="142" t="s">
        <v>4917</v>
      </c>
      <c r="C243" s="142" t="s">
        <v>172</v>
      </c>
      <c r="D243" s="142" t="s">
        <v>119</v>
      </c>
      <c r="E243" s="142"/>
      <c r="F243" s="142">
        <v>1000</v>
      </c>
      <c r="G243" s="180"/>
      <c r="H243" s="181">
        <f t="shared" si="4"/>
        <v>210</v>
      </c>
      <c r="I243" s="142" t="s">
        <v>182</v>
      </c>
      <c r="J243" s="142" t="s">
        <v>4237</v>
      </c>
      <c r="K243" s="183"/>
    </row>
    <row r="244" spans="1:11" ht="15.6">
      <c r="A244" s="237">
        <v>45973</v>
      </c>
      <c r="B244" s="142" t="s">
        <v>4917</v>
      </c>
      <c r="C244" s="142" t="s">
        <v>172</v>
      </c>
      <c r="D244" s="142" t="s">
        <v>119</v>
      </c>
      <c r="E244" s="142"/>
      <c r="F244" s="142">
        <v>1500</v>
      </c>
      <c r="G244" s="180"/>
      <c r="H244" s="181">
        <f t="shared" si="4"/>
        <v>-1290</v>
      </c>
      <c r="I244" s="142" t="s">
        <v>182</v>
      </c>
      <c r="J244" s="142" t="s">
        <v>4237</v>
      </c>
      <c r="K244" s="183"/>
    </row>
    <row r="245" spans="1:11" ht="15.6">
      <c r="A245" s="237">
        <v>45973</v>
      </c>
      <c r="B245" s="142" t="s">
        <v>4988</v>
      </c>
      <c r="C245" s="142" t="s">
        <v>366</v>
      </c>
      <c r="D245" s="142" t="s">
        <v>119</v>
      </c>
      <c r="E245" s="142"/>
      <c r="F245" s="142">
        <v>1000</v>
      </c>
      <c r="G245" s="180"/>
      <c r="H245" s="181">
        <f t="shared" si="4"/>
        <v>-2290</v>
      </c>
      <c r="I245" s="142" t="s">
        <v>182</v>
      </c>
      <c r="J245" s="142" t="s">
        <v>4238</v>
      </c>
      <c r="K245" s="183"/>
    </row>
    <row r="246" spans="1:11" ht="15.6">
      <c r="A246" s="237">
        <v>45974</v>
      </c>
      <c r="B246" s="142" t="s">
        <v>4233</v>
      </c>
      <c r="C246" s="142" t="s">
        <v>122</v>
      </c>
      <c r="D246" s="142" t="s">
        <v>119</v>
      </c>
      <c r="E246" s="142">
        <v>100000</v>
      </c>
      <c r="F246" s="142"/>
      <c r="G246" s="180"/>
      <c r="H246" s="181">
        <f t="shared" si="4"/>
        <v>97710</v>
      </c>
      <c r="I246" s="142" t="s">
        <v>182</v>
      </c>
      <c r="J246" s="142" t="s">
        <v>4241</v>
      </c>
      <c r="K246" s="183"/>
    </row>
    <row r="247" spans="1:11" ht="15.6">
      <c r="A247" s="237">
        <v>45974</v>
      </c>
      <c r="B247" s="142" t="s">
        <v>4233</v>
      </c>
      <c r="C247" s="142" t="s">
        <v>122</v>
      </c>
      <c r="D247" s="142" t="s">
        <v>119</v>
      </c>
      <c r="E247" s="142">
        <v>20000</v>
      </c>
      <c r="F247" s="142"/>
      <c r="G247" s="180"/>
      <c r="H247" s="181">
        <f t="shared" si="4"/>
        <v>117710</v>
      </c>
      <c r="I247" s="142" t="s">
        <v>182</v>
      </c>
      <c r="J247" s="142" t="s">
        <v>4242</v>
      </c>
      <c r="K247" s="183"/>
    </row>
    <row r="248" spans="1:11" ht="15.6">
      <c r="A248" s="237">
        <v>45974</v>
      </c>
      <c r="B248" s="142" t="s">
        <v>4917</v>
      </c>
      <c r="C248" s="142" t="s">
        <v>172</v>
      </c>
      <c r="D248" s="142" t="s">
        <v>119</v>
      </c>
      <c r="E248" s="142"/>
      <c r="F248" s="142">
        <v>1000</v>
      </c>
      <c r="G248" s="180"/>
      <c r="H248" s="181">
        <f t="shared" si="4"/>
        <v>116710</v>
      </c>
      <c r="I248" s="142" t="s">
        <v>182</v>
      </c>
      <c r="J248" s="142" t="s">
        <v>4237</v>
      </c>
      <c r="K248" s="183"/>
    </row>
    <row r="249" spans="1:11" ht="15.6">
      <c r="A249" s="237">
        <v>45974</v>
      </c>
      <c r="B249" s="142" t="s">
        <v>4917</v>
      </c>
      <c r="C249" s="142" t="s">
        <v>172</v>
      </c>
      <c r="D249" s="142" t="s">
        <v>119</v>
      </c>
      <c r="E249" s="142"/>
      <c r="F249" s="142">
        <v>1000</v>
      </c>
      <c r="G249" s="180"/>
      <c r="H249" s="181">
        <f t="shared" si="4"/>
        <v>115710</v>
      </c>
      <c r="I249" s="142" t="s">
        <v>182</v>
      </c>
      <c r="J249" s="142" t="s">
        <v>4237</v>
      </c>
      <c r="K249" s="183"/>
    </row>
    <row r="250" spans="1:11" ht="15.6">
      <c r="A250" s="237">
        <v>45974</v>
      </c>
      <c r="B250" s="142" t="s">
        <v>4917</v>
      </c>
      <c r="C250" s="142" t="s">
        <v>172</v>
      </c>
      <c r="D250" s="142" t="s">
        <v>119</v>
      </c>
      <c r="E250" s="142"/>
      <c r="F250" s="142">
        <v>1000</v>
      </c>
      <c r="G250" s="180"/>
      <c r="H250" s="181">
        <f t="shared" si="4"/>
        <v>114710</v>
      </c>
      <c r="I250" s="142" t="s">
        <v>182</v>
      </c>
      <c r="J250" s="142" t="s">
        <v>4237</v>
      </c>
      <c r="K250" s="183"/>
    </row>
    <row r="251" spans="1:11" ht="15.6">
      <c r="A251" s="237">
        <v>45974</v>
      </c>
      <c r="B251" s="142" t="s">
        <v>4912</v>
      </c>
      <c r="C251" s="142" t="s">
        <v>172</v>
      </c>
      <c r="D251" s="142" t="s">
        <v>119</v>
      </c>
      <c r="E251" s="142"/>
      <c r="F251" s="142">
        <v>1500</v>
      </c>
      <c r="G251" s="180"/>
      <c r="H251" s="181">
        <f t="shared" si="4"/>
        <v>113210</v>
      </c>
      <c r="I251" s="142" t="s">
        <v>182</v>
      </c>
      <c r="J251" s="142" t="s">
        <v>4237</v>
      </c>
      <c r="K251" s="183"/>
    </row>
    <row r="252" spans="1:11" ht="15.6">
      <c r="A252" s="237">
        <v>45974</v>
      </c>
      <c r="B252" s="142" t="s">
        <v>4743</v>
      </c>
      <c r="C252" s="142" t="s">
        <v>172</v>
      </c>
      <c r="D252" s="142" t="s">
        <v>119</v>
      </c>
      <c r="E252" s="142"/>
      <c r="F252" s="142">
        <v>9000</v>
      </c>
      <c r="G252" s="180"/>
      <c r="H252" s="181">
        <f t="shared" si="4"/>
        <v>104210</v>
      </c>
      <c r="I252" s="142" t="s">
        <v>182</v>
      </c>
      <c r="J252" s="172" t="s">
        <v>4243</v>
      </c>
      <c r="K252" s="183"/>
    </row>
    <row r="253" spans="1:11" ht="15.6">
      <c r="A253" s="237">
        <v>45975</v>
      </c>
      <c r="B253" s="142" t="s">
        <v>4917</v>
      </c>
      <c r="C253" s="142" t="s">
        <v>172</v>
      </c>
      <c r="D253" s="142" t="s">
        <v>119</v>
      </c>
      <c r="E253" s="142"/>
      <c r="F253" s="142">
        <v>2000</v>
      </c>
      <c r="G253" s="180"/>
      <c r="H253" s="181">
        <f t="shared" si="4"/>
        <v>102210</v>
      </c>
      <c r="I253" s="142" t="s">
        <v>182</v>
      </c>
      <c r="J253" s="142" t="s">
        <v>4237</v>
      </c>
      <c r="K253" s="183"/>
    </row>
    <row r="254" spans="1:11" ht="15.6">
      <c r="A254" s="237">
        <v>45975</v>
      </c>
      <c r="B254" s="142" t="s">
        <v>4917</v>
      </c>
      <c r="C254" s="142" t="s">
        <v>172</v>
      </c>
      <c r="D254" s="142" t="s">
        <v>119</v>
      </c>
      <c r="E254" s="142"/>
      <c r="F254" s="142">
        <v>1000</v>
      </c>
      <c r="G254" s="180"/>
      <c r="H254" s="181">
        <f t="shared" si="4"/>
        <v>101210</v>
      </c>
      <c r="I254" s="142" t="s">
        <v>182</v>
      </c>
      <c r="J254" s="142" t="s">
        <v>4237</v>
      </c>
      <c r="K254" s="183"/>
    </row>
    <row r="255" spans="1:11" ht="15.6">
      <c r="A255" s="237">
        <v>45975</v>
      </c>
      <c r="B255" s="142" t="s">
        <v>4912</v>
      </c>
      <c r="C255" s="142" t="s">
        <v>172</v>
      </c>
      <c r="D255" s="142" t="s">
        <v>119</v>
      </c>
      <c r="E255" s="142"/>
      <c r="F255" s="142">
        <v>1000</v>
      </c>
      <c r="G255" s="180"/>
      <c r="H255" s="181">
        <f t="shared" si="4"/>
        <v>100210</v>
      </c>
      <c r="I255" s="142" t="s">
        <v>182</v>
      </c>
      <c r="J255" s="142" t="s">
        <v>4237</v>
      </c>
      <c r="K255" s="183"/>
    </row>
    <row r="256" spans="1:11" ht="15.6">
      <c r="A256" s="237">
        <v>45975</v>
      </c>
      <c r="B256" s="142" t="s">
        <v>4746</v>
      </c>
      <c r="C256" s="142" t="s">
        <v>175</v>
      </c>
      <c r="D256" s="142" t="s">
        <v>119</v>
      </c>
      <c r="E256" s="142"/>
      <c r="F256" s="142">
        <v>100000</v>
      </c>
      <c r="G256" s="180"/>
      <c r="H256" s="181">
        <f t="shared" si="4"/>
        <v>210</v>
      </c>
      <c r="I256" s="142" t="s">
        <v>182</v>
      </c>
      <c r="J256" s="142" t="s">
        <v>4244</v>
      </c>
      <c r="K256" s="183"/>
    </row>
    <row r="257" spans="1:11" ht="15.6">
      <c r="A257" s="237">
        <v>45976</v>
      </c>
      <c r="B257" s="142" t="s">
        <v>4917</v>
      </c>
      <c r="C257" s="142" t="s">
        <v>172</v>
      </c>
      <c r="D257" s="142" t="s">
        <v>119</v>
      </c>
      <c r="E257" s="142"/>
      <c r="F257" s="142">
        <v>1000</v>
      </c>
      <c r="G257" s="180"/>
      <c r="H257" s="181">
        <f t="shared" si="4"/>
        <v>-790</v>
      </c>
      <c r="I257" s="142" t="s">
        <v>182</v>
      </c>
      <c r="J257" s="142" t="s">
        <v>4237</v>
      </c>
      <c r="K257" s="183"/>
    </row>
    <row r="258" spans="1:11" ht="15.6">
      <c r="A258" s="237">
        <v>45976</v>
      </c>
      <c r="B258" s="142" t="s">
        <v>4912</v>
      </c>
      <c r="C258" s="142" t="s">
        <v>172</v>
      </c>
      <c r="D258" s="142" t="s">
        <v>119</v>
      </c>
      <c r="E258" s="142"/>
      <c r="F258" s="142">
        <v>1000</v>
      </c>
      <c r="G258" s="180"/>
      <c r="H258" s="181">
        <f t="shared" si="4"/>
        <v>-1790</v>
      </c>
      <c r="I258" s="142" t="s">
        <v>182</v>
      </c>
      <c r="J258" s="142" t="s">
        <v>4237</v>
      </c>
      <c r="K258" s="183"/>
    </row>
    <row r="259" spans="1:11" ht="15.6">
      <c r="A259" s="237">
        <v>45976</v>
      </c>
      <c r="B259" s="142" t="s">
        <v>4917</v>
      </c>
      <c r="C259" s="142" t="s">
        <v>172</v>
      </c>
      <c r="D259" s="142" t="s">
        <v>119</v>
      </c>
      <c r="E259" s="142"/>
      <c r="F259" s="142">
        <v>1000</v>
      </c>
      <c r="G259" s="180"/>
      <c r="H259" s="181">
        <f t="shared" si="4"/>
        <v>-2790</v>
      </c>
      <c r="I259" s="142" t="s">
        <v>182</v>
      </c>
      <c r="J259" s="142" t="s">
        <v>4237</v>
      </c>
      <c r="K259" s="183"/>
    </row>
    <row r="260" spans="1:11" ht="15.6">
      <c r="A260" s="237">
        <v>45976</v>
      </c>
      <c r="B260" s="142" t="s">
        <v>4917</v>
      </c>
      <c r="C260" s="142" t="s">
        <v>172</v>
      </c>
      <c r="D260" s="142" t="s">
        <v>119</v>
      </c>
      <c r="E260" s="142"/>
      <c r="F260" s="142">
        <v>1000</v>
      </c>
      <c r="G260" s="180"/>
      <c r="H260" s="181">
        <f t="shared" si="4"/>
        <v>-3790</v>
      </c>
      <c r="I260" s="142" t="s">
        <v>182</v>
      </c>
      <c r="J260" s="142" t="s">
        <v>4237</v>
      </c>
      <c r="K260" s="183"/>
    </row>
    <row r="261" spans="1:11" ht="15.6">
      <c r="A261" s="237">
        <v>45976</v>
      </c>
      <c r="B261" s="142" t="s">
        <v>4917</v>
      </c>
      <c r="C261" s="142" t="s">
        <v>172</v>
      </c>
      <c r="D261" s="142" t="s">
        <v>119</v>
      </c>
      <c r="E261" s="142"/>
      <c r="F261" s="142">
        <v>1000</v>
      </c>
      <c r="G261" s="180"/>
      <c r="H261" s="181">
        <f t="shared" si="4"/>
        <v>-4790</v>
      </c>
      <c r="I261" s="142" t="s">
        <v>182</v>
      </c>
      <c r="J261" s="142" t="s">
        <v>4237</v>
      </c>
      <c r="K261" s="183"/>
    </row>
    <row r="262" spans="1:11" ht="15.6">
      <c r="A262" s="237">
        <v>45977</v>
      </c>
      <c r="B262" s="142" t="s">
        <v>4917</v>
      </c>
      <c r="C262" s="142" t="s">
        <v>172</v>
      </c>
      <c r="D262" s="142" t="s">
        <v>119</v>
      </c>
      <c r="E262" s="142"/>
      <c r="F262" s="142">
        <v>1000</v>
      </c>
      <c r="G262" s="180"/>
      <c r="H262" s="181">
        <f t="shared" si="4"/>
        <v>-5790</v>
      </c>
      <c r="I262" s="142" t="s">
        <v>182</v>
      </c>
      <c r="J262" s="142" t="s">
        <v>4237</v>
      </c>
      <c r="K262" s="183"/>
    </row>
    <row r="263" spans="1:11" ht="15.6">
      <c r="A263" s="237">
        <v>45977</v>
      </c>
      <c r="B263" s="142" t="s">
        <v>4917</v>
      </c>
      <c r="C263" s="142" t="s">
        <v>172</v>
      </c>
      <c r="D263" s="142" t="s">
        <v>119</v>
      </c>
      <c r="E263" s="142"/>
      <c r="F263" s="142">
        <v>1500</v>
      </c>
      <c r="G263" s="180"/>
      <c r="H263" s="181">
        <f t="shared" si="4"/>
        <v>-7290</v>
      </c>
      <c r="I263" s="142" t="s">
        <v>182</v>
      </c>
      <c r="J263" s="142" t="s">
        <v>4237</v>
      </c>
      <c r="K263" s="183"/>
    </row>
    <row r="264" spans="1:11" ht="15.6">
      <c r="A264" s="237">
        <v>45977</v>
      </c>
      <c r="B264" s="142" t="s">
        <v>4917</v>
      </c>
      <c r="C264" s="142" t="s">
        <v>172</v>
      </c>
      <c r="D264" s="142" t="s">
        <v>119</v>
      </c>
      <c r="E264" s="142"/>
      <c r="F264" s="142">
        <v>1000</v>
      </c>
      <c r="G264" s="180"/>
      <c r="H264" s="181">
        <f t="shared" si="4"/>
        <v>-8290</v>
      </c>
      <c r="I264" s="142" t="s">
        <v>182</v>
      </c>
      <c r="J264" s="142" t="s">
        <v>4237</v>
      </c>
      <c r="K264" s="183"/>
    </row>
    <row r="265" spans="1:11" ht="15.6">
      <c r="A265" s="237">
        <v>45977</v>
      </c>
      <c r="B265" s="142" t="s">
        <v>4917</v>
      </c>
      <c r="C265" s="142" t="s">
        <v>172</v>
      </c>
      <c r="D265" s="142" t="s">
        <v>119</v>
      </c>
      <c r="E265" s="142"/>
      <c r="F265" s="142">
        <v>1000</v>
      </c>
      <c r="G265" s="180"/>
      <c r="H265" s="181">
        <f t="shared" si="4"/>
        <v>-9290</v>
      </c>
      <c r="I265" s="142" t="s">
        <v>182</v>
      </c>
      <c r="J265" s="142" t="s">
        <v>4237</v>
      </c>
      <c r="K265" s="183"/>
    </row>
    <row r="266" spans="1:11" ht="15.6">
      <c r="A266" s="237">
        <v>45977</v>
      </c>
      <c r="B266" s="142" t="s">
        <v>4917</v>
      </c>
      <c r="C266" s="142" t="s">
        <v>172</v>
      </c>
      <c r="D266" s="142" t="s">
        <v>119</v>
      </c>
      <c r="E266" s="142"/>
      <c r="F266" s="142">
        <v>1000</v>
      </c>
      <c r="G266" s="180"/>
      <c r="H266" s="181">
        <f t="shared" si="4"/>
        <v>-10290</v>
      </c>
      <c r="I266" s="142" t="s">
        <v>182</v>
      </c>
      <c r="J266" s="142" t="s">
        <v>4237</v>
      </c>
      <c r="K266" s="183"/>
    </row>
    <row r="267" spans="1:11" ht="15.6">
      <c r="A267" s="237">
        <v>45977</v>
      </c>
      <c r="B267" s="142" t="s">
        <v>4917</v>
      </c>
      <c r="C267" s="142" t="s">
        <v>172</v>
      </c>
      <c r="D267" s="142" t="s">
        <v>119</v>
      </c>
      <c r="E267" s="142"/>
      <c r="F267" s="142">
        <v>1000</v>
      </c>
      <c r="G267" s="180"/>
      <c r="H267" s="181">
        <f t="shared" si="4"/>
        <v>-11290</v>
      </c>
      <c r="I267" s="142" t="s">
        <v>182</v>
      </c>
      <c r="J267" s="142" t="s">
        <v>4237</v>
      </c>
      <c r="K267" s="183"/>
    </row>
    <row r="268" spans="1:11" ht="15.6">
      <c r="A268" s="237">
        <v>45978</v>
      </c>
      <c r="B268" s="142" t="s">
        <v>4233</v>
      </c>
      <c r="C268" s="142" t="s">
        <v>122</v>
      </c>
      <c r="D268" s="142" t="s">
        <v>119</v>
      </c>
      <c r="E268" s="142">
        <v>75000</v>
      </c>
      <c r="F268" s="142"/>
      <c r="G268" s="180"/>
      <c r="H268" s="181">
        <f t="shared" si="4"/>
        <v>63710</v>
      </c>
      <c r="I268" s="142" t="s">
        <v>182</v>
      </c>
      <c r="J268" s="142" t="s">
        <v>4245</v>
      </c>
      <c r="K268" s="183"/>
    </row>
    <row r="269" spans="1:11" ht="15.6">
      <c r="A269" s="237">
        <v>45978</v>
      </c>
      <c r="B269" s="142" t="s">
        <v>4917</v>
      </c>
      <c r="C269" s="142" t="s">
        <v>172</v>
      </c>
      <c r="D269" s="142" t="s">
        <v>119</v>
      </c>
      <c r="E269" s="142"/>
      <c r="F269" s="142">
        <v>1000</v>
      </c>
      <c r="G269" s="180"/>
      <c r="H269" s="181">
        <f t="shared" si="4"/>
        <v>62710</v>
      </c>
      <c r="I269" s="142" t="s">
        <v>182</v>
      </c>
      <c r="J269" s="142" t="s">
        <v>4237</v>
      </c>
      <c r="K269" s="183"/>
    </row>
    <row r="270" spans="1:11" ht="15.6">
      <c r="A270" s="237">
        <v>45978</v>
      </c>
      <c r="B270" s="142" t="s">
        <v>4917</v>
      </c>
      <c r="C270" s="142" t="s">
        <v>172</v>
      </c>
      <c r="D270" s="142" t="s">
        <v>119</v>
      </c>
      <c r="E270" s="142"/>
      <c r="F270" s="142">
        <v>1000</v>
      </c>
      <c r="G270" s="180"/>
      <c r="H270" s="181">
        <f t="shared" si="4"/>
        <v>61710</v>
      </c>
      <c r="I270" s="142" t="s">
        <v>182</v>
      </c>
      <c r="J270" s="142" t="s">
        <v>4237</v>
      </c>
      <c r="K270" s="183"/>
    </row>
    <row r="271" spans="1:11" ht="15.6">
      <c r="A271" s="237">
        <v>45978</v>
      </c>
      <c r="B271" s="142" t="s">
        <v>4917</v>
      </c>
      <c r="C271" s="142" t="s">
        <v>172</v>
      </c>
      <c r="D271" s="142" t="s">
        <v>119</v>
      </c>
      <c r="E271" s="142"/>
      <c r="F271" s="142">
        <v>1000</v>
      </c>
      <c r="G271" s="180"/>
      <c r="H271" s="181">
        <f t="shared" si="4"/>
        <v>60710</v>
      </c>
      <c r="I271" s="142" t="s">
        <v>182</v>
      </c>
      <c r="J271" s="142" t="s">
        <v>4237</v>
      </c>
      <c r="K271" s="183"/>
    </row>
    <row r="272" spans="1:11" ht="15.6">
      <c r="A272" s="237">
        <v>45978</v>
      </c>
      <c r="B272" s="142" t="s">
        <v>4917</v>
      </c>
      <c r="C272" s="142" t="s">
        <v>172</v>
      </c>
      <c r="D272" s="142" t="s">
        <v>119</v>
      </c>
      <c r="E272" s="142"/>
      <c r="F272" s="142">
        <v>1000</v>
      </c>
      <c r="G272" s="180"/>
      <c r="H272" s="181">
        <f t="shared" si="4"/>
        <v>59710</v>
      </c>
      <c r="I272" s="142" t="s">
        <v>182</v>
      </c>
      <c r="J272" s="142" t="s">
        <v>4237</v>
      </c>
      <c r="K272" s="183"/>
    </row>
    <row r="273" spans="1:11" ht="15.6">
      <c r="A273" s="237">
        <v>45978</v>
      </c>
      <c r="B273" s="172" t="s">
        <v>4235</v>
      </c>
      <c r="C273" s="172" t="s">
        <v>150</v>
      </c>
      <c r="D273" s="172" t="s">
        <v>119</v>
      </c>
      <c r="E273" s="142">
        <v>10000</v>
      </c>
      <c r="F273" s="142"/>
      <c r="G273" s="180"/>
      <c r="H273" s="181">
        <f t="shared" si="4"/>
        <v>69710</v>
      </c>
      <c r="I273" s="142" t="s">
        <v>182</v>
      </c>
      <c r="J273" s="172" t="s">
        <v>4246</v>
      </c>
      <c r="K273" s="183"/>
    </row>
    <row r="274" spans="1:11" ht="15.6">
      <c r="A274" s="237">
        <v>45978</v>
      </c>
      <c r="B274" s="172" t="s">
        <v>4235</v>
      </c>
      <c r="C274" s="172" t="s">
        <v>150</v>
      </c>
      <c r="D274" s="172" t="s">
        <v>2472</v>
      </c>
      <c r="E274" s="142"/>
      <c r="F274" s="142">
        <v>10000</v>
      </c>
      <c r="G274" s="180"/>
      <c r="H274" s="181">
        <f t="shared" si="4"/>
        <v>59710</v>
      </c>
      <c r="I274" s="142" t="s">
        <v>182</v>
      </c>
      <c r="J274" s="172" t="s">
        <v>4246</v>
      </c>
      <c r="K274" s="183"/>
    </row>
    <row r="275" spans="1:11" ht="15.6">
      <c r="A275" s="237">
        <v>45979</v>
      </c>
      <c r="B275" s="142" t="s">
        <v>4917</v>
      </c>
      <c r="C275" s="142" t="s">
        <v>172</v>
      </c>
      <c r="D275" s="142" t="s">
        <v>119</v>
      </c>
      <c r="E275" s="142"/>
      <c r="F275" s="142">
        <v>1000</v>
      </c>
      <c r="G275" s="180"/>
      <c r="H275" s="181">
        <f t="shared" si="4"/>
        <v>58710</v>
      </c>
      <c r="I275" s="142" t="s">
        <v>182</v>
      </c>
      <c r="J275" s="142" t="s">
        <v>4237</v>
      </c>
      <c r="K275" s="183"/>
    </row>
    <row r="276" spans="1:11" ht="15.6">
      <c r="A276" s="237">
        <v>45979</v>
      </c>
      <c r="B276" s="142" t="s">
        <v>4917</v>
      </c>
      <c r="C276" s="142" t="s">
        <v>172</v>
      </c>
      <c r="D276" s="142" t="s">
        <v>119</v>
      </c>
      <c r="E276" s="142"/>
      <c r="F276" s="142">
        <v>1000</v>
      </c>
      <c r="G276" s="180"/>
      <c r="H276" s="181">
        <f t="shared" si="4"/>
        <v>57710</v>
      </c>
      <c r="I276" s="142" t="s">
        <v>182</v>
      </c>
      <c r="J276" s="142" t="s">
        <v>4237</v>
      </c>
      <c r="K276" s="183"/>
    </row>
    <row r="277" spans="1:11" ht="15.6">
      <c r="A277" s="237">
        <v>45979</v>
      </c>
      <c r="B277" s="142" t="s">
        <v>4917</v>
      </c>
      <c r="C277" s="142" t="s">
        <v>172</v>
      </c>
      <c r="D277" s="142" t="s">
        <v>119</v>
      </c>
      <c r="E277" s="142"/>
      <c r="F277" s="142">
        <v>1000</v>
      </c>
      <c r="G277" s="180"/>
      <c r="H277" s="181">
        <f t="shared" si="4"/>
        <v>56710</v>
      </c>
      <c r="I277" s="142" t="s">
        <v>182</v>
      </c>
      <c r="J277" s="142" t="s">
        <v>4237</v>
      </c>
      <c r="K277" s="183"/>
    </row>
    <row r="278" spans="1:11" ht="15.6">
      <c r="A278" s="237">
        <v>45979</v>
      </c>
      <c r="B278" s="142" t="s">
        <v>4917</v>
      </c>
      <c r="C278" s="142" t="s">
        <v>172</v>
      </c>
      <c r="D278" s="142" t="s">
        <v>119</v>
      </c>
      <c r="E278" s="142"/>
      <c r="F278" s="142">
        <v>1000</v>
      </c>
      <c r="G278" s="180"/>
      <c r="H278" s="181">
        <f t="shared" si="4"/>
        <v>55710</v>
      </c>
      <c r="I278" s="142" t="s">
        <v>182</v>
      </c>
      <c r="J278" s="142" t="s">
        <v>4237</v>
      </c>
      <c r="K278" s="183"/>
    </row>
    <row r="279" spans="1:11" ht="15.6">
      <c r="A279" s="237">
        <v>45979</v>
      </c>
      <c r="B279" s="142" t="s">
        <v>4912</v>
      </c>
      <c r="C279" s="142" t="s">
        <v>172</v>
      </c>
      <c r="D279" s="142" t="s">
        <v>119</v>
      </c>
      <c r="E279" s="142"/>
      <c r="F279" s="142">
        <v>1000</v>
      </c>
      <c r="G279" s="180"/>
      <c r="H279" s="181">
        <f t="shared" si="4"/>
        <v>54710</v>
      </c>
      <c r="I279" s="142" t="s">
        <v>182</v>
      </c>
      <c r="J279" s="142" t="s">
        <v>4237</v>
      </c>
      <c r="K279" s="183"/>
    </row>
    <row r="280" spans="1:11" ht="15.6">
      <c r="A280" s="237">
        <v>45980</v>
      </c>
      <c r="B280" s="142" t="s">
        <v>4233</v>
      </c>
      <c r="C280" s="142" t="s">
        <v>122</v>
      </c>
      <c r="D280" s="142" t="s">
        <v>119</v>
      </c>
      <c r="E280" s="142">
        <v>87000</v>
      </c>
      <c r="F280" s="142"/>
      <c r="G280" s="180"/>
      <c r="H280" s="181">
        <f t="shared" si="4"/>
        <v>141710</v>
      </c>
      <c r="I280" s="142" t="s">
        <v>182</v>
      </c>
      <c r="J280" s="142" t="s">
        <v>4247</v>
      </c>
      <c r="K280" s="183"/>
    </row>
    <row r="281" spans="1:11" ht="15.6">
      <c r="A281" s="237">
        <v>45980</v>
      </c>
      <c r="B281" s="142" t="s">
        <v>4917</v>
      </c>
      <c r="C281" s="142" t="s">
        <v>172</v>
      </c>
      <c r="D281" s="142" t="s">
        <v>119</v>
      </c>
      <c r="E281" s="142"/>
      <c r="F281" s="142">
        <v>1500</v>
      </c>
      <c r="G281" s="180"/>
      <c r="H281" s="181">
        <f t="shared" si="4"/>
        <v>140210</v>
      </c>
      <c r="I281" s="142" t="s">
        <v>182</v>
      </c>
      <c r="J281" s="142" t="s">
        <v>4237</v>
      </c>
      <c r="K281" s="183"/>
    </row>
    <row r="282" spans="1:11" ht="15.6">
      <c r="A282" s="237">
        <v>45980</v>
      </c>
      <c r="B282" s="142" t="s">
        <v>4917</v>
      </c>
      <c r="C282" s="142" t="s">
        <v>172</v>
      </c>
      <c r="D282" s="142" t="s">
        <v>119</v>
      </c>
      <c r="E282" s="142"/>
      <c r="F282" s="142">
        <v>1000</v>
      </c>
      <c r="G282" s="180"/>
      <c r="H282" s="181">
        <f t="shared" ref="H282:H307" si="5">H281+E282-F282</f>
        <v>139210</v>
      </c>
      <c r="I282" s="142" t="s">
        <v>182</v>
      </c>
      <c r="J282" s="142" t="s">
        <v>4237</v>
      </c>
      <c r="K282" s="183"/>
    </row>
    <row r="283" spans="1:11" ht="15.6">
      <c r="A283" s="237">
        <v>45980</v>
      </c>
      <c r="B283" s="142" t="s">
        <v>4917</v>
      </c>
      <c r="C283" s="142" t="s">
        <v>172</v>
      </c>
      <c r="D283" s="142" t="s">
        <v>119</v>
      </c>
      <c r="E283" s="142"/>
      <c r="F283" s="142">
        <v>1000</v>
      </c>
      <c r="G283" s="180"/>
      <c r="H283" s="181">
        <f t="shared" si="5"/>
        <v>138210</v>
      </c>
      <c r="I283" s="142" t="s">
        <v>182</v>
      </c>
      <c r="J283" s="142" t="s">
        <v>4237</v>
      </c>
      <c r="K283" s="183"/>
    </row>
    <row r="284" spans="1:11" ht="15.6">
      <c r="A284" s="237">
        <v>45980</v>
      </c>
      <c r="B284" s="142" t="s">
        <v>4912</v>
      </c>
      <c r="C284" s="142" t="s">
        <v>172</v>
      </c>
      <c r="D284" s="142" t="s">
        <v>119</v>
      </c>
      <c r="E284" s="142"/>
      <c r="F284" s="142">
        <v>1000</v>
      </c>
      <c r="G284" s="180"/>
      <c r="H284" s="181">
        <f t="shared" si="5"/>
        <v>137210</v>
      </c>
      <c r="I284" s="142" t="s">
        <v>182</v>
      </c>
      <c r="J284" s="142" t="s">
        <v>4237</v>
      </c>
      <c r="K284" s="183"/>
    </row>
    <row r="285" spans="1:11" ht="15.6">
      <c r="A285" s="237">
        <v>45982</v>
      </c>
      <c r="B285" s="142" t="s">
        <v>4233</v>
      </c>
      <c r="C285" s="142" t="s">
        <v>122</v>
      </c>
      <c r="D285" s="142" t="s">
        <v>119</v>
      </c>
      <c r="E285" s="142">
        <v>58000</v>
      </c>
      <c r="F285" s="142"/>
      <c r="G285" s="180"/>
      <c r="H285" s="181">
        <f t="shared" si="5"/>
        <v>195210</v>
      </c>
      <c r="I285" s="142" t="s">
        <v>182</v>
      </c>
      <c r="J285" s="142" t="s">
        <v>4248</v>
      </c>
      <c r="K285" s="183"/>
    </row>
    <row r="286" spans="1:11" ht="15.6">
      <c r="A286" s="237">
        <v>45984</v>
      </c>
      <c r="B286" s="142" t="s">
        <v>4917</v>
      </c>
      <c r="C286" s="142" t="s">
        <v>172</v>
      </c>
      <c r="D286" s="142" t="s">
        <v>119</v>
      </c>
      <c r="E286" s="142"/>
      <c r="F286" s="142">
        <v>1000</v>
      </c>
      <c r="G286" s="180"/>
      <c r="H286" s="181">
        <f t="shared" si="5"/>
        <v>194210</v>
      </c>
      <c r="I286" s="142" t="s">
        <v>182</v>
      </c>
      <c r="J286" s="142" t="s">
        <v>4237</v>
      </c>
      <c r="K286" s="183"/>
    </row>
    <row r="287" spans="1:11" ht="15.6">
      <c r="A287" s="237">
        <v>45984</v>
      </c>
      <c r="B287" s="142" t="s">
        <v>4917</v>
      </c>
      <c r="C287" s="142" t="s">
        <v>172</v>
      </c>
      <c r="D287" s="142" t="s">
        <v>119</v>
      </c>
      <c r="E287" s="142"/>
      <c r="F287" s="142">
        <v>1000</v>
      </c>
      <c r="G287" s="180"/>
      <c r="H287" s="181">
        <f t="shared" si="5"/>
        <v>193210</v>
      </c>
      <c r="I287" s="142" t="s">
        <v>182</v>
      </c>
      <c r="J287" s="142" t="s">
        <v>4237</v>
      </c>
      <c r="K287" s="183"/>
    </row>
    <row r="288" spans="1:11" ht="15.6">
      <c r="A288" s="237">
        <v>45984</v>
      </c>
      <c r="B288" s="142" t="s">
        <v>4758</v>
      </c>
      <c r="C288" s="142" t="s">
        <v>172</v>
      </c>
      <c r="D288" s="142" t="s">
        <v>119</v>
      </c>
      <c r="E288" s="142"/>
      <c r="F288" s="142">
        <v>9000</v>
      </c>
      <c r="G288" s="180"/>
      <c r="H288" s="181">
        <f t="shared" si="5"/>
        <v>184210</v>
      </c>
      <c r="I288" s="142" t="s">
        <v>182</v>
      </c>
      <c r="J288" s="172" t="s">
        <v>4249</v>
      </c>
      <c r="K288" s="183"/>
    </row>
    <row r="289" spans="1:11" ht="15.6">
      <c r="A289" s="237">
        <v>45985</v>
      </c>
      <c r="B289" s="142" t="s">
        <v>4759</v>
      </c>
      <c r="C289" s="142" t="s">
        <v>175</v>
      </c>
      <c r="D289" s="142" t="s">
        <v>119</v>
      </c>
      <c r="E289" s="142"/>
      <c r="F289" s="142">
        <v>150000</v>
      </c>
      <c r="G289" s="180"/>
      <c r="H289" s="181">
        <f t="shared" si="5"/>
        <v>34210</v>
      </c>
      <c r="I289" s="142" t="s">
        <v>182</v>
      </c>
      <c r="J289" s="172" t="s">
        <v>4250</v>
      </c>
      <c r="K289" s="183"/>
    </row>
    <row r="290" spans="1:11" ht="15.6">
      <c r="A290" s="237">
        <v>45985</v>
      </c>
      <c r="B290" s="142" t="s">
        <v>4917</v>
      </c>
      <c r="C290" s="142" t="s">
        <v>172</v>
      </c>
      <c r="D290" s="142" t="s">
        <v>119</v>
      </c>
      <c r="E290" s="142"/>
      <c r="F290" s="142">
        <v>1000</v>
      </c>
      <c r="G290" s="180"/>
      <c r="H290" s="181">
        <f t="shared" si="5"/>
        <v>33210</v>
      </c>
      <c r="I290" s="142" t="s">
        <v>182</v>
      </c>
      <c r="J290" s="142" t="s">
        <v>4237</v>
      </c>
      <c r="K290" s="183"/>
    </row>
    <row r="291" spans="1:11" ht="15.6">
      <c r="A291" s="237">
        <v>45985</v>
      </c>
      <c r="B291" s="142" t="s">
        <v>4917</v>
      </c>
      <c r="C291" s="142" t="s">
        <v>172</v>
      </c>
      <c r="D291" s="142" t="s">
        <v>119</v>
      </c>
      <c r="E291" s="142"/>
      <c r="F291" s="142">
        <v>1500</v>
      </c>
      <c r="G291" s="180"/>
      <c r="H291" s="181">
        <f t="shared" si="5"/>
        <v>31710</v>
      </c>
      <c r="I291" s="142" t="s">
        <v>182</v>
      </c>
      <c r="J291" s="142" t="s">
        <v>4237</v>
      </c>
      <c r="K291" s="183"/>
    </row>
    <row r="292" spans="1:11" ht="15.6">
      <c r="A292" s="237">
        <v>45988</v>
      </c>
      <c r="B292" s="142" t="s">
        <v>4233</v>
      </c>
      <c r="C292" s="142" t="s">
        <v>122</v>
      </c>
      <c r="D292" s="142" t="s">
        <v>119</v>
      </c>
      <c r="E292" s="142">
        <v>40000</v>
      </c>
      <c r="F292" s="142"/>
      <c r="G292" s="180"/>
      <c r="H292" s="181">
        <f t="shared" si="5"/>
        <v>71710</v>
      </c>
      <c r="I292" s="142" t="s">
        <v>182</v>
      </c>
      <c r="J292" s="142" t="s">
        <v>4251</v>
      </c>
      <c r="K292" s="183"/>
    </row>
    <row r="293" spans="1:11" ht="15.6">
      <c r="A293" s="237">
        <v>45988</v>
      </c>
      <c r="B293" s="142" t="s">
        <v>4917</v>
      </c>
      <c r="C293" s="142" t="s">
        <v>172</v>
      </c>
      <c r="D293" s="142" t="s">
        <v>119</v>
      </c>
      <c r="E293" s="142"/>
      <c r="F293" s="142">
        <v>1000</v>
      </c>
      <c r="G293" s="180"/>
      <c r="H293" s="181">
        <f t="shared" si="5"/>
        <v>70710</v>
      </c>
      <c r="I293" s="142" t="s">
        <v>182</v>
      </c>
      <c r="J293" s="142" t="s">
        <v>4237</v>
      </c>
      <c r="K293" s="183"/>
    </row>
    <row r="294" spans="1:11" ht="15.6">
      <c r="A294" s="237">
        <v>45988</v>
      </c>
      <c r="B294" s="142" t="s">
        <v>4912</v>
      </c>
      <c r="C294" s="142" t="s">
        <v>172</v>
      </c>
      <c r="D294" s="142" t="s">
        <v>119</v>
      </c>
      <c r="E294" s="142"/>
      <c r="F294" s="142">
        <v>1500</v>
      </c>
      <c r="G294" s="180"/>
      <c r="H294" s="181">
        <f t="shared" si="5"/>
        <v>69210</v>
      </c>
      <c r="I294" s="142" t="s">
        <v>182</v>
      </c>
      <c r="J294" s="142" t="s">
        <v>4237</v>
      </c>
      <c r="K294" s="183"/>
    </row>
    <row r="295" spans="1:11" ht="15.6">
      <c r="A295" s="237">
        <v>45988</v>
      </c>
      <c r="B295" s="142" t="s">
        <v>4758</v>
      </c>
      <c r="C295" s="142" t="s">
        <v>172</v>
      </c>
      <c r="D295" s="142" t="s">
        <v>119</v>
      </c>
      <c r="E295" s="142"/>
      <c r="F295" s="142">
        <v>6000</v>
      </c>
      <c r="G295" s="180"/>
      <c r="H295" s="181">
        <f t="shared" si="5"/>
        <v>63210</v>
      </c>
      <c r="I295" s="142" t="s">
        <v>182</v>
      </c>
      <c r="J295" s="172" t="s">
        <v>4252</v>
      </c>
      <c r="K295" s="183"/>
    </row>
    <row r="296" spans="1:11" ht="15.6">
      <c r="A296" s="237">
        <v>45989</v>
      </c>
      <c r="B296" s="142" t="s">
        <v>4761</v>
      </c>
      <c r="C296" s="142" t="s">
        <v>175</v>
      </c>
      <c r="D296" s="142" t="s">
        <v>119</v>
      </c>
      <c r="E296" s="142"/>
      <c r="F296" s="142">
        <v>40000</v>
      </c>
      <c r="G296" s="180"/>
      <c r="H296" s="181">
        <f t="shared" si="5"/>
        <v>23210</v>
      </c>
      <c r="I296" s="142" t="s">
        <v>182</v>
      </c>
      <c r="J296" s="142" t="s">
        <v>4253</v>
      </c>
      <c r="K296" s="183"/>
    </row>
    <row r="297" spans="1:11" ht="15.6">
      <c r="A297" s="237">
        <v>45989</v>
      </c>
      <c r="B297" s="142" t="s">
        <v>4917</v>
      </c>
      <c r="C297" s="142" t="s">
        <v>172</v>
      </c>
      <c r="D297" s="142" t="s">
        <v>119</v>
      </c>
      <c r="E297" s="142"/>
      <c r="F297" s="142">
        <v>1500</v>
      </c>
      <c r="G297" s="180"/>
      <c r="H297" s="181">
        <f t="shared" si="5"/>
        <v>21710</v>
      </c>
      <c r="I297" s="142" t="s">
        <v>182</v>
      </c>
      <c r="J297" s="142" t="s">
        <v>4237</v>
      </c>
      <c r="K297" s="183"/>
    </row>
    <row r="298" spans="1:11" ht="15.6">
      <c r="A298" s="237">
        <v>45989</v>
      </c>
      <c r="B298" s="142" t="s">
        <v>4917</v>
      </c>
      <c r="C298" s="142" t="s">
        <v>172</v>
      </c>
      <c r="D298" s="142" t="s">
        <v>119</v>
      </c>
      <c r="E298" s="142"/>
      <c r="F298" s="142">
        <v>1000</v>
      </c>
      <c r="G298" s="180"/>
      <c r="H298" s="181">
        <f t="shared" si="5"/>
        <v>20710</v>
      </c>
      <c r="I298" s="142" t="s">
        <v>182</v>
      </c>
      <c r="J298" s="142" t="s">
        <v>4237</v>
      </c>
      <c r="K298" s="183"/>
    </row>
    <row r="299" spans="1:11" ht="15.6">
      <c r="A299" s="237">
        <v>45990</v>
      </c>
      <c r="B299" s="142" t="s">
        <v>4938</v>
      </c>
      <c r="C299" s="142" t="s">
        <v>172</v>
      </c>
      <c r="D299" s="142" t="s">
        <v>119</v>
      </c>
      <c r="E299" s="142"/>
      <c r="F299" s="142">
        <v>700</v>
      </c>
      <c r="G299" s="180"/>
      <c r="H299" s="181">
        <f t="shared" si="5"/>
        <v>20010</v>
      </c>
      <c r="I299" s="142" t="s">
        <v>182</v>
      </c>
      <c r="J299" s="142" t="s">
        <v>4237</v>
      </c>
      <c r="K299" s="183"/>
    </row>
    <row r="300" spans="1:11" ht="15.6">
      <c r="A300" s="237">
        <v>45990</v>
      </c>
      <c r="B300" s="142" t="s">
        <v>4938</v>
      </c>
      <c r="C300" s="142" t="s">
        <v>172</v>
      </c>
      <c r="D300" s="142" t="s">
        <v>119</v>
      </c>
      <c r="E300" s="142"/>
      <c r="F300" s="142">
        <v>700</v>
      </c>
      <c r="G300" s="180"/>
      <c r="H300" s="181">
        <f t="shared" si="5"/>
        <v>19310</v>
      </c>
      <c r="I300" s="142" t="s">
        <v>182</v>
      </c>
      <c r="J300" s="142" t="s">
        <v>4237</v>
      </c>
      <c r="K300" s="183"/>
    </row>
    <row r="301" spans="1:11" ht="15.6">
      <c r="A301" s="237">
        <v>45990</v>
      </c>
      <c r="B301" s="142" t="s">
        <v>4938</v>
      </c>
      <c r="C301" s="142" t="s">
        <v>172</v>
      </c>
      <c r="D301" s="142" t="s">
        <v>119</v>
      </c>
      <c r="E301" s="142"/>
      <c r="F301" s="142">
        <v>700</v>
      </c>
      <c r="G301" s="180"/>
      <c r="H301" s="181">
        <f t="shared" si="5"/>
        <v>18610</v>
      </c>
      <c r="I301" s="142" t="s">
        <v>182</v>
      </c>
      <c r="J301" s="142" t="s">
        <v>4237</v>
      </c>
      <c r="K301" s="183"/>
    </row>
    <row r="302" spans="1:11" ht="15.6">
      <c r="A302" s="237">
        <v>45990</v>
      </c>
      <c r="B302" s="142" t="s">
        <v>4894</v>
      </c>
      <c r="C302" s="142" t="s">
        <v>172</v>
      </c>
      <c r="D302" s="142" t="s">
        <v>119</v>
      </c>
      <c r="E302" s="142"/>
      <c r="F302" s="142">
        <v>700</v>
      </c>
      <c r="G302" s="180"/>
      <c r="H302" s="181">
        <f t="shared" si="5"/>
        <v>17910</v>
      </c>
      <c r="I302" s="142" t="s">
        <v>182</v>
      </c>
      <c r="J302" s="142" t="s">
        <v>4237</v>
      </c>
      <c r="K302" s="183"/>
    </row>
    <row r="303" spans="1:11" ht="15.6">
      <c r="A303" s="237">
        <v>45990</v>
      </c>
      <c r="B303" s="142" t="s">
        <v>4975</v>
      </c>
      <c r="C303" s="142" t="s">
        <v>366</v>
      </c>
      <c r="D303" s="142" t="s">
        <v>119</v>
      </c>
      <c r="E303" s="142"/>
      <c r="F303" s="142">
        <v>2000</v>
      </c>
      <c r="G303" s="180"/>
      <c r="H303" s="181">
        <f t="shared" si="5"/>
        <v>15910</v>
      </c>
      <c r="I303" s="142" t="s">
        <v>182</v>
      </c>
      <c r="J303" s="142" t="s">
        <v>4238</v>
      </c>
      <c r="K303" s="183"/>
    </row>
    <row r="304" spans="1:11" ht="15.6">
      <c r="A304" s="237">
        <v>45991</v>
      </c>
      <c r="B304" s="142" t="s">
        <v>4912</v>
      </c>
      <c r="C304" s="142" t="s">
        <v>172</v>
      </c>
      <c r="D304" s="142" t="s">
        <v>119</v>
      </c>
      <c r="E304" s="142"/>
      <c r="F304" s="142">
        <v>1000</v>
      </c>
      <c r="G304" s="180"/>
      <c r="H304" s="181">
        <f t="shared" si="5"/>
        <v>14910</v>
      </c>
      <c r="I304" s="142" t="s">
        <v>182</v>
      </c>
      <c r="J304" s="142" t="s">
        <v>4237</v>
      </c>
      <c r="K304" s="183"/>
    </row>
    <row r="305" spans="1:11" ht="15.6">
      <c r="A305" s="237">
        <v>45991</v>
      </c>
      <c r="B305" s="142" t="s">
        <v>4917</v>
      </c>
      <c r="C305" s="142" t="s">
        <v>172</v>
      </c>
      <c r="D305" s="142" t="s">
        <v>119</v>
      </c>
      <c r="E305" s="142"/>
      <c r="F305" s="142">
        <v>1000</v>
      </c>
      <c r="G305" s="180"/>
      <c r="H305" s="181">
        <f t="shared" si="5"/>
        <v>13910</v>
      </c>
      <c r="I305" s="142" t="s">
        <v>182</v>
      </c>
      <c r="J305" s="142" t="s">
        <v>4237</v>
      </c>
      <c r="K305" s="183"/>
    </row>
    <row r="306" spans="1:11" ht="15.6">
      <c r="A306" s="237">
        <v>45991</v>
      </c>
      <c r="B306" s="142" t="s">
        <v>4759</v>
      </c>
      <c r="C306" s="142" t="s">
        <v>175</v>
      </c>
      <c r="D306" s="142" t="s">
        <v>119</v>
      </c>
      <c r="E306" s="142"/>
      <c r="F306" s="142">
        <v>30000</v>
      </c>
      <c r="G306" s="180"/>
      <c r="H306" s="181">
        <f t="shared" si="5"/>
        <v>-16090</v>
      </c>
      <c r="I306" s="142" t="s">
        <v>182</v>
      </c>
      <c r="J306" s="172" t="s">
        <v>4254</v>
      </c>
      <c r="K306" s="183"/>
    </row>
    <row r="307" spans="1:11" ht="15.6">
      <c r="A307" s="237">
        <v>45991</v>
      </c>
      <c r="B307" s="142" t="s">
        <v>4758</v>
      </c>
      <c r="C307" s="142" t="s">
        <v>172</v>
      </c>
      <c r="D307" s="142" t="s">
        <v>119</v>
      </c>
      <c r="E307" s="142"/>
      <c r="F307" s="142">
        <v>5000</v>
      </c>
      <c r="G307" s="180"/>
      <c r="H307" s="181">
        <f t="shared" si="5"/>
        <v>-21090</v>
      </c>
      <c r="I307" s="142" t="s">
        <v>182</v>
      </c>
      <c r="J307" s="172" t="s">
        <v>4255</v>
      </c>
      <c r="K307" s="183"/>
    </row>
    <row r="308" spans="1:11" ht="15.6">
      <c r="A308" s="175"/>
      <c r="B308" s="183"/>
      <c r="C308" s="183"/>
      <c r="D308" s="183"/>
      <c r="E308" s="195">
        <f>SUM(E217:E307)</f>
        <v>430000</v>
      </c>
      <c r="F308" s="195">
        <f>SUM(F217:F307)</f>
        <v>467200</v>
      </c>
      <c r="G308" s="195"/>
      <c r="H308" s="203">
        <f>+E308-F308+H216</f>
        <v>-21090</v>
      </c>
      <c r="I308" s="183"/>
      <c r="J308" s="183"/>
      <c r="K308" s="183"/>
    </row>
    <row r="309" spans="1:11" ht="15.6">
      <c r="A309" s="185"/>
      <c r="B309" s="183"/>
      <c r="C309" s="183"/>
      <c r="D309" s="183"/>
      <c r="E309" s="187"/>
      <c r="F309" s="187"/>
      <c r="G309" s="187"/>
      <c r="H309" s="188"/>
      <c r="I309" s="183"/>
      <c r="J309" s="183"/>
      <c r="K309" s="183"/>
    </row>
    <row r="310" spans="1:11" ht="15.6">
      <c r="A310" s="185"/>
      <c r="B310" s="183"/>
      <c r="C310" s="186" t="s">
        <v>454</v>
      </c>
      <c r="D310" s="183"/>
      <c r="E310" s="187"/>
      <c r="F310" s="187"/>
      <c r="G310" s="187"/>
      <c r="H310" s="188"/>
      <c r="I310" s="183"/>
      <c r="J310" s="183"/>
      <c r="K310" s="183"/>
    </row>
    <row r="311" spans="1:11" ht="15.6">
      <c r="A311" s="185"/>
      <c r="B311" s="183"/>
      <c r="C311" s="183"/>
      <c r="D311" s="183"/>
      <c r="E311" s="187"/>
      <c r="F311" s="187"/>
      <c r="G311" s="187"/>
      <c r="H311" s="188"/>
      <c r="I311" s="183"/>
      <c r="J311" s="183"/>
      <c r="K311" s="183"/>
    </row>
    <row r="312" spans="1:11" ht="15.6">
      <c r="A312" s="189" t="s">
        <v>0</v>
      </c>
      <c r="B312" s="190" t="s">
        <v>443</v>
      </c>
      <c r="C312" s="190" t="s">
        <v>444</v>
      </c>
      <c r="D312" s="190" t="s">
        <v>445</v>
      </c>
      <c r="E312" s="191" t="s">
        <v>446</v>
      </c>
      <c r="F312" s="191" t="s">
        <v>447</v>
      </c>
      <c r="G312" s="191"/>
      <c r="H312" s="197" t="s">
        <v>30</v>
      </c>
      <c r="I312" s="190" t="s">
        <v>448</v>
      </c>
      <c r="J312" s="190" t="s">
        <v>449</v>
      </c>
      <c r="K312" s="193"/>
    </row>
    <row r="313" spans="1:11" ht="15.6">
      <c r="A313" s="144">
        <v>45962</v>
      </c>
      <c r="B313" s="177" t="s">
        <v>4161</v>
      </c>
      <c r="C313" s="177"/>
      <c r="D313" s="177"/>
      <c r="E313" s="180"/>
      <c r="F313" s="180"/>
      <c r="G313" s="180"/>
      <c r="H313" s="181">
        <v>57950</v>
      </c>
      <c r="I313" s="177" t="s">
        <v>173</v>
      </c>
      <c r="J313" s="177"/>
      <c r="K313" s="183"/>
    </row>
    <row r="314" spans="1:11" ht="15.6">
      <c r="A314" s="342">
        <v>45964</v>
      </c>
      <c r="B314" s="172" t="s">
        <v>4256</v>
      </c>
      <c r="C314" s="172" t="s">
        <v>150</v>
      </c>
      <c r="D314" s="219" t="s">
        <v>119</v>
      </c>
      <c r="E314" s="179">
        <v>10000</v>
      </c>
      <c r="F314" s="179"/>
      <c r="G314" s="180"/>
      <c r="H314" s="181">
        <f>H313+E314-F314</f>
        <v>67950</v>
      </c>
      <c r="I314" s="179" t="s">
        <v>173</v>
      </c>
      <c r="J314" s="179" t="s">
        <v>4262</v>
      </c>
      <c r="K314" s="183"/>
    </row>
    <row r="315" spans="1:11" ht="15.6">
      <c r="A315" s="342">
        <v>45964</v>
      </c>
      <c r="B315" s="172" t="s">
        <v>4256</v>
      </c>
      <c r="C315" s="172" t="s">
        <v>150</v>
      </c>
      <c r="D315" s="219" t="s">
        <v>119</v>
      </c>
      <c r="E315" s="179"/>
      <c r="F315" s="179">
        <v>10000</v>
      </c>
      <c r="G315" s="180"/>
      <c r="H315" s="181">
        <f t="shared" ref="H315:H378" si="6">H314+E315-F315</f>
        <v>57950</v>
      </c>
      <c r="I315" s="179" t="s">
        <v>173</v>
      </c>
      <c r="J315" s="179" t="s">
        <v>4262</v>
      </c>
      <c r="K315" s="183"/>
    </row>
    <row r="316" spans="1:11" ht="15.6">
      <c r="A316" s="322">
        <v>45967</v>
      </c>
      <c r="B316" s="219" t="s">
        <v>4976</v>
      </c>
      <c r="C316" s="219" t="s">
        <v>1011</v>
      </c>
      <c r="D316" s="219" t="s">
        <v>119</v>
      </c>
      <c r="E316" s="219"/>
      <c r="F316" s="219">
        <v>1000</v>
      </c>
      <c r="G316" s="180"/>
      <c r="H316" s="181">
        <f t="shared" si="6"/>
        <v>56950</v>
      </c>
      <c r="I316" s="219" t="s">
        <v>173</v>
      </c>
      <c r="J316" s="219" t="s">
        <v>4263</v>
      </c>
      <c r="K316" s="183"/>
    </row>
    <row r="317" spans="1:11" ht="15.6">
      <c r="A317" s="322">
        <v>45967</v>
      </c>
      <c r="B317" s="219" t="s">
        <v>4876</v>
      </c>
      <c r="C317" s="219" t="s">
        <v>1011</v>
      </c>
      <c r="D317" s="219" t="s">
        <v>119</v>
      </c>
      <c r="E317" s="219"/>
      <c r="F317" s="219">
        <v>1000</v>
      </c>
      <c r="G317" s="180"/>
      <c r="H317" s="181">
        <f t="shared" si="6"/>
        <v>55950</v>
      </c>
      <c r="I317" s="219" t="s">
        <v>173</v>
      </c>
      <c r="J317" s="219" t="s">
        <v>4263</v>
      </c>
      <c r="K317" s="183"/>
    </row>
    <row r="318" spans="1:11" ht="15.6">
      <c r="A318" s="322">
        <v>45967</v>
      </c>
      <c r="B318" s="219" t="s">
        <v>4876</v>
      </c>
      <c r="C318" s="219" t="s">
        <v>1011</v>
      </c>
      <c r="D318" s="219" t="s">
        <v>119</v>
      </c>
      <c r="E318" s="219"/>
      <c r="F318" s="219">
        <v>1000</v>
      </c>
      <c r="G318" s="180"/>
      <c r="H318" s="181">
        <f t="shared" si="6"/>
        <v>54950</v>
      </c>
      <c r="I318" s="219" t="s">
        <v>173</v>
      </c>
      <c r="J318" s="219" t="s">
        <v>4263</v>
      </c>
      <c r="K318" s="183"/>
    </row>
    <row r="319" spans="1:11" ht="15.6">
      <c r="A319" s="322">
        <v>45967</v>
      </c>
      <c r="B319" s="219" t="s">
        <v>4876</v>
      </c>
      <c r="C319" s="219" t="s">
        <v>1011</v>
      </c>
      <c r="D319" s="219" t="s">
        <v>119</v>
      </c>
      <c r="E319" s="219"/>
      <c r="F319" s="219">
        <v>1000</v>
      </c>
      <c r="G319" s="180"/>
      <c r="H319" s="181">
        <f t="shared" si="6"/>
        <v>53950</v>
      </c>
      <c r="I319" s="219" t="s">
        <v>173</v>
      </c>
      <c r="J319" s="219" t="s">
        <v>4263</v>
      </c>
      <c r="K319" s="183"/>
    </row>
    <row r="320" spans="1:11" ht="15.6">
      <c r="A320" s="322">
        <v>45967</v>
      </c>
      <c r="B320" s="219" t="s">
        <v>4876</v>
      </c>
      <c r="C320" s="219" t="s">
        <v>1011</v>
      </c>
      <c r="D320" s="219" t="s">
        <v>119</v>
      </c>
      <c r="E320" s="219"/>
      <c r="F320" s="219">
        <v>1000</v>
      </c>
      <c r="G320" s="180"/>
      <c r="H320" s="181">
        <f t="shared" si="6"/>
        <v>52950</v>
      </c>
      <c r="I320" s="219" t="s">
        <v>173</v>
      </c>
      <c r="J320" s="219" t="s">
        <v>4263</v>
      </c>
      <c r="K320" s="183"/>
    </row>
    <row r="321" spans="1:11" ht="15.6">
      <c r="A321" s="322">
        <v>45967</v>
      </c>
      <c r="B321" s="219" t="s">
        <v>4765</v>
      </c>
      <c r="C321" s="219" t="s">
        <v>366</v>
      </c>
      <c r="D321" s="219" t="s">
        <v>119</v>
      </c>
      <c r="E321" s="219"/>
      <c r="F321" s="219">
        <v>2000</v>
      </c>
      <c r="G321" s="180"/>
      <c r="H321" s="181">
        <f t="shared" si="6"/>
        <v>50950</v>
      </c>
      <c r="I321" s="219" t="s">
        <v>173</v>
      </c>
      <c r="J321" s="219" t="s">
        <v>4264</v>
      </c>
      <c r="K321" s="183"/>
    </row>
    <row r="322" spans="1:11" ht="15.6">
      <c r="A322" s="322">
        <v>45968</v>
      </c>
      <c r="B322" s="219" t="s">
        <v>2952</v>
      </c>
      <c r="C322" s="219" t="s">
        <v>991</v>
      </c>
      <c r="D322" s="219" t="s">
        <v>119</v>
      </c>
      <c r="E322" s="219">
        <v>20000</v>
      </c>
      <c r="F322" s="219"/>
      <c r="G322" s="180"/>
      <c r="H322" s="181">
        <f t="shared" si="6"/>
        <v>70950</v>
      </c>
      <c r="I322" s="219" t="s">
        <v>173</v>
      </c>
      <c r="J322" s="219" t="s">
        <v>4265</v>
      </c>
      <c r="K322" s="183"/>
    </row>
    <row r="323" spans="1:11" ht="15.6">
      <c r="A323" s="322">
        <v>45968</v>
      </c>
      <c r="B323" s="219" t="s">
        <v>4876</v>
      </c>
      <c r="C323" s="219" t="s">
        <v>1011</v>
      </c>
      <c r="D323" s="219" t="s">
        <v>119</v>
      </c>
      <c r="E323" s="219"/>
      <c r="F323" s="219">
        <v>2500</v>
      </c>
      <c r="G323" s="180"/>
      <c r="H323" s="181">
        <f t="shared" si="6"/>
        <v>68450</v>
      </c>
      <c r="I323" s="219" t="s">
        <v>173</v>
      </c>
      <c r="J323" s="219" t="s">
        <v>4263</v>
      </c>
      <c r="K323" s="183"/>
    </row>
    <row r="324" spans="1:11" ht="15.6">
      <c r="A324" s="322">
        <v>45968</v>
      </c>
      <c r="B324" s="219" t="s">
        <v>4876</v>
      </c>
      <c r="C324" s="219" t="s">
        <v>1011</v>
      </c>
      <c r="D324" s="219" t="s">
        <v>119</v>
      </c>
      <c r="E324" s="219"/>
      <c r="F324" s="219">
        <v>2500</v>
      </c>
      <c r="G324" s="180"/>
      <c r="H324" s="181">
        <f t="shared" si="6"/>
        <v>65950</v>
      </c>
      <c r="I324" s="219" t="s">
        <v>173</v>
      </c>
      <c r="J324" s="219" t="s">
        <v>4263</v>
      </c>
      <c r="K324" s="183"/>
    </row>
    <row r="325" spans="1:11" ht="15.6">
      <c r="A325" s="322">
        <v>45971</v>
      </c>
      <c r="B325" s="172" t="s">
        <v>4257</v>
      </c>
      <c r="C325" s="172" t="s">
        <v>150</v>
      </c>
      <c r="D325" s="219" t="s">
        <v>119</v>
      </c>
      <c r="E325" s="219">
        <v>10000</v>
      </c>
      <c r="F325" s="219"/>
      <c r="G325" s="180"/>
      <c r="H325" s="181">
        <f t="shared" si="6"/>
        <v>75950</v>
      </c>
      <c r="I325" s="219" t="s">
        <v>173</v>
      </c>
      <c r="J325" s="179" t="s">
        <v>4266</v>
      </c>
      <c r="K325" s="183"/>
    </row>
    <row r="326" spans="1:11" ht="15.6">
      <c r="A326" s="322">
        <v>45971</v>
      </c>
      <c r="B326" s="172" t="s">
        <v>4257</v>
      </c>
      <c r="C326" s="172" t="s">
        <v>150</v>
      </c>
      <c r="D326" s="219" t="s">
        <v>119</v>
      </c>
      <c r="E326" s="219"/>
      <c r="F326" s="219">
        <v>10000</v>
      </c>
      <c r="G326" s="180"/>
      <c r="H326" s="181">
        <f t="shared" si="6"/>
        <v>65950</v>
      </c>
      <c r="I326" s="219" t="s">
        <v>173</v>
      </c>
      <c r="J326" s="179" t="s">
        <v>4266</v>
      </c>
      <c r="K326" s="183"/>
    </row>
    <row r="327" spans="1:11" ht="15.6">
      <c r="A327" s="322">
        <v>45972</v>
      </c>
      <c r="B327" s="219" t="s">
        <v>4876</v>
      </c>
      <c r="C327" s="219" t="s">
        <v>1011</v>
      </c>
      <c r="D327" s="219" t="s">
        <v>119</v>
      </c>
      <c r="E327" s="219"/>
      <c r="F327" s="219">
        <v>2000</v>
      </c>
      <c r="G327" s="180"/>
      <c r="H327" s="181">
        <f t="shared" si="6"/>
        <v>63950</v>
      </c>
      <c r="I327" s="219" t="s">
        <v>173</v>
      </c>
      <c r="J327" s="219" t="s">
        <v>4263</v>
      </c>
      <c r="K327" s="183"/>
    </row>
    <row r="328" spans="1:11" ht="15.6">
      <c r="A328" s="322">
        <v>45972</v>
      </c>
      <c r="B328" s="219" t="s">
        <v>4876</v>
      </c>
      <c r="C328" s="219" t="s">
        <v>1011</v>
      </c>
      <c r="D328" s="219" t="s">
        <v>119</v>
      </c>
      <c r="E328" s="219"/>
      <c r="F328" s="219">
        <v>2000</v>
      </c>
      <c r="G328" s="180"/>
      <c r="H328" s="181">
        <f t="shared" si="6"/>
        <v>61950</v>
      </c>
      <c r="I328" s="219" t="s">
        <v>173</v>
      </c>
      <c r="J328" s="219" t="s">
        <v>4263</v>
      </c>
      <c r="K328" s="183"/>
    </row>
    <row r="329" spans="1:11" ht="15.6">
      <c r="A329" s="322">
        <v>45972</v>
      </c>
      <c r="B329" s="219" t="s">
        <v>4876</v>
      </c>
      <c r="C329" s="219" t="s">
        <v>1011</v>
      </c>
      <c r="D329" s="219" t="s">
        <v>119</v>
      </c>
      <c r="E329" s="219"/>
      <c r="F329" s="219">
        <v>2000</v>
      </c>
      <c r="G329" s="180"/>
      <c r="H329" s="181">
        <f t="shared" si="6"/>
        <v>59950</v>
      </c>
      <c r="I329" s="219" t="s">
        <v>173</v>
      </c>
      <c r="J329" s="219" t="s">
        <v>4263</v>
      </c>
      <c r="K329" s="183"/>
    </row>
    <row r="330" spans="1:11" ht="15.6">
      <c r="A330" s="322">
        <v>45972</v>
      </c>
      <c r="B330" s="219" t="s">
        <v>4876</v>
      </c>
      <c r="C330" s="219" t="s">
        <v>1011</v>
      </c>
      <c r="D330" s="219" t="s">
        <v>119</v>
      </c>
      <c r="E330" s="219"/>
      <c r="F330" s="219">
        <v>1000</v>
      </c>
      <c r="G330" s="180"/>
      <c r="H330" s="181">
        <f t="shared" si="6"/>
        <v>58950</v>
      </c>
      <c r="I330" s="219" t="s">
        <v>173</v>
      </c>
      <c r="J330" s="219" t="s">
        <v>4263</v>
      </c>
      <c r="K330" s="183"/>
    </row>
    <row r="331" spans="1:11" ht="15.6">
      <c r="A331" s="322">
        <v>45972</v>
      </c>
      <c r="B331" s="219" t="s">
        <v>4876</v>
      </c>
      <c r="C331" s="219" t="s">
        <v>1011</v>
      </c>
      <c r="D331" s="219" t="s">
        <v>119</v>
      </c>
      <c r="E331" s="219"/>
      <c r="F331" s="219">
        <v>2000</v>
      </c>
      <c r="G331" s="180"/>
      <c r="H331" s="181">
        <f t="shared" si="6"/>
        <v>56950</v>
      </c>
      <c r="I331" s="219" t="s">
        <v>173</v>
      </c>
      <c r="J331" s="219" t="s">
        <v>4263</v>
      </c>
      <c r="K331" s="183"/>
    </row>
    <row r="332" spans="1:11" ht="15.6">
      <c r="A332" s="322">
        <v>45972</v>
      </c>
      <c r="B332" s="219" t="s">
        <v>4765</v>
      </c>
      <c r="C332" s="219" t="s">
        <v>366</v>
      </c>
      <c r="D332" s="219" t="s">
        <v>119</v>
      </c>
      <c r="E332" s="219"/>
      <c r="F332" s="219">
        <v>2000</v>
      </c>
      <c r="G332" s="180"/>
      <c r="H332" s="181">
        <f t="shared" si="6"/>
        <v>54950</v>
      </c>
      <c r="I332" s="219" t="s">
        <v>173</v>
      </c>
      <c r="J332" s="219" t="s">
        <v>4264</v>
      </c>
      <c r="K332" s="183"/>
    </row>
    <row r="333" spans="1:11" ht="15.6">
      <c r="A333" s="322">
        <v>45973</v>
      </c>
      <c r="B333" s="219" t="s">
        <v>4976</v>
      </c>
      <c r="C333" s="219" t="s">
        <v>1011</v>
      </c>
      <c r="D333" s="219" t="s">
        <v>119</v>
      </c>
      <c r="E333" s="219"/>
      <c r="F333" s="219">
        <v>1000</v>
      </c>
      <c r="G333" s="180"/>
      <c r="H333" s="181">
        <f t="shared" si="6"/>
        <v>53950</v>
      </c>
      <c r="I333" s="219" t="s">
        <v>173</v>
      </c>
      <c r="J333" s="219" t="s">
        <v>4263</v>
      </c>
      <c r="K333" s="183"/>
    </row>
    <row r="334" spans="1:11" ht="15.6">
      <c r="A334" s="322">
        <v>45973</v>
      </c>
      <c r="B334" s="219" t="s">
        <v>4876</v>
      </c>
      <c r="C334" s="219" t="s">
        <v>1011</v>
      </c>
      <c r="D334" s="219" t="s">
        <v>119</v>
      </c>
      <c r="E334" s="219"/>
      <c r="F334" s="219">
        <v>1000</v>
      </c>
      <c r="G334" s="180"/>
      <c r="H334" s="181">
        <f t="shared" si="6"/>
        <v>52950</v>
      </c>
      <c r="I334" s="219" t="s">
        <v>173</v>
      </c>
      <c r="J334" s="219" t="s">
        <v>4263</v>
      </c>
      <c r="K334" s="183"/>
    </row>
    <row r="335" spans="1:11" ht="15.6">
      <c r="A335" s="322">
        <v>45973</v>
      </c>
      <c r="B335" s="219" t="s">
        <v>4876</v>
      </c>
      <c r="C335" s="219" t="s">
        <v>1011</v>
      </c>
      <c r="D335" s="219" t="s">
        <v>119</v>
      </c>
      <c r="E335" s="219"/>
      <c r="F335" s="219">
        <v>1500</v>
      </c>
      <c r="G335" s="180"/>
      <c r="H335" s="181">
        <f t="shared" si="6"/>
        <v>51450</v>
      </c>
      <c r="I335" s="219" t="s">
        <v>173</v>
      </c>
      <c r="J335" s="219" t="s">
        <v>4263</v>
      </c>
      <c r="K335" s="183"/>
    </row>
    <row r="336" spans="1:11" ht="15.6">
      <c r="A336" s="322">
        <v>45973</v>
      </c>
      <c r="B336" s="219" t="s">
        <v>4976</v>
      </c>
      <c r="C336" s="219" t="s">
        <v>1011</v>
      </c>
      <c r="D336" s="219" t="s">
        <v>119</v>
      </c>
      <c r="E336" s="219"/>
      <c r="F336" s="219">
        <v>1000</v>
      </c>
      <c r="G336" s="180"/>
      <c r="H336" s="181">
        <f t="shared" si="6"/>
        <v>50450</v>
      </c>
      <c r="I336" s="219" t="s">
        <v>173</v>
      </c>
      <c r="J336" s="219" t="s">
        <v>4263</v>
      </c>
      <c r="K336" s="183"/>
    </row>
    <row r="337" spans="1:11" ht="15.6">
      <c r="A337" s="322">
        <v>45973</v>
      </c>
      <c r="B337" s="219" t="s">
        <v>4876</v>
      </c>
      <c r="C337" s="219" t="s">
        <v>1011</v>
      </c>
      <c r="D337" s="219" t="s">
        <v>119</v>
      </c>
      <c r="E337" s="219"/>
      <c r="F337" s="219">
        <v>1000</v>
      </c>
      <c r="G337" s="180"/>
      <c r="H337" s="181">
        <f t="shared" si="6"/>
        <v>49450</v>
      </c>
      <c r="I337" s="219" t="s">
        <v>173</v>
      </c>
      <c r="J337" s="219" t="s">
        <v>4263</v>
      </c>
      <c r="K337" s="183"/>
    </row>
    <row r="338" spans="1:11" ht="15.6">
      <c r="A338" s="322">
        <v>45973</v>
      </c>
      <c r="B338" s="219" t="s">
        <v>2954</v>
      </c>
      <c r="C338" s="219" t="s">
        <v>366</v>
      </c>
      <c r="D338" s="219" t="s">
        <v>119</v>
      </c>
      <c r="E338" s="219"/>
      <c r="F338" s="219">
        <v>2000</v>
      </c>
      <c r="G338" s="180"/>
      <c r="H338" s="181">
        <f t="shared" si="6"/>
        <v>47450</v>
      </c>
      <c r="I338" s="219" t="s">
        <v>173</v>
      </c>
      <c r="J338" s="219" t="s">
        <v>4264</v>
      </c>
      <c r="K338" s="183"/>
    </row>
    <row r="339" spans="1:11" ht="15.6">
      <c r="A339" s="322">
        <v>45974</v>
      </c>
      <c r="B339" s="219" t="s">
        <v>2952</v>
      </c>
      <c r="C339" s="219" t="s">
        <v>991</v>
      </c>
      <c r="D339" s="219" t="s">
        <v>119</v>
      </c>
      <c r="E339" s="219">
        <v>100000</v>
      </c>
      <c r="F339" s="219"/>
      <c r="G339" s="180"/>
      <c r="H339" s="181">
        <f t="shared" si="6"/>
        <v>147450</v>
      </c>
      <c r="I339" s="219" t="s">
        <v>173</v>
      </c>
      <c r="J339" s="219" t="s">
        <v>4267</v>
      </c>
      <c r="K339" s="183"/>
    </row>
    <row r="340" spans="1:11" ht="15.6">
      <c r="A340" s="322">
        <v>45974</v>
      </c>
      <c r="B340" s="219" t="s">
        <v>4876</v>
      </c>
      <c r="C340" s="219" t="s">
        <v>172</v>
      </c>
      <c r="D340" s="219" t="s">
        <v>119</v>
      </c>
      <c r="E340" s="219"/>
      <c r="F340" s="219">
        <v>1000</v>
      </c>
      <c r="G340" s="180"/>
      <c r="H340" s="181">
        <f t="shared" si="6"/>
        <v>146450</v>
      </c>
      <c r="I340" s="219" t="s">
        <v>173</v>
      </c>
      <c r="J340" s="219" t="s">
        <v>4263</v>
      </c>
      <c r="K340" s="183"/>
    </row>
    <row r="341" spans="1:11" ht="15.6">
      <c r="A341" s="322">
        <v>45974</v>
      </c>
      <c r="B341" s="219" t="s">
        <v>4744</v>
      </c>
      <c r="C341" s="219" t="s">
        <v>172</v>
      </c>
      <c r="D341" s="219" t="s">
        <v>119</v>
      </c>
      <c r="E341" s="219"/>
      <c r="F341" s="219">
        <v>12000</v>
      </c>
      <c r="G341" s="180"/>
      <c r="H341" s="181">
        <f t="shared" si="6"/>
        <v>134450</v>
      </c>
      <c r="I341" s="219" t="s">
        <v>173</v>
      </c>
      <c r="J341" s="179" t="s">
        <v>4268</v>
      </c>
      <c r="K341" s="183"/>
    </row>
    <row r="342" spans="1:11" ht="15.6">
      <c r="A342" s="322">
        <v>45974</v>
      </c>
      <c r="B342" s="219" t="s">
        <v>4876</v>
      </c>
      <c r="C342" s="219" t="s">
        <v>172</v>
      </c>
      <c r="D342" s="219" t="s">
        <v>119</v>
      </c>
      <c r="E342" s="219"/>
      <c r="F342" s="219">
        <v>2500</v>
      </c>
      <c r="G342" s="180"/>
      <c r="H342" s="181">
        <f t="shared" si="6"/>
        <v>131950</v>
      </c>
      <c r="I342" s="219" t="s">
        <v>173</v>
      </c>
      <c r="J342" s="219" t="s">
        <v>4263</v>
      </c>
      <c r="K342" s="183"/>
    </row>
    <row r="343" spans="1:11" ht="15.6">
      <c r="A343" s="322">
        <v>45974</v>
      </c>
      <c r="B343" s="219" t="s">
        <v>4876</v>
      </c>
      <c r="C343" s="219" t="s">
        <v>172</v>
      </c>
      <c r="D343" s="219" t="s">
        <v>119</v>
      </c>
      <c r="E343" s="219"/>
      <c r="F343" s="219">
        <v>2000</v>
      </c>
      <c r="G343" s="180"/>
      <c r="H343" s="181">
        <f t="shared" si="6"/>
        <v>129950</v>
      </c>
      <c r="I343" s="219" t="s">
        <v>173</v>
      </c>
      <c r="J343" s="219" t="s">
        <v>4263</v>
      </c>
      <c r="K343" s="183"/>
    </row>
    <row r="344" spans="1:11" ht="15.6">
      <c r="A344" s="322">
        <v>45974</v>
      </c>
      <c r="B344" s="219" t="s">
        <v>4876</v>
      </c>
      <c r="C344" s="219" t="s">
        <v>172</v>
      </c>
      <c r="D344" s="219" t="s">
        <v>119</v>
      </c>
      <c r="E344" s="219"/>
      <c r="F344" s="219">
        <v>1000</v>
      </c>
      <c r="G344" s="180"/>
      <c r="H344" s="181">
        <f t="shared" si="6"/>
        <v>128950</v>
      </c>
      <c r="I344" s="219" t="s">
        <v>173</v>
      </c>
      <c r="J344" s="219" t="s">
        <v>4263</v>
      </c>
      <c r="K344" s="183"/>
    </row>
    <row r="345" spans="1:11" ht="15.6">
      <c r="A345" s="322">
        <v>45974</v>
      </c>
      <c r="B345" s="219" t="s">
        <v>4765</v>
      </c>
      <c r="C345" s="219" t="s">
        <v>366</v>
      </c>
      <c r="D345" s="219" t="s">
        <v>119</v>
      </c>
      <c r="E345" s="219"/>
      <c r="F345" s="219">
        <v>1500</v>
      </c>
      <c r="G345" s="180"/>
      <c r="H345" s="181">
        <f t="shared" si="6"/>
        <v>127450</v>
      </c>
      <c r="I345" s="219" t="s">
        <v>173</v>
      </c>
      <c r="J345" s="219" t="s">
        <v>4264</v>
      </c>
      <c r="K345" s="183"/>
    </row>
    <row r="346" spans="1:11" ht="15.6">
      <c r="A346" s="322">
        <v>45975</v>
      </c>
      <c r="B346" s="219" t="s">
        <v>4747</v>
      </c>
      <c r="C346" s="219" t="s">
        <v>2394</v>
      </c>
      <c r="D346" s="219" t="s">
        <v>119</v>
      </c>
      <c r="E346" s="219"/>
      <c r="F346" s="219">
        <v>40000</v>
      </c>
      <c r="G346" s="180"/>
      <c r="H346" s="181">
        <f t="shared" si="6"/>
        <v>87450</v>
      </c>
      <c r="I346" s="219" t="s">
        <v>173</v>
      </c>
      <c r="J346" s="219" t="s">
        <v>4269</v>
      </c>
      <c r="K346" s="183"/>
    </row>
    <row r="347" spans="1:11" ht="15.6">
      <c r="A347" s="322">
        <v>45975</v>
      </c>
      <c r="B347" s="219" t="s">
        <v>4876</v>
      </c>
      <c r="C347" s="219" t="s">
        <v>172</v>
      </c>
      <c r="D347" s="219" t="s">
        <v>119</v>
      </c>
      <c r="E347" s="219"/>
      <c r="F347" s="219">
        <v>1000</v>
      </c>
      <c r="G347" s="180"/>
      <c r="H347" s="181">
        <f t="shared" si="6"/>
        <v>86450</v>
      </c>
      <c r="I347" s="219" t="s">
        <v>173</v>
      </c>
      <c r="J347" s="219" t="s">
        <v>4263</v>
      </c>
      <c r="K347" s="183"/>
    </row>
    <row r="348" spans="1:11" ht="15.6">
      <c r="A348" s="322">
        <v>45975</v>
      </c>
      <c r="B348" s="219" t="s">
        <v>4876</v>
      </c>
      <c r="C348" s="219" t="s">
        <v>172</v>
      </c>
      <c r="D348" s="219" t="s">
        <v>119</v>
      </c>
      <c r="E348" s="219"/>
      <c r="F348" s="219">
        <v>1000</v>
      </c>
      <c r="G348" s="180"/>
      <c r="H348" s="181">
        <f t="shared" si="6"/>
        <v>85450</v>
      </c>
      <c r="I348" s="219" t="s">
        <v>173</v>
      </c>
      <c r="J348" s="219" t="s">
        <v>4263</v>
      </c>
      <c r="K348" s="183"/>
    </row>
    <row r="349" spans="1:11" ht="15.6">
      <c r="A349" s="322">
        <v>45976</v>
      </c>
      <c r="B349" s="219" t="s">
        <v>4876</v>
      </c>
      <c r="C349" s="219" t="s">
        <v>172</v>
      </c>
      <c r="D349" s="219" t="s">
        <v>119</v>
      </c>
      <c r="E349" s="219"/>
      <c r="F349" s="219">
        <v>1000</v>
      </c>
      <c r="G349" s="180"/>
      <c r="H349" s="181">
        <f t="shared" si="6"/>
        <v>84450</v>
      </c>
      <c r="I349" s="219" t="s">
        <v>173</v>
      </c>
      <c r="J349" s="219" t="s">
        <v>4263</v>
      </c>
      <c r="K349" s="183"/>
    </row>
    <row r="350" spans="1:11" ht="15.6">
      <c r="A350" s="322">
        <v>45976</v>
      </c>
      <c r="B350" s="219" t="s">
        <v>4876</v>
      </c>
      <c r="C350" s="219" t="s">
        <v>172</v>
      </c>
      <c r="D350" s="219" t="s">
        <v>119</v>
      </c>
      <c r="E350" s="219"/>
      <c r="F350" s="219">
        <v>1000</v>
      </c>
      <c r="G350" s="180"/>
      <c r="H350" s="181">
        <f t="shared" si="6"/>
        <v>83450</v>
      </c>
      <c r="I350" s="219" t="s">
        <v>173</v>
      </c>
      <c r="J350" s="219" t="s">
        <v>4263</v>
      </c>
      <c r="K350" s="183"/>
    </row>
    <row r="351" spans="1:11" ht="15.6">
      <c r="A351" s="322">
        <v>45976</v>
      </c>
      <c r="B351" s="219" t="s">
        <v>4876</v>
      </c>
      <c r="C351" s="219" t="s">
        <v>172</v>
      </c>
      <c r="D351" s="219" t="s">
        <v>119</v>
      </c>
      <c r="E351" s="219"/>
      <c r="F351" s="219">
        <v>2000</v>
      </c>
      <c r="G351" s="180"/>
      <c r="H351" s="181">
        <f t="shared" si="6"/>
        <v>81450</v>
      </c>
      <c r="I351" s="219" t="s">
        <v>173</v>
      </c>
      <c r="J351" s="219" t="s">
        <v>4263</v>
      </c>
      <c r="K351" s="183"/>
    </row>
    <row r="352" spans="1:11" ht="15.6">
      <c r="A352" s="322">
        <v>45976</v>
      </c>
      <c r="B352" s="219" t="s">
        <v>4876</v>
      </c>
      <c r="C352" s="219" t="s">
        <v>172</v>
      </c>
      <c r="D352" s="219" t="s">
        <v>119</v>
      </c>
      <c r="E352" s="219"/>
      <c r="F352" s="219">
        <v>2000</v>
      </c>
      <c r="G352" s="180"/>
      <c r="H352" s="181">
        <f t="shared" si="6"/>
        <v>79450</v>
      </c>
      <c r="I352" s="219" t="s">
        <v>173</v>
      </c>
      <c r="J352" s="219" t="s">
        <v>4263</v>
      </c>
      <c r="K352" s="183"/>
    </row>
    <row r="353" spans="1:11" ht="15.6">
      <c r="A353" s="322">
        <v>45976</v>
      </c>
      <c r="B353" s="219" t="s">
        <v>4766</v>
      </c>
      <c r="C353" s="219" t="s">
        <v>366</v>
      </c>
      <c r="D353" s="219" t="s">
        <v>119</v>
      </c>
      <c r="E353" s="219"/>
      <c r="F353" s="219">
        <v>2000</v>
      </c>
      <c r="G353" s="180"/>
      <c r="H353" s="181">
        <f t="shared" si="6"/>
        <v>77450</v>
      </c>
      <c r="I353" s="219" t="s">
        <v>173</v>
      </c>
      <c r="J353" s="219" t="s">
        <v>4264</v>
      </c>
      <c r="K353" s="183"/>
    </row>
    <row r="354" spans="1:11" ht="15.6">
      <c r="A354" s="322">
        <v>45977</v>
      </c>
      <c r="B354" s="179" t="s">
        <v>4754</v>
      </c>
      <c r="C354" s="219" t="s">
        <v>2394</v>
      </c>
      <c r="D354" s="219" t="s">
        <v>119</v>
      </c>
      <c r="E354" s="219"/>
      <c r="F354" s="219">
        <v>30000</v>
      </c>
      <c r="G354" s="180"/>
      <c r="H354" s="181">
        <f t="shared" si="6"/>
        <v>47450</v>
      </c>
      <c r="I354" s="219" t="s">
        <v>173</v>
      </c>
      <c r="J354" s="179" t="s">
        <v>4270</v>
      </c>
      <c r="K354" s="183"/>
    </row>
    <row r="355" spans="1:11" ht="15.6">
      <c r="A355" s="322">
        <v>45977</v>
      </c>
      <c r="B355" s="219" t="s">
        <v>4876</v>
      </c>
      <c r="C355" s="219" t="s">
        <v>172</v>
      </c>
      <c r="D355" s="219" t="s">
        <v>119</v>
      </c>
      <c r="E355" s="219"/>
      <c r="F355" s="219">
        <v>1500</v>
      </c>
      <c r="G355" s="180"/>
      <c r="H355" s="181">
        <f t="shared" si="6"/>
        <v>45950</v>
      </c>
      <c r="I355" s="219" t="s">
        <v>173</v>
      </c>
      <c r="J355" s="219" t="s">
        <v>4263</v>
      </c>
      <c r="K355" s="183"/>
    </row>
    <row r="356" spans="1:11" ht="15.6">
      <c r="A356" s="322">
        <v>45977</v>
      </c>
      <c r="B356" s="219" t="s">
        <v>4755</v>
      </c>
      <c r="C356" s="219" t="s">
        <v>172</v>
      </c>
      <c r="D356" s="219" t="s">
        <v>119</v>
      </c>
      <c r="E356" s="219"/>
      <c r="F356" s="219">
        <v>7000</v>
      </c>
      <c r="G356" s="180"/>
      <c r="H356" s="181">
        <f t="shared" si="6"/>
        <v>38950</v>
      </c>
      <c r="I356" s="219" t="s">
        <v>173</v>
      </c>
      <c r="J356" s="179" t="s">
        <v>4271</v>
      </c>
      <c r="K356" s="183"/>
    </row>
    <row r="357" spans="1:11" ht="15.6">
      <c r="A357" s="322">
        <v>45977</v>
      </c>
      <c r="B357" s="219" t="s">
        <v>4888</v>
      </c>
      <c r="C357" s="219" t="s">
        <v>172</v>
      </c>
      <c r="D357" s="219" t="s">
        <v>119</v>
      </c>
      <c r="E357" s="219"/>
      <c r="F357" s="219">
        <v>500</v>
      </c>
      <c r="G357" s="180"/>
      <c r="H357" s="181">
        <f t="shared" si="6"/>
        <v>38450</v>
      </c>
      <c r="I357" s="219" t="s">
        <v>173</v>
      </c>
      <c r="J357" s="219" t="s">
        <v>4263</v>
      </c>
      <c r="K357" s="183"/>
    </row>
    <row r="358" spans="1:11" ht="15.6">
      <c r="A358" s="322">
        <v>45977</v>
      </c>
      <c r="B358" s="219" t="s">
        <v>4896</v>
      </c>
      <c r="C358" s="219" t="s">
        <v>172</v>
      </c>
      <c r="D358" s="219" t="s">
        <v>119</v>
      </c>
      <c r="E358" s="219"/>
      <c r="F358" s="219">
        <v>500</v>
      </c>
      <c r="G358" s="180"/>
      <c r="H358" s="181">
        <f t="shared" si="6"/>
        <v>37950</v>
      </c>
      <c r="I358" s="219" t="s">
        <v>173</v>
      </c>
      <c r="J358" s="219" t="s">
        <v>4263</v>
      </c>
      <c r="K358" s="183"/>
    </row>
    <row r="359" spans="1:11" ht="15.6">
      <c r="A359" s="322">
        <v>45977</v>
      </c>
      <c r="B359" s="219" t="s">
        <v>4888</v>
      </c>
      <c r="C359" s="219" t="s">
        <v>172</v>
      </c>
      <c r="D359" s="219" t="s">
        <v>119</v>
      </c>
      <c r="E359" s="219"/>
      <c r="F359" s="219">
        <v>500</v>
      </c>
      <c r="G359" s="180"/>
      <c r="H359" s="181">
        <f t="shared" si="6"/>
        <v>37450</v>
      </c>
      <c r="I359" s="219" t="s">
        <v>173</v>
      </c>
      <c r="J359" s="219" t="s">
        <v>4263</v>
      </c>
      <c r="K359" s="183"/>
    </row>
    <row r="360" spans="1:11" ht="15.6">
      <c r="A360" s="322">
        <v>45977</v>
      </c>
      <c r="B360" s="219" t="s">
        <v>4888</v>
      </c>
      <c r="C360" s="219" t="s">
        <v>172</v>
      </c>
      <c r="D360" s="219" t="s">
        <v>119</v>
      </c>
      <c r="E360" s="219"/>
      <c r="F360" s="219">
        <v>500</v>
      </c>
      <c r="G360" s="180"/>
      <c r="H360" s="181">
        <f t="shared" si="6"/>
        <v>36950</v>
      </c>
      <c r="I360" s="219" t="s">
        <v>173</v>
      </c>
      <c r="J360" s="219" t="s">
        <v>4263</v>
      </c>
      <c r="K360" s="183"/>
    </row>
    <row r="361" spans="1:11" ht="15.6">
      <c r="A361" s="322">
        <v>45977</v>
      </c>
      <c r="B361" s="219" t="s">
        <v>4888</v>
      </c>
      <c r="C361" s="219" t="s">
        <v>172</v>
      </c>
      <c r="D361" s="219" t="s">
        <v>119</v>
      </c>
      <c r="E361" s="219"/>
      <c r="F361" s="219">
        <v>500</v>
      </c>
      <c r="G361" s="180"/>
      <c r="H361" s="181">
        <f t="shared" si="6"/>
        <v>36450</v>
      </c>
      <c r="I361" s="219" t="s">
        <v>173</v>
      </c>
      <c r="J361" s="219" t="s">
        <v>4263</v>
      </c>
      <c r="K361" s="183"/>
    </row>
    <row r="362" spans="1:11" ht="15.6">
      <c r="A362" s="322">
        <v>45977</v>
      </c>
      <c r="B362" s="219" t="s">
        <v>3481</v>
      </c>
      <c r="C362" s="219" t="s">
        <v>366</v>
      </c>
      <c r="D362" s="219" t="s">
        <v>119</v>
      </c>
      <c r="E362" s="219"/>
      <c r="F362" s="219">
        <v>5000</v>
      </c>
      <c r="G362" s="180"/>
      <c r="H362" s="181">
        <f t="shared" si="6"/>
        <v>31450</v>
      </c>
      <c r="I362" s="219" t="s">
        <v>173</v>
      </c>
      <c r="J362" s="219" t="s">
        <v>4264</v>
      </c>
      <c r="K362" s="183"/>
    </row>
    <row r="363" spans="1:11" ht="15.6">
      <c r="A363" s="322">
        <v>45978</v>
      </c>
      <c r="B363" s="179" t="s">
        <v>4754</v>
      </c>
      <c r="C363" s="219" t="s">
        <v>2394</v>
      </c>
      <c r="D363" s="219" t="s">
        <v>119</v>
      </c>
      <c r="E363" s="219"/>
      <c r="F363" s="219">
        <v>15000</v>
      </c>
      <c r="G363" s="180"/>
      <c r="H363" s="181">
        <f t="shared" si="6"/>
        <v>16450</v>
      </c>
      <c r="I363" s="219" t="s">
        <v>173</v>
      </c>
      <c r="J363" s="179" t="s">
        <v>4272</v>
      </c>
      <c r="K363" s="183"/>
    </row>
    <row r="364" spans="1:11" ht="15.6">
      <c r="A364" s="322">
        <v>45978</v>
      </c>
      <c r="B364" s="219" t="s">
        <v>4989</v>
      </c>
      <c r="C364" s="219" t="s">
        <v>172</v>
      </c>
      <c r="D364" s="219" t="s">
        <v>119</v>
      </c>
      <c r="E364" s="219"/>
      <c r="F364" s="219">
        <v>1000</v>
      </c>
      <c r="G364" s="180"/>
      <c r="H364" s="181">
        <f t="shared" si="6"/>
        <v>15450</v>
      </c>
      <c r="I364" s="219" t="s">
        <v>173</v>
      </c>
      <c r="J364" s="219" t="s">
        <v>4263</v>
      </c>
      <c r="K364" s="183"/>
    </row>
    <row r="365" spans="1:11" ht="15.6">
      <c r="A365" s="322">
        <v>45978</v>
      </c>
      <c r="B365" s="219" t="s">
        <v>4755</v>
      </c>
      <c r="C365" s="219" t="s">
        <v>172</v>
      </c>
      <c r="D365" s="219" t="s">
        <v>119</v>
      </c>
      <c r="E365" s="219"/>
      <c r="F365" s="219">
        <v>7000</v>
      </c>
      <c r="G365" s="180"/>
      <c r="H365" s="181">
        <f t="shared" si="6"/>
        <v>8450</v>
      </c>
      <c r="I365" s="219" t="s">
        <v>173</v>
      </c>
      <c r="J365" s="179" t="s">
        <v>4273</v>
      </c>
      <c r="K365" s="183"/>
    </row>
    <row r="366" spans="1:11" ht="15.6">
      <c r="A366" s="322">
        <v>45978</v>
      </c>
      <c r="B366" s="219" t="s">
        <v>4948</v>
      </c>
      <c r="C366" s="219" t="s">
        <v>172</v>
      </c>
      <c r="D366" s="219" t="s">
        <v>119</v>
      </c>
      <c r="E366" s="219"/>
      <c r="F366" s="219">
        <v>1000</v>
      </c>
      <c r="G366" s="180"/>
      <c r="H366" s="181">
        <f t="shared" si="6"/>
        <v>7450</v>
      </c>
      <c r="I366" s="219" t="s">
        <v>173</v>
      </c>
      <c r="J366" s="219" t="s">
        <v>4263</v>
      </c>
      <c r="K366" s="183"/>
    </row>
    <row r="367" spans="1:11" ht="15.6">
      <c r="A367" s="322">
        <v>45978</v>
      </c>
      <c r="B367" s="219" t="s">
        <v>4948</v>
      </c>
      <c r="C367" s="219" t="s">
        <v>172</v>
      </c>
      <c r="D367" s="219" t="s">
        <v>119</v>
      </c>
      <c r="E367" s="219"/>
      <c r="F367" s="219">
        <v>1000</v>
      </c>
      <c r="G367" s="180"/>
      <c r="H367" s="181">
        <f t="shared" si="6"/>
        <v>6450</v>
      </c>
      <c r="I367" s="219" t="s">
        <v>173</v>
      </c>
      <c r="J367" s="219" t="s">
        <v>4263</v>
      </c>
      <c r="K367" s="183"/>
    </row>
    <row r="368" spans="1:11" ht="15.6">
      <c r="A368" s="322">
        <v>45978</v>
      </c>
      <c r="B368" s="219" t="s">
        <v>4907</v>
      </c>
      <c r="C368" s="219" t="s">
        <v>172</v>
      </c>
      <c r="D368" s="219" t="s">
        <v>119</v>
      </c>
      <c r="E368" s="219"/>
      <c r="F368" s="219">
        <v>1000</v>
      </c>
      <c r="G368" s="180"/>
      <c r="H368" s="181">
        <f t="shared" si="6"/>
        <v>5450</v>
      </c>
      <c r="I368" s="219" t="s">
        <v>173</v>
      </c>
      <c r="J368" s="219" t="s">
        <v>4263</v>
      </c>
      <c r="K368" s="183"/>
    </row>
    <row r="369" spans="1:11" ht="15.6">
      <c r="A369" s="322">
        <v>45978</v>
      </c>
      <c r="B369" s="219" t="s">
        <v>4907</v>
      </c>
      <c r="C369" s="219" t="s">
        <v>172</v>
      </c>
      <c r="D369" s="219" t="s">
        <v>119</v>
      </c>
      <c r="E369" s="219"/>
      <c r="F369" s="219">
        <v>1000</v>
      </c>
      <c r="G369" s="180"/>
      <c r="H369" s="181">
        <f t="shared" si="6"/>
        <v>4450</v>
      </c>
      <c r="I369" s="219" t="s">
        <v>173</v>
      </c>
      <c r="J369" s="219" t="s">
        <v>4263</v>
      </c>
      <c r="K369" s="183"/>
    </row>
    <row r="370" spans="1:11" ht="15.6">
      <c r="A370" s="322">
        <v>45978</v>
      </c>
      <c r="B370" s="219" t="s">
        <v>4907</v>
      </c>
      <c r="C370" s="219" t="s">
        <v>172</v>
      </c>
      <c r="D370" s="219" t="s">
        <v>119</v>
      </c>
      <c r="E370" s="219"/>
      <c r="F370" s="219">
        <v>1500</v>
      </c>
      <c r="G370" s="180"/>
      <c r="H370" s="181">
        <f t="shared" si="6"/>
        <v>2950</v>
      </c>
      <c r="I370" s="219" t="s">
        <v>173</v>
      </c>
      <c r="J370" s="219" t="s">
        <v>4263</v>
      </c>
      <c r="K370" s="183"/>
    </row>
    <row r="371" spans="1:11" ht="15.6">
      <c r="A371" s="322">
        <v>45978</v>
      </c>
      <c r="B371" s="219" t="s">
        <v>4907</v>
      </c>
      <c r="C371" s="219" t="s">
        <v>172</v>
      </c>
      <c r="D371" s="219" t="s">
        <v>119</v>
      </c>
      <c r="E371" s="219"/>
      <c r="F371" s="219">
        <v>1500</v>
      </c>
      <c r="G371" s="180"/>
      <c r="H371" s="181">
        <f t="shared" si="6"/>
        <v>1450</v>
      </c>
      <c r="I371" s="219" t="s">
        <v>173</v>
      </c>
      <c r="J371" s="219" t="s">
        <v>4263</v>
      </c>
      <c r="K371" s="183"/>
    </row>
    <row r="372" spans="1:11" ht="15.6">
      <c r="A372" s="322">
        <v>45978</v>
      </c>
      <c r="B372" s="219" t="s">
        <v>4767</v>
      </c>
      <c r="C372" s="219" t="s">
        <v>366</v>
      </c>
      <c r="D372" s="219" t="s">
        <v>119</v>
      </c>
      <c r="E372" s="219"/>
      <c r="F372" s="219">
        <v>2000</v>
      </c>
      <c r="G372" s="180"/>
      <c r="H372" s="181">
        <f t="shared" si="6"/>
        <v>-550</v>
      </c>
      <c r="I372" s="219" t="s">
        <v>173</v>
      </c>
      <c r="J372" s="219" t="s">
        <v>4264</v>
      </c>
      <c r="K372" s="183"/>
    </row>
    <row r="373" spans="1:11" ht="15.6">
      <c r="A373" s="322">
        <v>45978</v>
      </c>
      <c r="B373" s="219" t="s">
        <v>2952</v>
      </c>
      <c r="C373" s="219" t="s">
        <v>991</v>
      </c>
      <c r="D373" s="219" t="s">
        <v>119</v>
      </c>
      <c r="E373" s="219">
        <v>73000</v>
      </c>
      <c r="F373" s="219"/>
      <c r="G373" s="180"/>
      <c r="H373" s="181">
        <f t="shared" si="6"/>
        <v>72450</v>
      </c>
      <c r="I373" s="219" t="s">
        <v>173</v>
      </c>
      <c r="J373" s="219" t="s">
        <v>4274</v>
      </c>
      <c r="K373" s="183"/>
    </row>
    <row r="374" spans="1:11" ht="15.6">
      <c r="A374" s="322">
        <v>45978</v>
      </c>
      <c r="B374" s="172" t="s">
        <v>4260</v>
      </c>
      <c r="C374" s="172" t="s">
        <v>150</v>
      </c>
      <c r="D374" s="219" t="s">
        <v>119</v>
      </c>
      <c r="E374" s="219">
        <v>10000</v>
      </c>
      <c r="F374" s="219"/>
      <c r="G374" s="180"/>
      <c r="H374" s="181">
        <f t="shared" si="6"/>
        <v>82450</v>
      </c>
      <c r="I374" s="219" t="s">
        <v>173</v>
      </c>
      <c r="J374" s="179" t="s">
        <v>4275</v>
      </c>
      <c r="K374" s="183"/>
    </row>
    <row r="375" spans="1:11" ht="15.6">
      <c r="A375" s="322">
        <v>45978</v>
      </c>
      <c r="B375" s="172" t="s">
        <v>4260</v>
      </c>
      <c r="C375" s="172" t="s">
        <v>150</v>
      </c>
      <c r="D375" s="219" t="s">
        <v>119</v>
      </c>
      <c r="E375" s="219"/>
      <c r="F375" s="219">
        <v>10000</v>
      </c>
      <c r="G375" s="180"/>
      <c r="H375" s="181">
        <f t="shared" si="6"/>
        <v>72450</v>
      </c>
      <c r="I375" s="219" t="s">
        <v>173</v>
      </c>
      <c r="J375" s="179" t="s">
        <v>4275</v>
      </c>
      <c r="K375" s="183"/>
    </row>
    <row r="376" spans="1:11" ht="15.6">
      <c r="A376" s="322">
        <v>45979</v>
      </c>
      <c r="B376" s="179" t="s">
        <v>4754</v>
      </c>
      <c r="C376" s="219" t="s">
        <v>2394</v>
      </c>
      <c r="D376" s="219" t="s">
        <v>119</v>
      </c>
      <c r="E376" s="219"/>
      <c r="F376" s="219">
        <v>15000</v>
      </c>
      <c r="G376" s="180"/>
      <c r="H376" s="181">
        <f t="shared" si="6"/>
        <v>57450</v>
      </c>
      <c r="I376" s="219" t="s">
        <v>173</v>
      </c>
      <c r="J376" s="179" t="s">
        <v>4276</v>
      </c>
      <c r="K376" s="183"/>
    </row>
    <row r="377" spans="1:11" ht="15.6">
      <c r="A377" s="322">
        <v>45979</v>
      </c>
      <c r="B377" s="219" t="s">
        <v>4962</v>
      </c>
      <c r="C377" s="219" t="s">
        <v>172</v>
      </c>
      <c r="D377" s="219" t="s">
        <v>119</v>
      </c>
      <c r="E377" s="219"/>
      <c r="F377" s="219">
        <v>1000</v>
      </c>
      <c r="G377" s="180"/>
      <c r="H377" s="181">
        <f t="shared" si="6"/>
        <v>56450</v>
      </c>
      <c r="I377" s="219" t="s">
        <v>173</v>
      </c>
      <c r="J377" s="219" t="s">
        <v>4263</v>
      </c>
      <c r="K377" s="183"/>
    </row>
    <row r="378" spans="1:11" ht="15.6">
      <c r="A378" s="322">
        <v>45979</v>
      </c>
      <c r="B378" s="219" t="s">
        <v>4955</v>
      </c>
      <c r="C378" s="219" t="s">
        <v>172</v>
      </c>
      <c r="D378" s="219" t="s">
        <v>119</v>
      </c>
      <c r="E378" s="219"/>
      <c r="F378" s="219">
        <v>1000</v>
      </c>
      <c r="G378" s="180"/>
      <c r="H378" s="181">
        <f t="shared" si="6"/>
        <v>55450</v>
      </c>
      <c r="I378" s="219" t="s">
        <v>173</v>
      </c>
      <c r="J378" s="219" t="s">
        <v>4263</v>
      </c>
      <c r="K378" s="183"/>
    </row>
    <row r="379" spans="1:11" ht="15.6">
      <c r="A379" s="322">
        <v>45979</v>
      </c>
      <c r="B379" s="219" t="s">
        <v>4955</v>
      </c>
      <c r="C379" s="219" t="s">
        <v>172</v>
      </c>
      <c r="D379" s="219" t="s">
        <v>119</v>
      </c>
      <c r="E379" s="219"/>
      <c r="F379" s="219">
        <v>2500</v>
      </c>
      <c r="G379" s="180"/>
      <c r="H379" s="181">
        <f t="shared" ref="H379:H384" si="7">H378+E379-F379</f>
        <v>52950</v>
      </c>
      <c r="I379" s="219" t="s">
        <v>173</v>
      </c>
      <c r="J379" s="219" t="s">
        <v>4263</v>
      </c>
      <c r="K379" s="183"/>
    </row>
    <row r="380" spans="1:11" ht="15.6">
      <c r="A380" s="322">
        <v>45979</v>
      </c>
      <c r="B380" s="219" t="s">
        <v>4962</v>
      </c>
      <c r="C380" s="219" t="s">
        <v>172</v>
      </c>
      <c r="D380" s="219" t="s">
        <v>119</v>
      </c>
      <c r="E380" s="219"/>
      <c r="F380" s="219">
        <v>1000</v>
      </c>
      <c r="G380" s="180"/>
      <c r="H380" s="181">
        <f t="shared" si="7"/>
        <v>51950</v>
      </c>
      <c r="I380" s="219" t="s">
        <v>173</v>
      </c>
      <c r="J380" s="219" t="s">
        <v>4263</v>
      </c>
      <c r="K380" s="183"/>
    </row>
    <row r="381" spans="1:11" ht="15.6">
      <c r="A381" s="322">
        <v>45979</v>
      </c>
      <c r="B381" s="219" t="s">
        <v>4756</v>
      </c>
      <c r="C381" s="219" t="s">
        <v>172</v>
      </c>
      <c r="D381" s="219" t="s">
        <v>119</v>
      </c>
      <c r="E381" s="219"/>
      <c r="F381" s="219">
        <v>12000</v>
      </c>
      <c r="G381" s="180"/>
      <c r="H381" s="181">
        <f t="shared" si="7"/>
        <v>39950</v>
      </c>
      <c r="I381" s="219" t="s">
        <v>173</v>
      </c>
      <c r="J381" s="179" t="s">
        <v>4277</v>
      </c>
      <c r="K381" s="183"/>
    </row>
    <row r="382" spans="1:11" ht="15.6">
      <c r="A382" s="322">
        <v>45980</v>
      </c>
      <c r="B382" s="219" t="s">
        <v>4261</v>
      </c>
      <c r="C382" s="219" t="s">
        <v>991</v>
      </c>
      <c r="D382" s="219" t="s">
        <v>119</v>
      </c>
      <c r="E382" s="219">
        <v>25000</v>
      </c>
      <c r="F382" s="219"/>
      <c r="G382" s="180"/>
      <c r="H382" s="181">
        <f t="shared" si="7"/>
        <v>64950</v>
      </c>
      <c r="I382" s="219" t="s">
        <v>173</v>
      </c>
      <c r="J382" s="219" t="s">
        <v>4278</v>
      </c>
      <c r="K382" s="183"/>
    </row>
    <row r="383" spans="1:11" ht="15.6">
      <c r="A383" s="322">
        <v>45985</v>
      </c>
      <c r="B383" s="219" t="s">
        <v>4876</v>
      </c>
      <c r="C383" s="219" t="s">
        <v>172</v>
      </c>
      <c r="D383" s="219" t="s">
        <v>119</v>
      </c>
      <c r="E383" s="219"/>
      <c r="F383" s="219">
        <v>1000</v>
      </c>
      <c r="G383" s="180"/>
      <c r="H383" s="181">
        <f t="shared" si="7"/>
        <v>63950</v>
      </c>
      <c r="I383" s="219" t="s">
        <v>173</v>
      </c>
      <c r="J383" s="219" t="s">
        <v>4263</v>
      </c>
      <c r="K383" s="183"/>
    </row>
    <row r="384" spans="1:11" ht="15.6">
      <c r="A384" s="322">
        <v>45985</v>
      </c>
      <c r="B384" s="219" t="s">
        <v>4876</v>
      </c>
      <c r="C384" s="219" t="s">
        <v>172</v>
      </c>
      <c r="D384" s="219" t="s">
        <v>119</v>
      </c>
      <c r="E384" s="219"/>
      <c r="F384" s="219">
        <v>1000</v>
      </c>
      <c r="G384" s="180"/>
      <c r="H384" s="181">
        <f t="shared" si="7"/>
        <v>62950</v>
      </c>
      <c r="I384" s="219" t="s">
        <v>173</v>
      </c>
      <c r="J384" s="219" t="s">
        <v>4263</v>
      </c>
      <c r="K384" s="183"/>
    </row>
    <row r="385" spans="1:11" ht="15.6">
      <c r="A385" s="175"/>
      <c r="B385" s="183"/>
      <c r="C385" s="183"/>
      <c r="D385" s="183"/>
      <c r="E385" s="195">
        <f>SUM(E314:E384)</f>
        <v>248000</v>
      </c>
      <c r="F385" s="195">
        <f>SUM(F314:F384)</f>
        <v>243000</v>
      </c>
      <c r="G385" s="195"/>
      <c r="H385" s="203">
        <f>+E385-F385+H313</f>
        <v>62950</v>
      </c>
      <c r="I385" s="183"/>
      <c r="J385" s="183"/>
      <c r="K385" s="183"/>
    </row>
    <row r="386" spans="1:11" ht="15.6">
      <c r="A386" s="175"/>
      <c r="B386" s="183"/>
      <c r="C386" s="183"/>
      <c r="D386" s="183"/>
      <c r="E386" s="195"/>
      <c r="F386" s="195"/>
      <c r="G386" s="195"/>
      <c r="H386" s="203"/>
      <c r="I386" s="183"/>
      <c r="J386" s="183"/>
      <c r="K386" s="183"/>
    </row>
    <row r="387" spans="1:11" ht="15.6">
      <c r="A387" s="185"/>
      <c r="B387" s="183"/>
      <c r="C387" s="186" t="s">
        <v>452</v>
      </c>
      <c r="D387" s="183"/>
      <c r="E387" s="187"/>
      <c r="F387" s="187"/>
      <c r="G387" s="187"/>
      <c r="H387" s="188"/>
      <c r="I387" s="183"/>
      <c r="J387" s="183"/>
      <c r="K387" s="183"/>
    </row>
    <row r="388" spans="1:11" ht="15.6">
      <c r="A388" s="185"/>
      <c r="B388" s="183"/>
      <c r="C388" s="183"/>
      <c r="D388" s="183"/>
      <c r="E388" s="187"/>
      <c r="F388" s="187"/>
      <c r="G388" s="187"/>
      <c r="H388" s="188"/>
      <c r="I388" s="183"/>
      <c r="J388" s="183"/>
      <c r="K388" s="183"/>
    </row>
    <row r="389" spans="1:11" ht="15.6">
      <c r="A389" s="189" t="s">
        <v>0</v>
      </c>
      <c r="B389" s="190" t="s">
        <v>443</v>
      </c>
      <c r="C389" s="190" t="s">
        <v>444</v>
      </c>
      <c r="D389" s="190" t="s">
        <v>445</v>
      </c>
      <c r="E389" s="191" t="s">
        <v>446</v>
      </c>
      <c r="F389" s="191" t="s">
        <v>447</v>
      </c>
      <c r="G389" s="191"/>
      <c r="H389" s="192" t="s">
        <v>30</v>
      </c>
      <c r="I389" s="190" t="s">
        <v>448</v>
      </c>
      <c r="J389" s="190" t="s">
        <v>449</v>
      </c>
      <c r="K389" s="183"/>
    </row>
    <row r="390" spans="1:11" ht="15.6">
      <c r="A390" s="144">
        <v>45962</v>
      </c>
      <c r="B390" s="177" t="s">
        <v>4161</v>
      </c>
      <c r="C390" s="177"/>
      <c r="D390" s="177"/>
      <c r="E390" s="180"/>
      <c r="F390" s="180"/>
      <c r="G390" s="180"/>
      <c r="H390" s="180">
        <v>7200</v>
      </c>
      <c r="I390" s="181" t="s">
        <v>315</v>
      </c>
      <c r="J390" s="177"/>
      <c r="K390" s="183"/>
    </row>
    <row r="391" spans="1:11" ht="15.6">
      <c r="A391" s="402">
        <v>45964</v>
      </c>
      <c r="B391" s="400" t="s">
        <v>4739</v>
      </c>
      <c r="C391" s="400" t="s">
        <v>150</v>
      </c>
      <c r="D391" s="400" t="s">
        <v>119</v>
      </c>
      <c r="E391" s="344">
        <v>10000</v>
      </c>
      <c r="F391" s="343"/>
      <c r="G391" s="180"/>
      <c r="H391" s="180">
        <f>H390+E391-F391</f>
        <v>17200</v>
      </c>
      <c r="I391" s="343" t="s">
        <v>315</v>
      </c>
      <c r="J391" s="344" t="s">
        <v>4287</v>
      </c>
      <c r="K391" s="183"/>
    </row>
    <row r="392" spans="1:11" ht="15.6">
      <c r="A392" s="402">
        <v>45964</v>
      </c>
      <c r="B392" s="400" t="s">
        <v>4739</v>
      </c>
      <c r="C392" s="400" t="s">
        <v>150</v>
      </c>
      <c r="D392" s="400" t="s">
        <v>119</v>
      </c>
      <c r="E392" s="344"/>
      <c r="F392" s="343">
        <v>10000</v>
      </c>
      <c r="G392" s="180"/>
      <c r="H392" s="180">
        <f t="shared" ref="H392:H455" si="8">H391+E392-F392</f>
        <v>7200</v>
      </c>
      <c r="I392" s="343" t="s">
        <v>315</v>
      </c>
      <c r="J392" s="344" t="s">
        <v>4287</v>
      </c>
      <c r="K392" s="183"/>
    </row>
    <row r="393" spans="1:11" ht="15.6">
      <c r="A393" s="402">
        <v>45967</v>
      </c>
      <c r="B393" s="343" t="s">
        <v>4876</v>
      </c>
      <c r="C393" s="343" t="s">
        <v>172</v>
      </c>
      <c r="D393" s="343" t="s">
        <v>119</v>
      </c>
      <c r="E393" s="344"/>
      <c r="F393" s="491">
        <v>2500</v>
      </c>
      <c r="G393" s="180"/>
      <c r="H393" s="180">
        <f t="shared" si="8"/>
        <v>4700</v>
      </c>
      <c r="I393" s="343" t="s">
        <v>315</v>
      </c>
      <c r="J393" s="344" t="s">
        <v>4288</v>
      </c>
      <c r="K393" s="183"/>
    </row>
    <row r="394" spans="1:11" ht="15.6">
      <c r="A394" s="402">
        <v>45967</v>
      </c>
      <c r="B394" s="343" t="s">
        <v>4876</v>
      </c>
      <c r="C394" s="343" t="s">
        <v>172</v>
      </c>
      <c r="D394" s="343" t="s">
        <v>119</v>
      </c>
      <c r="E394" s="344"/>
      <c r="F394" s="343">
        <v>1000</v>
      </c>
      <c r="G394" s="180"/>
      <c r="H394" s="180">
        <f t="shared" si="8"/>
        <v>3700</v>
      </c>
      <c r="I394" s="343" t="s">
        <v>315</v>
      </c>
      <c r="J394" s="344" t="s">
        <v>4288</v>
      </c>
      <c r="K394" s="183"/>
    </row>
    <row r="395" spans="1:11" ht="15.6">
      <c r="A395" s="402">
        <v>45967</v>
      </c>
      <c r="B395" s="343" t="s">
        <v>4876</v>
      </c>
      <c r="C395" s="343" t="s">
        <v>172</v>
      </c>
      <c r="D395" s="343" t="s">
        <v>119</v>
      </c>
      <c r="E395" s="344"/>
      <c r="F395" s="491">
        <v>1000</v>
      </c>
      <c r="G395" s="180"/>
      <c r="H395" s="180">
        <f t="shared" si="8"/>
        <v>2700</v>
      </c>
      <c r="I395" s="343" t="s">
        <v>315</v>
      </c>
      <c r="J395" s="344" t="s">
        <v>4288</v>
      </c>
      <c r="K395" s="183"/>
    </row>
    <row r="396" spans="1:11" ht="15.6">
      <c r="A396" s="402">
        <v>45967</v>
      </c>
      <c r="B396" s="343" t="s">
        <v>4876</v>
      </c>
      <c r="C396" s="343" t="s">
        <v>172</v>
      </c>
      <c r="D396" s="343" t="s">
        <v>119</v>
      </c>
      <c r="E396" s="344"/>
      <c r="F396" s="343">
        <v>2000</v>
      </c>
      <c r="G396" s="180"/>
      <c r="H396" s="180">
        <f t="shared" si="8"/>
        <v>700</v>
      </c>
      <c r="I396" s="343" t="s">
        <v>315</v>
      </c>
      <c r="J396" s="344" t="s">
        <v>4288</v>
      </c>
      <c r="K396" s="183"/>
    </row>
    <row r="397" spans="1:11" ht="15.6">
      <c r="A397" s="402">
        <v>45968</v>
      </c>
      <c r="B397" s="343" t="s">
        <v>2511</v>
      </c>
      <c r="C397" s="343" t="s">
        <v>122</v>
      </c>
      <c r="D397" s="343" t="s">
        <v>119</v>
      </c>
      <c r="E397" s="344">
        <v>20000</v>
      </c>
      <c r="F397" s="344"/>
      <c r="G397" s="180"/>
      <c r="H397" s="180">
        <f t="shared" si="8"/>
        <v>20700</v>
      </c>
      <c r="I397" s="343" t="s">
        <v>315</v>
      </c>
      <c r="J397" s="344" t="s">
        <v>4289</v>
      </c>
      <c r="K397" s="183"/>
    </row>
    <row r="398" spans="1:11" ht="15.6">
      <c r="A398" s="402">
        <v>45968</v>
      </c>
      <c r="B398" s="343" t="s">
        <v>4876</v>
      </c>
      <c r="C398" s="343" t="s">
        <v>172</v>
      </c>
      <c r="D398" s="343" t="s">
        <v>119</v>
      </c>
      <c r="E398" s="344"/>
      <c r="F398" s="344">
        <v>3000</v>
      </c>
      <c r="G398" s="180"/>
      <c r="H398" s="180">
        <f t="shared" si="8"/>
        <v>17700</v>
      </c>
      <c r="I398" s="343" t="s">
        <v>315</v>
      </c>
      <c r="J398" s="344" t="s">
        <v>4288</v>
      </c>
      <c r="K398" s="183"/>
    </row>
    <row r="399" spans="1:11" ht="15.6">
      <c r="A399" s="402">
        <v>45968</v>
      </c>
      <c r="B399" s="343" t="s">
        <v>4876</v>
      </c>
      <c r="C399" s="343" t="s">
        <v>172</v>
      </c>
      <c r="D399" s="343" t="s">
        <v>119</v>
      </c>
      <c r="E399" s="344"/>
      <c r="F399" s="344">
        <v>1000</v>
      </c>
      <c r="G399" s="180"/>
      <c r="H399" s="180">
        <f t="shared" si="8"/>
        <v>16700</v>
      </c>
      <c r="I399" s="343" t="s">
        <v>315</v>
      </c>
      <c r="J399" s="344" t="s">
        <v>4288</v>
      </c>
      <c r="K399" s="183"/>
    </row>
    <row r="400" spans="1:11" ht="15.6">
      <c r="A400" s="402">
        <v>45968</v>
      </c>
      <c r="B400" s="343" t="s">
        <v>4876</v>
      </c>
      <c r="C400" s="343" t="s">
        <v>172</v>
      </c>
      <c r="D400" s="343" t="s">
        <v>119</v>
      </c>
      <c r="E400" s="344"/>
      <c r="F400" s="344">
        <v>1500</v>
      </c>
      <c r="G400" s="180"/>
      <c r="H400" s="180">
        <f t="shared" si="8"/>
        <v>15200</v>
      </c>
      <c r="I400" s="343" t="s">
        <v>315</v>
      </c>
      <c r="J400" s="344" t="s">
        <v>4288</v>
      </c>
      <c r="K400" s="183"/>
    </row>
    <row r="401" spans="1:11" ht="15.6">
      <c r="A401" s="402">
        <v>45968</v>
      </c>
      <c r="B401" s="343" t="s">
        <v>4876</v>
      </c>
      <c r="C401" s="343" t="s">
        <v>172</v>
      </c>
      <c r="D401" s="343" t="s">
        <v>119</v>
      </c>
      <c r="E401" s="344"/>
      <c r="F401" s="344">
        <v>2500</v>
      </c>
      <c r="G401" s="180"/>
      <c r="H401" s="180">
        <f t="shared" si="8"/>
        <v>12700</v>
      </c>
      <c r="I401" s="343" t="s">
        <v>315</v>
      </c>
      <c r="J401" s="344" t="s">
        <v>4288</v>
      </c>
      <c r="K401" s="183"/>
    </row>
    <row r="402" spans="1:11" ht="15.6">
      <c r="A402" s="402">
        <v>45971</v>
      </c>
      <c r="B402" s="400" t="s">
        <v>4741</v>
      </c>
      <c r="C402" s="400" t="s">
        <v>150</v>
      </c>
      <c r="D402" s="400" t="s">
        <v>119</v>
      </c>
      <c r="E402" s="344">
        <v>10000</v>
      </c>
      <c r="F402" s="344"/>
      <c r="G402" s="180"/>
      <c r="H402" s="180">
        <f t="shared" si="8"/>
        <v>22700</v>
      </c>
      <c r="I402" s="343" t="s">
        <v>315</v>
      </c>
      <c r="J402" s="344" t="s">
        <v>4290</v>
      </c>
      <c r="K402" s="183"/>
    </row>
    <row r="403" spans="1:11" ht="15.6">
      <c r="A403" s="402">
        <v>45971</v>
      </c>
      <c r="B403" s="400" t="s">
        <v>4741</v>
      </c>
      <c r="C403" s="400" t="s">
        <v>150</v>
      </c>
      <c r="D403" s="400" t="s">
        <v>119</v>
      </c>
      <c r="E403" s="344"/>
      <c r="F403" s="344">
        <v>10000</v>
      </c>
      <c r="G403" s="180"/>
      <c r="H403" s="180">
        <f t="shared" si="8"/>
        <v>12700</v>
      </c>
      <c r="I403" s="343" t="s">
        <v>315</v>
      </c>
      <c r="J403" s="344" t="s">
        <v>4290</v>
      </c>
      <c r="K403" s="183"/>
    </row>
    <row r="404" spans="1:11" ht="15.6">
      <c r="A404" s="402">
        <v>45972</v>
      </c>
      <c r="B404" s="343" t="s">
        <v>4876</v>
      </c>
      <c r="C404" s="343" t="s">
        <v>172</v>
      </c>
      <c r="D404" s="343" t="s">
        <v>119</v>
      </c>
      <c r="E404" s="344"/>
      <c r="F404" s="344">
        <v>1500</v>
      </c>
      <c r="G404" s="180"/>
      <c r="H404" s="180">
        <f t="shared" si="8"/>
        <v>11200</v>
      </c>
      <c r="I404" s="343" t="s">
        <v>315</v>
      </c>
      <c r="J404" s="344" t="s">
        <v>4288</v>
      </c>
      <c r="K404" s="183"/>
    </row>
    <row r="405" spans="1:11" ht="15.6">
      <c r="A405" s="402">
        <v>45972</v>
      </c>
      <c r="B405" s="343" t="s">
        <v>4876</v>
      </c>
      <c r="C405" s="343" t="s">
        <v>172</v>
      </c>
      <c r="D405" s="343" t="s">
        <v>119</v>
      </c>
      <c r="E405" s="344"/>
      <c r="F405" s="344">
        <v>1000</v>
      </c>
      <c r="G405" s="180"/>
      <c r="H405" s="180">
        <f t="shared" si="8"/>
        <v>10200</v>
      </c>
      <c r="I405" s="343" t="s">
        <v>315</v>
      </c>
      <c r="J405" s="344" t="s">
        <v>4288</v>
      </c>
      <c r="K405" s="183"/>
    </row>
    <row r="406" spans="1:11" ht="15.6">
      <c r="A406" s="402">
        <v>45972</v>
      </c>
      <c r="B406" s="343" t="s">
        <v>4769</v>
      </c>
      <c r="C406" s="343" t="s">
        <v>363</v>
      </c>
      <c r="D406" s="343" t="s">
        <v>119</v>
      </c>
      <c r="E406" s="344"/>
      <c r="F406" s="344">
        <v>2000</v>
      </c>
      <c r="G406" s="180"/>
      <c r="H406" s="180">
        <f t="shared" si="8"/>
        <v>8200</v>
      </c>
      <c r="I406" s="343" t="s">
        <v>315</v>
      </c>
      <c r="J406" s="344" t="s">
        <v>4291</v>
      </c>
      <c r="K406" s="183"/>
    </row>
    <row r="407" spans="1:11" ht="15.6">
      <c r="A407" s="402">
        <v>45972</v>
      </c>
      <c r="B407" s="343" t="s">
        <v>4917</v>
      </c>
      <c r="C407" s="343" t="s">
        <v>172</v>
      </c>
      <c r="D407" s="343" t="s">
        <v>119</v>
      </c>
      <c r="E407" s="344"/>
      <c r="F407" s="344">
        <v>1500</v>
      </c>
      <c r="G407" s="180"/>
      <c r="H407" s="180">
        <f t="shared" si="8"/>
        <v>6700</v>
      </c>
      <c r="I407" s="343" t="s">
        <v>315</v>
      </c>
      <c r="J407" s="344" t="s">
        <v>4288</v>
      </c>
      <c r="K407" s="183"/>
    </row>
    <row r="408" spans="1:11" ht="15.6">
      <c r="A408" s="402">
        <v>45972</v>
      </c>
      <c r="B408" s="343" t="s">
        <v>4876</v>
      </c>
      <c r="C408" s="343" t="s">
        <v>172</v>
      </c>
      <c r="D408" s="343" t="s">
        <v>119</v>
      </c>
      <c r="E408" s="344"/>
      <c r="F408" s="344">
        <v>1500</v>
      </c>
      <c r="G408" s="180"/>
      <c r="H408" s="180">
        <f t="shared" si="8"/>
        <v>5200</v>
      </c>
      <c r="I408" s="343" t="s">
        <v>315</v>
      </c>
      <c r="J408" s="344" t="s">
        <v>4288</v>
      </c>
      <c r="K408" s="183"/>
    </row>
    <row r="409" spans="1:11" ht="15.6">
      <c r="A409" s="402">
        <v>45973</v>
      </c>
      <c r="B409" s="343" t="s">
        <v>2511</v>
      </c>
      <c r="C409" s="343" t="s">
        <v>122</v>
      </c>
      <c r="D409" s="343" t="s">
        <v>119</v>
      </c>
      <c r="E409" s="344">
        <v>15000</v>
      </c>
      <c r="F409" s="344"/>
      <c r="G409" s="180"/>
      <c r="H409" s="180">
        <f t="shared" si="8"/>
        <v>20200</v>
      </c>
      <c r="I409" s="343" t="s">
        <v>315</v>
      </c>
      <c r="J409" s="344" t="s">
        <v>4292</v>
      </c>
      <c r="K409" s="183"/>
    </row>
    <row r="410" spans="1:11" ht="15.6">
      <c r="A410" s="402">
        <v>45973</v>
      </c>
      <c r="B410" s="343" t="s">
        <v>4917</v>
      </c>
      <c r="C410" s="343" t="s">
        <v>172</v>
      </c>
      <c r="D410" s="343" t="s">
        <v>119</v>
      </c>
      <c r="E410" s="344"/>
      <c r="F410" s="344">
        <v>1500</v>
      </c>
      <c r="G410" s="180"/>
      <c r="H410" s="180">
        <f t="shared" si="8"/>
        <v>18700</v>
      </c>
      <c r="I410" s="343" t="s">
        <v>315</v>
      </c>
      <c r="J410" s="344" t="s">
        <v>4288</v>
      </c>
      <c r="K410" s="183"/>
    </row>
    <row r="411" spans="1:11" ht="15.6">
      <c r="A411" s="402">
        <v>45973</v>
      </c>
      <c r="B411" s="343" t="s">
        <v>4876</v>
      </c>
      <c r="C411" s="343" t="s">
        <v>172</v>
      </c>
      <c r="D411" s="343" t="s">
        <v>119</v>
      </c>
      <c r="E411" s="344"/>
      <c r="F411" s="344">
        <v>1000</v>
      </c>
      <c r="G411" s="180"/>
      <c r="H411" s="180">
        <f t="shared" si="8"/>
        <v>17700</v>
      </c>
      <c r="I411" s="343" t="s">
        <v>315</v>
      </c>
      <c r="J411" s="344" t="s">
        <v>4288</v>
      </c>
      <c r="K411" s="183"/>
    </row>
    <row r="412" spans="1:11" ht="15.6">
      <c r="A412" s="402">
        <v>45973</v>
      </c>
      <c r="B412" s="343" t="s">
        <v>4876</v>
      </c>
      <c r="C412" s="343" t="s">
        <v>172</v>
      </c>
      <c r="D412" s="343" t="s">
        <v>119</v>
      </c>
      <c r="E412" s="344"/>
      <c r="F412" s="344">
        <v>2000</v>
      </c>
      <c r="G412" s="180"/>
      <c r="H412" s="180">
        <f t="shared" si="8"/>
        <v>15700</v>
      </c>
      <c r="I412" s="343" t="s">
        <v>315</v>
      </c>
      <c r="J412" s="344" t="s">
        <v>4288</v>
      </c>
      <c r="K412" s="183"/>
    </row>
    <row r="413" spans="1:11" ht="15.6">
      <c r="A413" s="402">
        <v>45973</v>
      </c>
      <c r="B413" s="343" t="s">
        <v>4876</v>
      </c>
      <c r="C413" s="343" t="s">
        <v>172</v>
      </c>
      <c r="D413" s="343" t="s">
        <v>119</v>
      </c>
      <c r="E413" s="344"/>
      <c r="F413" s="344">
        <v>3500</v>
      </c>
      <c r="G413" s="180"/>
      <c r="H413" s="180">
        <f t="shared" si="8"/>
        <v>12200</v>
      </c>
      <c r="I413" s="343" t="s">
        <v>315</v>
      </c>
      <c r="J413" s="344" t="s">
        <v>4288</v>
      </c>
      <c r="K413" s="183"/>
    </row>
    <row r="414" spans="1:11" ht="15.6">
      <c r="A414" s="402">
        <v>45974</v>
      </c>
      <c r="B414" s="343" t="s">
        <v>2511</v>
      </c>
      <c r="C414" s="343" t="s">
        <v>122</v>
      </c>
      <c r="D414" s="343" t="s">
        <v>119</v>
      </c>
      <c r="E414" s="344">
        <v>100000</v>
      </c>
      <c r="F414" s="344"/>
      <c r="G414" s="180"/>
      <c r="H414" s="180">
        <f t="shared" si="8"/>
        <v>112200</v>
      </c>
      <c r="I414" s="343" t="s">
        <v>315</v>
      </c>
      <c r="J414" s="344" t="s">
        <v>4293</v>
      </c>
      <c r="K414" s="183"/>
    </row>
    <row r="415" spans="1:11" ht="15.6">
      <c r="A415" s="402">
        <v>45974</v>
      </c>
      <c r="B415" s="343" t="s">
        <v>4876</v>
      </c>
      <c r="C415" s="343" t="s">
        <v>172</v>
      </c>
      <c r="D415" s="343" t="s">
        <v>119</v>
      </c>
      <c r="E415" s="344"/>
      <c r="F415" s="344">
        <v>1000</v>
      </c>
      <c r="G415" s="180"/>
      <c r="H415" s="180">
        <f t="shared" si="8"/>
        <v>111200</v>
      </c>
      <c r="I415" s="343" t="s">
        <v>315</v>
      </c>
      <c r="J415" s="344" t="s">
        <v>4288</v>
      </c>
      <c r="K415" s="183"/>
    </row>
    <row r="416" spans="1:11" ht="15.6">
      <c r="A416" s="402">
        <v>45974</v>
      </c>
      <c r="B416" s="343" t="s">
        <v>4917</v>
      </c>
      <c r="C416" s="343" t="s">
        <v>172</v>
      </c>
      <c r="D416" s="343" t="s">
        <v>119</v>
      </c>
      <c r="E416" s="344"/>
      <c r="F416" s="344">
        <v>1000</v>
      </c>
      <c r="G416" s="180"/>
      <c r="H416" s="180">
        <f t="shared" si="8"/>
        <v>110200</v>
      </c>
      <c r="I416" s="343" t="s">
        <v>315</v>
      </c>
      <c r="J416" s="344" t="s">
        <v>4288</v>
      </c>
      <c r="K416" s="183"/>
    </row>
    <row r="417" spans="1:11" ht="15.6">
      <c r="A417" s="402">
        <v>45974</v>
      </c>
      <c r="B417" s="343" t="s">
        <v>4876</v>
      </c>
      <c r="C417" s="343" t="s">
        <v>172</v>
      </c>
      <c r="D417" s="343" t="s">
        <v>119</v>
      </c>
      <c r="E417" s="344"/>
      <c r="F417" s="344">
        <v>2000</v>
      </c>
      <c r="G417" s="180"/>
      <c r="H417" s="180">
        <f t="shared" si="8"/>
        <v>108200</v>
      </c>
      <c r="I417" s="343" t="s">
        <v>315</v>
      </c>
      <c r="J417" s="344" t="s">
        <v>4288</v>
      </c>
      <c r="K417" s="183"/>
    </row>
    <row r="418" spans="1:11" ht="15.6">
      <c r="A418" s="402">
        <v>45974</v>
      </c>
      <c r="B418" s="343" t="s">
        <v>4876</v>
      </c>
      <c r="C418" s="343" t="s">
        <v>172</v>
      </c>
      <c r="D418" s="343" t="s">
        <v>119</v>
      </c>
      <c r="E418" s="344"/>
      <c r="F418" s="344">
        <v>1500</v>
      </c>
      <c r="G418" s="180"/>
      <c r="H418" s="180">
        <f t="shared" si="8"/>
        <v>106700</v>
      </c>
      <c r="I418" s="343" t="s">
        <v>315</v>
      </c>
      <c r="J418" s="344" t="s">
        <v>4288</v>
      </c>
      <c r="K418" s="183"/>
    </row>
    <row r="419" spans="1:11" ht="15.6">
      <c r="A419" s="402">
        <v>45975</v>
      </c>
      <c r="B419" s="343" t="s">
        <v>4748</v>
      </c>
      <c r="C419" s="343" t="s">
        <v>175</v>
      </c>
      <c r="D419" s="343" t="s">
        <v>119</v>
      </c>
      <c r="E419" s="344"/>
      <c r="F419" s="344">
        <v>100000</v>
      </c>
      <c r="G419" s="180"/>
      <c r="H419" s="180">
        <f t="shared" si="8"/>
        <v>6700</v>
      </c>
      <c r="I419" s="343" t="s">
        <v>315</v>
      </c>
      <c r="J419" s="344" t="s">
        <v>4294</v>
      </c>
      <c r="K419" s="183"/>
    </row>
    <row r="420" spans="1:11" ht="15.6">
      <c r="A420" s="402">
        <v>45975</v>
      </c>
      <c r="B420" s="343" t="s">
        <v>4976</v>
      </c>
      <c r="C420" s="343" t="s">
        <v>172</v>
      </c>
      <c r="D420" s="343" t="s">
        <v>119</v>
      </c>
      <c r="E420" s="344"/>
      <c r="F420" s="344">
        <v>2000</v>
      </c>
      <c r="G420" s="180"/>
      <c r="H420" s="180">
        <f t="shared" si="8"/>
        <v>4700</v>
      </c>
      <c r="I420" s="343" t="s">
        <v>315</v>
      </c>
      <c r="J420" s="344" t="s">
        <v>4288</v>
      </c>
      <c r="K420" s="183"/>
    </row>
    <row r="421" spans="1:11" ht="15.6">
      <c r="A421" s="402">
        <v>45975</v>
      </c>
      <c r="B421" s="343" t="s">
        <v>4749</v>
      </c>
      <c r="C421" s="343" t="s">
        <v>172</v>
      </c>
      <c r="D421" s="343" t="s">
        <v>119</v>
      </c>
      <c r="E421" s="344"/>
      <c r="F421" s="492">
        <v>9000</v>
      </c>
      <c r="G421" s="180"/>
      <c r="H421" s="180">
        <f t="shared" si="8"/>
        <v>-4300</v>
      </c>
      <c r="I421" s="343" t="s">
        <v>315</v>
      </c>
      <c r="J421" s="344" t="s">
        <v>4295</v>
      </c>
      <c r="K421" s="183"/>
    </row>
    <row r="422" spans="1:11" ht="15.6">
      <c r="A422" s="402">
        <v>45975</v>
      </c>
      <c r="B422" s="343" t="s">
        <v>4876</v>
      </c>
      <c r="C422" s="343" t="s">
        <v>172</v>
      </c>
      <c r="D422" s="343" t="s">
        <v>119</v>
      </c>
      <c r="E422" s="344"/>
      <c r="F422" s="344">
        <v>1000</v>
      </c>
      <c r="G422" s="180"/>
      <c r="H422" s="180">
        <f t="shared" si="8"/>
        <v>-5300</v>
      </c>
      <c r="I422" s="343" t="s">
        <v>315</v>
      </c>
      <c r="J422" s="344" t="s">
        <v>4288</v>
      </c>
      <c r="K422" s="183"/>
    </row>
    <row r="423" spans="1:11" ht="15.6">
      <c r="A423" s="402">
        <v>45977</v>
      </c>
      <c r="B423" s="343" t="s">
        <v>4876</v>
      </c>
      <c r="C423" s="343" t="s">
        <v>172</v>
      </c>
      <c r="D423" s="343" t="s">
        <v>119</v>
      </c>
      <c r="E423" s="344"/>
      <c r="F423" s="344">
        <v>1000</v>
      </c>
      <c r="G423" s="180"/>
      <c r="H423" s="180">
        <f t="shared" si="8"/>
        <v>-6300</v>
      </c>
      <c r="I423" s="343" t="s">
        <v>315</v>
      </c>
      <c r="J423" s="344" t="s">
        <v>4288</v>
      </c>
      <c r="K423" s="183"/>
    </row>
    <row r="424" spans="1:11" ht="15.6">
      <c r="A424" s="402">
        <v>45977</v>
      </c>
      <c r="B424" s="343" t="s">
        <v>4770</v>
      </c>
      <c r="C424" s="343" t="s">
        <v>363</v>
      </c>
      <c r="D424" s="343" t="s">
        <v>119</v>
      </c>
      <c r="E424" s="344"/>
      <c r="F424" s="492">
        <v>10000</v>
      </c>
      <c r="G424" s="180"/>
      <c r="H424" s="180">
        <f t="shared" si="8"/>
        <v>-16300</v>
      </c>
      <c r="I424" s="343" t="s">
        <v>315</v>
      </c>
      <c r="J424" s="344" t="s">
        <v>4291</v>
      </c>
      <c r="K424" s="183"/>
    </row>
    <row r="425" spans="1:11" ht="15.6">
      <c r="A425" s="402">
        <v>45977</v>
      </c>
      <c r="B425" s="343" t="s">
        <v>4876</v>
      </c>
      <c r="C425" s="343" t="s">
        <v>172</v>
      </c>
      <c r="D425" s="343" t="s">
        <v>119</v>
      </c>
      <c r="E425" s="344"/>
      <c r="F425" s="344">
        <v>2000</v>
      </c>
      <c r="G425" s="180"/>
      <c r="H425" s="180">
        <f t="shared" si="8"/>
        <v>-18300</v>
      </c>
      <c r="I425" s="343" t="s">
        <v>315</v>
      </c>
      <c r="J425" s="344" t="s">
        <v>4288</v>
      </c>
      <c r="K425" s="183"/>
    </row>
    <row r="426" spans="1:11" ht="15.6">
      <c r="A426" s="402">
        <v>45977</v>
      </c>
      <c r="B426" s="343" t="s">
        <v>4876</v>
      </c>
      <c r="C426" s="343" t="s">
        <v>172</v>
      </c>
      <c r="D426" s="343" t="s">
        <v>119</v>
      </c>
      <c r="E426" s="344"/>
      <c r="F426" s="344">
        <v>2000</v>
      </c>
      <c r="G426" s="180"/>
      <c r="H426" s="180">
        <f t="shared" si="8"/>
        <v>-20300</v>
      </c>
      <c r="I426" s="343" t="s">
        <v>315</v>
      </c>
      <c r="J426" s="344" t="s">
        <v>4288</v>
      </c>
      <c r="K426" s="183"/>
    </row>
    <row r="427" spans="1:11" ht="15.6">
      <c r="A427" s="402">
        <v>45977</v>
      </c>
      <c r="B427" s="343" t="s">
        <v>4876</v>
      </c>
      <c r="C427" s="343" t="s">
        <v>172</v>
      </c>
      <c r="D427" s="343" t="s">
        <v>119</v>
      </c>
      <c r="E427" s="344"/>
      <c r="F427" s="344">
        <v>1000</v>
      </c>
      <c r="G427" s="180"/>
      <c r="H427" s="180">
        <f t="shared" si="8"/>
        <v>-21300</v>
      </c>
      <c r="I427" s="343" t="s">
        <v>315</v>
      </c>
      <c r="J427" s="344" t="s">
        <v>4288</v>
      </c>
      <c r="K427" s="183"/>
    </row>
    <row r="428" spans="1:11" ht="15.6">
      <c r="A428" s="402">
        <v>45978</v>
      </c>
      <c r="B428" s="343" t="s">
        <v>4876</v>
      </c>
      <c r="C428" s="343" t="s">
        <v>172</v>
      </c>
      <c r="D428" s="343" t="s">
        <v>119</v>
      </c>
      <c r="E428" s="344"/>
      <c r="F428" s="344">
        <v>1000</v>
      </c>
      <c r="G428" s="180"/>
      <c r="H428" s="180">
        <f t="shared" si="8"/>
        <v>-22300</v>
      </c>
      <c r="I428" s="343" t="s">
        <v>315</v>
      </c>
      <c r="J428" s="344" t="s">
        <v>4288</v>
      </c>
      <c r="K428" s="183"/>
    </row>
    <row r="429" spans="1:11" ht="15.6">
      <c r="A429" s="402">
        <v>45978</v>
      </c>
      <c r="B429" s="343" t="s">
        <v>2511</v>
      </c>
      <c r="C429" s="343" t="s">
        <v>122</v>
      </c>
      <c r="D429" s="343" t="s">
        <v>119</v>
      </c>
      <c r="E429" s="344">
        <v>75000</v>
      </c>
      <c r="F429" s="344"/>
      <c r="G429" s="180"/>
      <c r="H429" s="180">
        <f t="shared" si="8"/>
        <v>52700</v>
      </c>
      <c r="I429" s="343" t="s">
        <v>315</v>
      </c>
      <c r="J429" s="344" t="s">
        <v>4296</v>
      </c>
      <c r="K429" s="183"/>
    </row>
    <row r="430" spans="1:11" ht="15.6">
      <c r="A430" s="402">
        <v>45978</v>
      </c>
      <c r="B430" s="343" t="s">
        <v>4876</v>
      </c>
      <c r="C430" s="343" t="s">
        <v>172</v>
      </c>
      <c r="D430" s="343" t="s">
        <v>119</v>
      </c>
      <c r="E430" s="344"/>
      <c r="F430" s="344">
        <v>1000</v>
      </c>
      <c r="G430" s="180"/>
      <c r="H430" s="180">
        <f t="shared" si="8"/>
        <v>51700</v>
      </c>
      <c r="I430" s="343" t="s">
        <v>315</v>
      </c>
      <c r="J430" s="344" t="s">
        <v>4288</v>
      </c>
      <c r="K430" s="183"/>
    </row>
    <row r="431" spans="1:11" ht="15.6">
      <c r="A431" s="402">
        <v>45978</v>
      </c>
      <c r="B431" s="400" t="s">
        <v>4768</v>
      </c>
      <c r="C431" s="400" t="s">
        <v>150</v>
      </c>
      <c r="D431" s="400" t="s">
        <v>119</v>
      </c>
      <c r="E431" s="344">
        <v>10000</v>
      </c>
      <c r="F431" s="344"/>
      <c r="G431" s="180"/>
      <c r="H431" s="180">
        <f t="shared" si="8"/>
        <v>61700</v>
      </c>
      <c r="I431" s="343" t="s">
        <v>315</v>
      </c>
      <c r="J431" s="344" t="s">
        <v>4297</v>
      </c>
      <c r="K431" s="183"/>
    </row>
    <row r="432" spans="1:11" ht="15.6">
      <c r="A432" s="402">
        <v>45978</v>
      </c>
      <c r="B432" s="400" t="s">
        <v>4768</v>
      </c>
      <c r="C432" s="400" t="s">
        <v>150</v>
      </c>
      <c r="D432" s="400" t="s">
        <v>119</v>
      </c>
      <c r="E432" s="344"/>
      <c r="F432" s="344">
        <v>10000</v>
      </c>
      <c r="G432" s="180"/>
      <c r="H432" s="180">
        <f t="shared" si="8"/>
        <v>51700</v>
      </c>
      <c r="I432" s="343" t="s">
        <v>315</v>
      </c>
      <c r="J432" s="344" t="s">
        <v>4297</v>
      </c>
      <c r="K432" s="183"/>
    </row>
    <row r="433" spans="1:11" ht="15.6">
      <c r="A433" s="402">
        <v>45980</v>
      </c>
      <c r="B433" s="343" t="s">
        <v>4876</v>
      </c>
      <c r="C433" s="343" t="s">
        <v>172</v>
      </c>
      <c r="D433" s="343" t="s">
        <v>119</v>
      </c>
      <c r="E433" s="344"/>
      <c r="F433" s="344">
        <v>1000</v>
      </c>
      <c r="G433" s="180"/>
      <c r="H433" s="180">
        <f t="shared" si="8"/>
        <v>50700</v>
      </c>
      <c r="I433" s="343" t="s">
        <v>315</v>
      </c>
      <c r="J433" s="344" t="s">
        <v>4288</v>
      </c>
      <c r="K433" s="183"/>
    </row>
    <row r="434" spans="1:11" ht="15.6">
      <c r="A434" s="402">
        <v>45980</v>
      </c>
      <c r="B434" s="343" t="s">
        <v>4966</v>
      </c>
      <c r="C434" s="343" t="s">
        <v>363</v>
      </c>
      <c r="D434" s="343" t="s">
        <v>119</v>
      </c>
      <c r="E434" s="344"/>
      <c r="F434" s="344">
        <v>2000</v>
      </c>
      <c r="G434" s="180"/>
      <c r="H434" s="180">
        <f t="shared" si="8"/>
        <v>48700</v>
      </c>
      <c r="I434" s="343" t="s">
        <v>315</v>
      </c>
      <c r="J434" s="344" t="s">
        <v>4291</v>
      </c>
      <c r="K434" s="183"/>
    </row>
    <row r="435" spans="1:11" ht="15.6">
      <c r="A435" s="402">
        <v>45980</v>
      </c>
      <c r="B435" s="343" t="s">
        <v>4876</v>
      </c>
      <c r="C435" s="343" t="s">
        <v>172</v>
      </c>
      <c r="D435" s="343" t="s">
        <v>119</v>
      </c>
      <c r="E435" s="344"/>
      <c r="F435" s="344">
        <v>1500</v>
      </c>
      <c r="G435" s="180"/>
      <c r="H435" s="180">
        <f t="shared" si="8"/>
        <v>47200</v>
      </c>
      <c r="I435" s="343" t="s">
        <v>315</v>
      </c>
      <c r="J435" s="344" t="s">
        <v>4288</v>
      </c>
      <c r="K435" s="183"/>
    </row>
    <row r="436" spans="1:11" ht="15.6">
      <c r="A436" s="402">
        <v>45980</v>
      </c>
      <c r="B436" s="343" t="s">
        <v>4917</v>
      </c>
      <c r="C436" s="343" t="s">
        <v>172</v>
      </c>
      <c r="D436" s="343" t="s">
        <v>119</v>
      </c>
      <c r="E436" s="344"/>
      <c r="F436" s="344">
        <v>1500</v>
      </c>
      <c r="G436" s="180"/>
      <c r="H436" s="180">
        <f t="shared" si="8"/>
        <v>45700</v>
      </c>
      <c r="I436" s="343" t="s">
        <v>315</v>
      </c>
      <c r="J436" s="344" t="s">
        <v>4288</v>
      </c>
      <c r="K436" s="183"/>
    </row>
    <row r="437" spans="1:11" ht="15.6">
      <c r="A437" s="402">
        <v>45980</v>
      </c>
      <c r="B437" s="343" t="s">
        <v>4876</v>
      </c>
      <c r="C437" s="343" t="s">
        <v>172</v>
      </c>
      <c r="D437" s="343" t="s">
        <v>119</v>
      </c>
      <c r="E437" s="344"/>
      <c r="F437" s="344">
        <v>1000</v>
      </c>
      <c r="G437" s="180"/>
      <c r="H437" s="180">
        <f t="shared" si="8"/>
        <v>44700</v>
      </c>
      <c r="I437" s="343" t="s">
        <v>315</v>
      </c>
      <c r="J437" s="344" t="s">
        <v>4288</v>
      </c>
      <c r="K437" s="183"/>
    </row>
    <row r="438" spans="1:11" ht="15.6">
      <c r="A438" s="402">
        <v>45980</v>
      </c>
      <c r="B438" s="343" t="s">
        <v>4876</v>
      </c>
      <c r="C438" s="343" t="s">
        <v>172</v>
      </c>
      <c r="D438" s="343" t="s">
        <v>119</v>
      </c>
      <c r="E438" s="344"/>
      <c r="F438" s="344">
        <v>1000</v>
      </c>
      <c r="G438" s="180"/>
      <c r="H438" s="180">
        <f t="shared" si="8"/>
        <v>43700</v>
      </c>
      <c r="I438" s="343" t="s">
        <v>315</v>
      </c>
      <c r="J438" s="344" t="s">
        <v>4288</v>
      </c>
      <c r="K438" s="183"/>
    </row>
    <row r="439" spans="1:11" ht="15.6">
      <c r="A439" s="402">
        <v>45980</v>
      </c>
      <c r="B439" s="343" t="s">
        <v>2511</v>
      </c>
      <c r="C439" s="343" t="s">
        <v>122</v>
      </c>
      <c r="D439" s="343" t="s">
        <v>119</v>
      </c>
      <c r="E439" s="344">
        <v>97000</v>
      </c>
      <c r="F439" s="344"/>
      <c r="G439" s="180"/>
      <c r="H439" s="180">
        <f t="shared" si="8"/>
        <v>140700</v>
      </c>
      <c r="I439" s="343" t="s">
        <v>315</v>
      </c>
      <c r="J439" s="344" t="s">
        <v>4298</v>
      </c>
      <c r="K439" s="183"/>
    </row>
    <row r="440" spans="1:11" ht="15.6">
      <c r="A440" s="402">
        <v>45980</v>
      </c>
      <c r="B440" s="343" t="s">
        <v>4917</v>
      </c>
      <c r="C440" s="343" t="s">
        <v>172</v>
      </c>
      <c r="D440" s="343" t="s">
        <v>119</v>
      </c>
      <c r="E440" s="344"/>
      <c r="F440" s="344">
        <v>1000</v>
      </c>
      <c r="G440" s="180"/>
      <c r="H440" s="180">
        <f t="shared" si="8"/>
        <v>139700</v>
      </c>
      <c r="I440" s="343" t="s">
        <v>315</v>
      </c>
      <c r="J440" s="344" t="s">
        <v>4288</v>
      </c>
      <c r="K440" s="183"/>
    </row>
    <row r="441" spans="1:11" ht="15.6">
      <c r="A441" s="402">
        <v>45980</v>
      </c>
      <c r="B441" s="343" t="s">
        <v>4917</v>
      </c>
      <c r="C441" s="343" t="s">
        <v>172</v>
      </c>
      <c r="D441" s="343" t="s">
        <v>119</v>
      </c>
      <c r="E441" s="344"/>
      <c r="F441" s="344">
        <v>1500</v>
      </c>
      <c r="G441" s="180"/>
      <c r="H441" s="180">
        <f t="shared" si="8"/>
        <v>138200</v>
      </c>
      <c r="I441" s="343" t="s">
        <v>315</v>
      </c>
      <c r="J441" s="344" t="s">
        <v>4288</v>
      </c>
      <c r="K441" s="183"/>
    </row>
    <row r="442" spans="1:11" ht="15.6">
      <c r="A442" s="402">
        <v>45980</v>
      </c>
      <c r="B442" s="343" t="s">
        <v>4285</v>
      </c>
      <c r="C442" s="343" t="s">
        <v>363</v>
      </c>
      <c r="D442" s="343" t="s">
        <v>119</v>
      </c>
      <c r="E442" s="344"/>
      <c r="F442" s="492">
        <v>9000</v>
      </c>
      <c r="G442" s="180"/>
      <c r="H442" s="180">
        <f t="shared" si="8"/>
        <v>129200</v>
      </c>
      <c r="I442" s="343" t="s">
        <v>315</v>
      </c>
      <c r="J442" s="344" t="s">
        <v>4291</v>
      </c>
      <c r="K442" s="183"/>
    </row>
    <row r="443" spans="1:11" ht="15.6">
      <c r="A443" s="402">
        <v>45980</v>
      </c>
      <c r="B443" s="343" t="s">
        <v>4917</v>
      </c>
      <c r="C443" s="343" t="s">
        <v>172</v>
      </c>
      <c r="D443" s="343" t="s">
        <v>119</v>
      </c>
      <c r="E443" s="344"/>
      <c r="F443" s="344">
        <v>1000</v>
      </c>
      <c r="G443" s="180"/>
      <c r="H443" s="180">
        <f t="shared" si="8"/>
        <v>128200</v>
      </c>
      <c r="I443" s="343" t="s">
        <v>315</v>
      </c>
      <c r="J443" s="344" t="s">
        <v>4288</v>
      </c>
      <c r="K443" s="183"/>
    </row>
    <row r="444" spans="1:11" ht="15.6">
      <c r="A444" s="402">
        <v>45980</v>
      </c>
      <c r="B444" s="343" t="s">
        <v>4876</v>
      </c>
      <c r="C444" s="343" t="s">
        <v>172</v>
      </c>
      <c r="D444" s="343" t="s">
        <v>119</v>
      </c>
      <c r="E444" s="344"/>
      <c r="F444" s="344">
        <v>1000</v>
      </c>
      <c r="G444" s="180"/>
      <c r="H444" s="180">
        <f t="shared" si="8"/>
        <v>127200</v>
      </c>
      <c r="I444" s="343" t="s">
        <v>315</v>
      </c>
      <c r="J444" s="344" t="s">
        <v>4288</v>
      </c>
      <c r="K444" s="183"/>
    </row>
    <row r="445" spans="1:11" ht="15.6">
      <c r="A445" s="402">
        <v>45980</v>
      </c>
      <c r="B445" s="343" t="s">
        <v>4876</v>
      </c>
      <c r="C445" s="343" t="s">
        <v>172</v>
      </c>
      <c r="D445" s="343" t="s">
        <v>119</v>
      </c>
      <c r="E445" s="344"/>
      <c r="F445" s="344">
        <v>1000</v>
      </c>
      <c r="G445" s="180"/>
      <c r="H445" s="180">
        <f t="shared" si="8"/>
        <v>126200</v>
      </c>
      <c r="I445" s="343" t="s">
        <v>315</v>
      </c>
      <c r="J445" s="344" t="s">
        <v>4288</v>
      </c>
      <c r="K445" s="183"/>
    </row>
    <row r="446" spans="1:11" ht="15.6">
      <c r="A446" s="402">
        <v>45982</v>
      </c>
      <c r="B446" s="343" t="s">
        <v>4876</v>
      </c>
      <c r="C446" s="343" t="s">
        <v>172</v>
      </c>
      <c r="D446" s="343" t="s">
        <v>119</v>
      </c>
      <c r="E446" s="344"/>
      <c r="F446" s="344">
        <v>1000</v>
      </c>
      <c r="G446" s="180"/>
      <c r="H446" s="180">
        <f t="shared" si="8"/>
        <v>125200</v>
      </c>
      <c r="I446" s="343" t="s">
        <v>315</v>
      </c>
      <c r="J446" s="344" t="s">
        <v>4288</v>
      </c>
      <c r="K446" s="183"/>
    </row>
    <row r="447" spans="1:11" ht="15.6">
      <c r="A447" s="402">
        <v>45982</v>
      </c>
      <c r="B447" s="343" t="s">
        <v>2511</v>
      </c>
      <c r="C447" s="343" t="s">
        <v>122</v>
      </c>
      <c r="D447" s="343" t="s">
        <v>119</v>
      </c>
      <c r="E447" s="344">
        <v>58000</v>
      </c>
      <c r="F447" s="344"/>
      <c r="G447" s="180"/>
      <c r="H447" s="180">
        <f t="shared" si="8"/>
        <v>183200</v>
      </c>
      <c r="I447" s="343" t="s">
        <v>315</v>
      </c>
      <c r="J447" s="344" t="s">
        <v>4299</v>
      </c>
      <c r="K447" s="183"/>
    </row>
    <row r="448" spans="1:11" ht="15.6">
      <c r="A448" s="402">
        <v>45982</v>
      </c>
      <c r="B448" s="343" t="s">
        <v>4876</v>
      </c>
      <c r="C448" s="343" t="s">
        <v>172</v>
      </c>
      <c r="D448" s="343" t="s">
        <v>119</v>
      </c>
      <c r="E448" s="344"/>
      <c r="F448" s="344">
        <v>1000</v>
      </c>
      <c r="G448" s="180"/>
      <c r="H448" s="180">
        <f t="shared" si="8"/>
        <v>182200</v>
      </c>
      <c r="I448" s="343" t="s">
        <v>315</v>
      </c>
      <c r="J448" s="344" t="s">
        <v>4288</v>
      </c>
      <c r="K448" s="183"/>
    </row>
    <row r="449" spans="1:11" ht="15.6">
      <c r="A449" s="402">
        <v>45984</v>
      </c>
      <c r="B449" s="343" t="s">
        <v>4876</v>
      </c>
      <c r="C449" s="343" t="s">
        <v>172</v>
      </c>
      <c r="D449" s="343" t="s">
        <v>119</v>
      </c>
      <c r="E449" s="344"/>
      <c r="F449" s="344">
        <v>1000</v>
      </c>
      <c r="G449" s="180"/>
      <c r="H449" s="180">
        <f t="shared" si="8"/>
        <v>181200</v>
      </c>
      <c r="I449" s="343" t="s">
        <v>315</v>
      </c>
      <c r="J449" s="344" t="s">
        <v>4288</v>
      </c>
      <c r="K449" s="183"/>
    </row>
    <row r="450" spans="1:11" ht="15.6">
      <c r="A450" s="402">
        <v>45984</v>
      </c>
      <c r="B450" s="343" t="s">
        <v>4917</v>
      </c>
      <c r="C450" s="343" t="s">
        <v>172</v>
      </c>
      <c r="D450" s="343" t="s">
        <v>119</v>
      </c>
      <c r="E450" s="344"/>
      <c r="F450" s="344">
        <v>1000</v>
      </c>
      <c r="G450" s="180"/>
      <c r="H450" s="180">
        <f t="shared" si="8"/>
        <v>180200</v>
      </c>
      <c r="I450" s="343" t="s">
        <v>315</v>
      </c>
      <c r="J450" s="344" t="s">
        <v>4288</v>
      </c>
      <c r="K450" s="183"/>
    </row>
    <row r="451" spans="1:11" ht="15.6">
      <c r="A451" s="402">
        <v>45985</v>
      </c>
      <c r="B451" s="343" t="s">
        <v>4760</v>
      </c>
      <c r="C451" s="343" t="s">
        <v>175</v>
      </c>
      <c r="D451" s="343" t="s">
        <v>119</v>
      </c>
      <c r="E451" s="344"/>
      <c r="F451" s="492">
        <v>150000</v>
      </c>
      <c r="G451" s="180"/>
      <c r="H451" s="180">
        <f t="shared" si="8"/>
        <v>30200</v>
      </c>
      <c r="I451" s="343" t="s">
        <v>315</v>
      </c>
      <c r="J451" s="344" t="s">
        <v>4300</v>
      </c>
      <c r="K451" s="183"/>
    </row>
    <row r="452" spans="1:11" ht="15.6">
      <c r="A452" s="402">
        <v>45985</v>
      </c>
      <c r="B452" s="343" t="s">
        <v>4876</v>
      </c>
      <c r="C452" s="343" t="s">
        <v>172</v>
      </c>
      <c r="D452" s="343" t="s">
        <v>119</v>
      </c>
      <c r="E452" s="344"/>
      <c r="F452" s="344">
        <v>1000</v>
      </c>
      <c r="G452" s="180"/>
      <c r="H452" s="180">
        <f t="shared" si="8"/>
        <v>29200</v>
      </c>
      <c r="I452" s="343" t="s">
        <v>315</v>
      </c>
      <c r="J452" s="344" t="s">
        <v>4288</v>
      </c>
      <c r="K452" s="183"/>
    </row>
    <row r="453" spans="1:11" ht="15.6">
      <c r="A453" s="402">
        <v>45985</v>
      </c>
      <c r="B453" s="343" t="s">
        <v>4749</v>
      </c>
      <c r="C453" s="343" t="s">
        <v>172</v>
      </c>
      <c r="D453" s="343" t="s">
        <v>119</v>
      </c>
      <c r="E453" s="344"/>
      <c r="F453" s="492">
        <v>9000</v>
      </c>
      <c r="G453" s="180"/>
      <c r="H453" s="180">
        <f t="shared" si="8"/>
        <v>20200</v>
      </c>
      <c r="I453" s="343" t="s">
        <v>315</v>
      </c>
      <c r="J453" s="344" t="s">
        <v>4301</v>
      </c>
      <c r="K453" s="183"/>
    </row>
    <row r="454" spans="1:11" ht="15.6">
      <c r="A454" s="402">
        <v>45985</v>
      </c>
      <c r="B454" s="343" t="s">
        <v>4876</v>
      </c>
      <c r="C454" s="343" t="s">
        <v>172</v>
      </c>
      <c r="D454" s="343" t="s">
        <v>119</v>
      </c>
      <c r="E454" s="344"/>
      <c r="F454" s="344">
        <v>2500</v>
      </c>
      <c r="G454" s="180"/>
      <c r="H454" s="180">
        <f t="shared" si="8"/>
        <v>17700</v>
      </c>
      <c r="I454" s="343" t="s">
        <v>315</v>
      </c>
      <c r="J454" s="344" t="s">
        <v>4288</v>
      </c>
      <c r="K454" s="183"/>
    </row>
    <row r="455" spans="1:11" ht="15.6">
      <c r="A455" s="402">
        <v>45988</v>
      </c>
      <c r="B455" s="343" t="s">
        <v>2511</v>
      </c>
      <c r="C455" s="343" t="s">
        <v>122</v>
      </c>
      <c r="D455" s="343" t="s">
        <v>119</v>
      </c>
      <c r="E455" s="344">
        <v>30000</v>
      </c>
      <c r="F455" s="344"/>
      <c r="G455" s="180"/>
      <c r="H455" s="180">
        <f t="shared" si="8"/>
        <v>47700</v>
      </c>
      <c r="I455" s="343" t="s">
        <v>315</v>
      </c>
      <c r="J455" s="344" t="s">
        <v>4302</v>
      </c>
      <c r="K455" s="183"/>
    </row>
    <row r="456" spans="1:11" ht="15.6">
      <c r="A456" s="402">
        <v>45988</v>
      </c>
      <c r="B456" s="343" t="s">
        <v>4876</v>
      </c>
      <c r="C456" s="343" t="s">
        <v>172</v>
      </c>
      <c r="D456" s="343" t="s">
        <v>119</v>
      </c>
      <c r="E456" s="344"/>
      <c r="F456" s="344">
        <v>1000</v>
      </c>
      <c r="G456" s="180"/>
      <c r="H456" s="180">
        <f t="shared" ref="H456:H476" si="9">H455+E456-F456</f>
        <v>46700</v>
      </c>
      <c r="I456" s="343" t="s">
        <v>315</v>
      </c>
      <c r="J456" s="344" t="s">
        <v>4288</v>
      </c>
      <c r="K456" s="183"/>
    </row>
    <row r="457" spans="1:11" ht="15.6">
      <c r="A457" s="402">
        <v>45988</v>
      </c>
      <c r="B457" s="343" t="s">
        <v>4876</v>
      </c>
      <c r="C457" s="343" t="s">
        <v>172</v>
      </c>
      <c r="D457" s="343" t="s">
        <v>119</v>
      </c>
      <c r="E457" s="344"/>
      <c r="F457" s="344">
        <v>2000</v>
      </c>
      <c r="G457" s="180"/>
      <c r="H457" s="180">
        <f t="shared" si="9"/>
        <v>44700</v>
      </c>
      <c r="I457" s="343" t="s">
        <v>315</v>
      </c>
      <c r="J457" s="344" t="s">
        <v>4288</v>
      </c>
      <c r="K457" s="183"/>
    </row>
    <row r="458" spans="1:11" ht="15.6">
      <c r="A458" s="402">
        <v>45989</v>
      </c>
      <c r="B458" s="343" t="s">
        <v>4748</v>
      </c>
      <c r="C458" s="343" t="s">
        <v>175</v>
      </c>
      <c r="D458" s="343" t="s">
        <v>119</v>
      </c>
      <c r="E458" s="344"/>
      <c r="F458" s="344">
        <v>40000</v>
      </c>
      <c r="G458" s="180"/>
      <c r="H458" s="180">
        <f t="shared" si="9"/>
        <v>4700</v>
      </c>
      <c r="I458" s="343" t="s">
        <v>315</v>
      </c>
      <c r="J458" s="344" t="s">
        <v>4303</v>
      </c>
      <c r="K458" s="183"/>
    </row>
    <row r="459" spans="1:11" ht="15.6">
      <c r="A459" s="402">
        <v>45989</v>
      </c>
      <c r="B459" s="343" t="s">
        <v>4876</v>
      </c>
      <c r="C459" s="343" t="s">
        <v>172</v>
      </c>
      <c r="D459" s="343" t="s">
        <v>119</v>
      </c>
      <c r="E459" s="344"/>
      <c r="F459" s="344">
        <v>2000</v>
      </c>
      <c r="G459" s="180"/>
      <c r="H459" s="180">
        <f t="shared" si="9"/>
        <v>2700</v>
      </c>
      <c r="I459" s="343" t="s">
        <v>315</v>
      </c>
      <c r="J459" s="344" t="s">
        <v>4288</v>
      </c>
      <c r="K459" s="183"/>
    </row>
    <row r="460" spans="1:11" ht="15.6">
      <c r="A460" s="402">
        <v>45989</v>
      </c>
      <c r="B460" s="343" t="s">
        <v>4749</v>
      </c>
      <c r="C460" s="343" t="s">
        <v>172</v>
      </c>
      <c r="D460" s="343" t="s">
        <v>119</v>
      </c>
      <c r="E460" s="344"/>
      <c r="F460" s="344">
        <v>5000</v>
      </c>
      <c r="G460" s="180"/>
      <c r="H460" s="180">
        <f t="shared" si="9"/>
        <v>-2300</v>
      </c>
      <c r="I460" s="343" t="s">
        <v>315</v>
      </c>
      <c r="J460" s="344" t="s">
        <v>4304</v>
      </c>
      <c r="K460" s="183"/>
    </row>
    <row r="461" spans="1:11" ht="15.6">
      <c r="A461" s="402">
        <v>45989</v>
      </c>
      <c r="B461" s="343" t="s">
        <v>4888</v>
      </c>
      <c r="C461" s="343" t="s">
        <v>172</v>
      </c>
      <c r="D461" s="343" t="s">
        <v>119</v>
      </c>
      <c r="E461" s="344"/>
      <c r="F461" s="344">
        <v>500</v>
      </c>
      <c r="G461" s="180"/>
      <c r="H461" s="180">
        <f t="shared" si="9"/>
        <v>-2800</v>
      </c>
      <c r="I461" s="343" t="s">
        <v>315</v>
      </c>
      <c r="J461" s="344" t="s">
        <v>4288</v>
      </c>
      <c r="K461" s="183"/>
    </row>
    <row r="462" spans="1:11" ht="15.6">
      <c r="A462" s="402">
        <v>45989</v>
      </c>
      <c r="B462" s="343" t="s">
        <v>4888</v>
      </c>
      <c r="C462" s="343" t="s">
        <v>172</v>
      </c>
      <c r="D462" s="343" t="s">
        <v>119</v>
      </c>
      <c r="E462" s="344"/>
      <c r="F462" s="344">
        <v>500</v>
      </c>
      <c r="G462" s="180"/>
      <c r="H462" s="180">
        <f t="shared" si="9"/>
        <v>-3300</v>
      </c>
      <c r="I462" s="343" t="s">
        <v>315</v>
      </c>
      <c r="J462" s="344" t="s">
        <v>4288</v>
      </c>
      <c r="K462" s="183"/>
    </row>
    <row r="463" spans="1:11" ht="15.6">
      <c r="A463" s="402">
        <v>45989</v>
      </c>
      <c r="B463" s="343" t="s">
        <v>4888</v>
      </c>
      <c r="C463" s="343" t="s">
        <v>172</v>
      </c>
      <c r="D463" s="343" t="s">
        <v>119</v>
      </c>
      <c r="E463" s="344"/>
      <c r="F463" s="344">
        <v>500</v>
      </c>
      <c r="G463" s="180"/>
      <c r="H463" s="180">
        <f t="shared" si="9"/>
        <v>-3800</v>
      </c>
      <c r="I463" s="343" t="s">
        <v>315</v>
      </c>
      <c r="J463" s="344" t="s">
        <v>4288</v>
      </c>
      <c r="K463" s="183"/>
    </row>
    <row r="464" spans="1:11" ht="15.6">
      <c r="A464" s="402">
        <v>45990</v>
      </c>
      <c r="B464" s="343" t="s">
        <v>4888</v>
      </c>
      <c r="C464" s="343" t="s">
        <v>172</v>
      </c>
      <c r="D464" s="343" t="s">
        <v>119</v>
      </c>
      <c r="E464" s="344"/>
      <c r="F464" s="344">
        <v>500</v>
      </c>
      <c r="G464" s="180"/>
      <c r="H464" s="180">
        <f t="shared" si="9"/>
        <v>-4300</v>
      </c>
      <c r="I464" s="343" t="s">
        <v>315</v>
      </c>
      <c r="J464" s="344" t="s">
        <v>4288</v>
      </c>
      <c r="K464" s="183"/>
    </row>
    <row r="465" spans="1:11" ht="15.6">
      <c r="A465" s="402">
        <v>45990</v>
      </c>
      <c r="B465" s="343" t="s">
        <v>4990</v>
      </c>
      <c r="C465" s="343" t="s">
        <v>363</v>
      </c>
      <c r="D465" s="343" t="s">
        <v>119</v>
      </c>
      <c r="E465" s="344"/>
      <c r="F465" s="344">
        <v>2000</v>
      </c>
      <c r="G465" s="180"/>
      <c r="H465" s="180">
        <f t="shared" si="9"/>
        <v>-6300</v>
      </c>
      <c r="I465" s="343" t="s">
        <v>315</v>
      </c>
      <c r="J465" s="344" t="s">
        <v>4291</v>
      </c>
      <c r="K465" s="183"/>
    </row>
    <row r="466" spans="1:11" ht="15.6">
      <c r="A466" s="402">
        <v>45990</v>
      </c>
      <c r="B466" s="343" t="s">
        <v>4888</v>
      </c>
      <c r="C466" s="343" t="s">
        <v>172</v>
      </c>
      <c r="D466" s="343" t="s">
        <v>119</v>
      </c>
      <c r="E466" s="344"/>
      <c r="F466" s="344">
        <v>500</v>
      </c>
      <c r="G466" s="180"/>
      <c r="H466" s="180">
        <f t="shared" si="9"/>
        <v>-6800</v>
      </c>
      <c r="I466" s="343" t="s">
        <v>315</v>
      </c>
      <c r="J466" s="344" t="s">
        <v>4288</v>
      </c>
      <c r="K466" s="183"/>
    </row>
    <row r="467" spans="1:11" ht="15.6">
      <c r="A467" s="402">
        <v>45990</v>
      </c>
      <c r="B467" s="343" t="s">
        <v>4888</v>
      </c>
      <c r="C467" s="343" t="s">
        <v>172</v>
      </c>
      <c r="D467" s="343" t="s">
        <v>119</v>
      </c>
      <c r="E467" s="344"/>
      <c r="F467" s="344">
        <v>500</v>
      </c>
      <c r="G467" s="180"/>
      <c r="H467" s="180">
        <f t="shared" si="9"/>
        <v>-7300</v>
      </c>
      <c r="I467" s="343" t="s">
        <v>315</v>
      </c>
      <c r="J467" s="344" t="s">
        <v>4288</v>
      </c>
      <c r="K467" s="183"/>
    </row>
    <row r="468" spans="1:11" ht="15.6">
      <c r="A468" s="402">
        <v>45990</v>
      </c>
      <c r="B468" s="343" t="s">
        <v>4888</v>
      </c>
      <c r="C468" s="343" t="s">
        <v>172</v>
      </c>
      <c r="D468" s="343" t="s">
        <v>119</v>
      </c>
      <c r="E468" s="344"/>
      <c r="F468" s="344">
        <v>500</v>
      </c>
      <c r="G468" s="180"/>
      <c r="H468" s="180">
        <f t="shared" si="9"/>
        <v>-7800</v>
      </c>
      <c r="I468" s="343" t="s">
        <v>315</v>
      </c>
      <c r="J468" s="344" t="s">
        <v>4288</v>
      </c>
      <c r="K468" s="183"/>
    </row>
    <row r="469" spans="1:11" ht="15.6">
      <c r="A469" s="402">
        <v>45991</v>
      </c>
      <c r="B469" s="343" t="s">
        <v>4762</v>
      </c>
      <c r="C469" s="343" t="s">
        <v>175</v>
      </c>
      <c r="D469" s="343" t="s">
        <v>119</v>
      </c>
      <c r="E469" s="344"/>
      <c r="F469" s="344">
        <v>30000</v>
      </c>
      <c r="G469" s="180"/>
      <c r="H469" s="180">
        <f t="shared" si="9"/>
        <v>-37800</v>
      </c>
      <c r="I469" s="343" t="s">
        <v>315</v>
      </c>
      <c r="J469" s="344" t="s">
        <v>4305</v>
      </c>
      <c r="K469" s="183"/>
    </row>
    <row r="470" spans="1:11" ht="15.6">
      <c r="A470" s="402">
        <v>45991</v>
      </c>
      <c r="B470" s="343" t="s">
        <v>4896</v>
      </c>
      <c r="C470" s="343" t="s">
        <v>172</v>
      </c>
      <c r="D470" s="343" t="s">
        <v>119</v>
      </c>
      <c r="E470" s="344"/>
      <c r="F470" s="344">
        <v>500</v>
      </c>
      <c r="G470" s="180"/>
      <c r="H470" s="180">
        <f t="shared" si="9"/>
        <v>-38300</v>
      </c>
      <c r="I470" s="343" t="s">
        <v>315</v>
      </c>
      <c r="J470" s="344" t="s">
        <v>4288</v>
      </c>
      <c r="K470" s="183"/>
    </row>
    <row r="471" spans="1:11" ht="15.6">
      <c r="A471" s="402">
        <v>45991</v>
      </c>
      <c r="B471" s="343" t="s">
        <v>4749</v>
      </c>
      <c r="C471" s="343" t="s">
        <v>172</v>
      </c>
      <c r="D471" s="343" t="s">
        <v>119</v>
      </c>
      <c r="E471" s="344"/>
      <c r="F471" s="344">
        <v>3000</v>
      </c>
      <c r="G471" s="180"/>
      <c r="H471" s="180">
        <f t="shared" si="9"/>
        <v>-41300</v>
      </c>
      <c r="I471" s="343" t="s">
        <v>315</v>
      </c>
      <c r="J471" s="344" t="s">
        <v>4306</v>
      </c>
      <c r="K471" s="183"/>
    </row>
    <row r="472" spans="1:11" ht="15.6">
      <c r="A472" s="402">
        <v>45991</v>
      </c>
      <c r="B472" s="343" t="s">
        <v>4888</v>
      </c>
      <c r="C472" s="343" t="s">
        <v>172</v>
      </c>
      <c r="D472" s="343" t="s">
        <v>119</v>
      </c>
      <c r="E472" s="344"/>
      <c r="F472" s="344">
        <v>500</v>
      </c>
      <c r="G472" s="180"/>
      <c r="H472" s="180">
        <f t="shared" si="9"/>
        <v>-41800</v>
      </c>
      <c r="I472" s="343" t="s">
        <v>315</v>
      </c>
      <c r="J472" s="344" t="s">
        <v>4288</v>
      </c>
      <c r="K472" s="183"/>
    </row>
    <row r="473" spans="1:11" ht="15.6">
      <c r="A473" s="402">
        <v>45991</v>
      </c>
      <c r="B473" s="343" t="s">
        <v>4888</v>
      </c>
      <c r="C473" s="343" t="s">
        <v>172</v>
      </c>
      <c r="D473" s="343" t="s">
        <v>119</v>
      </c>
      <c r="E473" s="344"/>
      <c r="F473" s="344">
        <v>500</v>
      </c>
      <c r="G473" s="180"/>
      <c r="H473" s="180">
        <f t="shared" si="9"/>
        <v>-42300</v>
      </c>
      <c r="I473" s="343" t="s">
        <v>315</v>
      </c>
      <c r="J473" s="344" t="s">
        <v>4288</v>
      </c>
      <c r="K473" s="183"/>
    </row>
    <row r="474" spans="1:11" ht="15.6">
      <c r="A474" s="402">
        <v>45991</v>
      </c>
      <c r="B474" s="343" t="s">
        <v>4766</v>
      </c>
      <c r="C474" s="343" t="s">
        <v>363</v>
      </c>
      <c r="D474" s="343" t="s">
        <v>119</v>
      </c>
      <c r="E474" s="344"/>
      <c r="F474" s="344">
        <v>1700</v>
      </c>
      <c r="G474" s="180"/>
      <c r="H474" s="180">
        <f t="shared" si="9"/>
        <v>-44000</v>
      </c>
      <c r="I474" s="343" t="s">
        <v>315</v>
      </c>
      <c r="J474" s="344" t="s">
        <v>4291</v>
      </c>
      <c r="K474" s="183"/>
    </row>
    <row r="475" spans="1:11" ht="15.6">
      <c r="A475" s="402">
        <v>45991</v>
      </c>
      <c r="B475" s="343" t="s">
        <v>4888</v>
      </c>
      <c r="C475" s="343" t="s">
        <v>172</v>
      </c>
      <c r="D475" s="343" t="s">
        <v>119</v>
      </c>
      <c r="E475" s="344"/>
      <c r="F475" s="344">
        <v>500</v>
      </c>
      <c r="G475" s="180"/>
      <c r="H475" s="180">
        <f t="shared" si="9"/>
        <v>-44500</v>
      </c>
      <c r="I475" s="343" t="s">
        <v>315</v>
      </c>
      <c r="J475" s="344" t="s">
        <v>4288</v>
      </c>
      <c r="K475" s="183"/>
    </row>
    <row r="476" spans="1:11" ht="15.6">
      <c r="A476" s="402">
        <v>45991</v>
      </c>
      <c r="B476" s="343" t="s">
        <v>4888</v>
      </c>
      <c r="C476" s="343" t="s">
        <v>172</v>
      </c>
      <c r="D476" s="343" t="s">
        <v>119</v>
      </c>
      <c r="E476" s="344"/>
      <c r="F476" s="344">
        <v>500</v>
      </c>
      <c r="G476" s="180"/>
      <c r="H476" s="180">
        <f t="shared" si="9"/>
        <v>-45000</v>
      </c>
      <c r="I476" s="343" t="s">
        <v>315</v>
      </c>
      <c r="J476" s="344" t="s">
        <v>4288</v>
      </c>
      <c r="K476" s="183"/>
    </row>
    <row r="477" spans="1:11" ht="15.6">
      <c r="A477" s="175"/>
      <c r="B477" s="183"/>
      <c r="C477" s="183"/>
      <c r="D477" s="183"/>
      <c r="E477" s="195">
        <f>SUM(E391:E476)</f>
        <v>425000</v>
      </c>
      <c r="F477" s="195">
        <f>SUM(F391:F476)</f>
        <v>477200</v>
      </c>
      <c r="G477" s="195"/>
      <c r="H477" s="203">
        <f>+E477-F477+H390</f>
        <v>-45000</v>
      </c>
      <c r="I477" s="183"/>
      <c r="J477" s="183"/>
      <c r="K477" s="183"/>
    </row>
    <row r="478" spans="1:11" ht="15.6">
      <c r="A478" s="175"/>
      <c r="B478" s="183"/>
      <c r="C478" s="183"/>
      <c r="D478" s="183"/>
      <c r="E478" s="195"/>
      <c r="F478" s="195"/>
      <c r="G478" s="195"/>
      <c r="H478" s="203"/>
      <c r="I478" s="183"/>
      <c r="J478" s="183"/>
      <c r="K478" s="183"/>
    </row>
    <row r="479" spans="1:11" ht="15.6">
      <c r="A479" s="185"/>
      <c r="B479" s="183"/>
      <c r="C479" s="186" t="s">
        <v>455</v>
      </c>
      <c r="D479" s="183"/>
      <c r="E479" s="187"/>
      <c r="F479" s="187"/>
      <c r="G479" s="187"/>
      <c r="H479" s="188"/>
      <c r="I479" s="183"/>
      <c r="J479" s="183"/>
      <c r="K479" s="183"/>
    </row>
    <row r="480" spans="1:11" ht="15.6">
      <c r="A480" s="185"/>
      <c r="B480" s="183"/>
      <c r="C480" s="183"/>
      <c r="D480" s="183"/>
      <c r="E480" s="187"/>
      <c r="F480" s="187"/>
      <c r="G480" s="187"/>
      <c r="H480" s="188"/>
      <c r="I480" s="183"/>
      <c r="J480" s="183"/>
      <c r="K480" s="183"/>
    </row>
    <row r="481" spans="1:11" ht="15.6">
      <c r="A481" s="189" t="s">
        <v>0</v>
      </c>
      <c r="B481" s="190" t="s">
        <v>443</v>
      </c>
      <c r="C481" s="190" t="s">
        <v>444</v>
      </c>
      <c r="D481" s="190" t="s">
        <v>445</v>
      </c>
      <c r="E481" s="191" t="s">
        <v>446</v>
      </c>
      <c r="F481" s="191" t="s">
        <v>447</v>
      </c>
      <c r="G481" s="191"/>
      <c r="H481" s="197" t="s">
        <v>30</v>
      </c>
      <c r="I481" s="190" t="s">
        <v>448</v>
      </c>
      <c r="J481" s="190" t="s">
        <v>449</v>
      </c>
      <c r="K481" s="193"/>
    </row>
    <row r="482" spans="1:11" ht="15.6">
      <c r="A482" s="144">
        <v>45962</v>
      </c>
      <c r="B482" s="177" t="s">
        <v>4161</v>
      </c>
      <c r="C482" s="177"/>
      <c r="D482" s="177"/>
      <c r="E482" s="180"/>
      <c r="F482" s="180"/>
      <c r="G482" s="180"/>
      <c r="H482" s="204">
        <v>3000</v>
      </c>
      <c r="I482" s="177" t="s">
        <v>321</v>
      </c>
      <c r="J482" s="177"/>
      <c r="K482" s="183"/>
    </row>
    <row r="483" spans="1:11" ht="15.6">
      <c r="A483" s="469">
        <v>45964</v>
      </c>
      <c r="B483" s="400" t="s">
        <v>4740</v>
      </c>
      <c r="C483" s="400" t="s">
        <v>150</v>
      </c>
      <c r="D483" s="400" t="s">
        <v>119</v>
      </c>
      <c r="E483" s="221">
        <v>10000</v>
      </c>
      <c r="F483" s="221"/>
      <c r="G483" s="180"/>
      <c r="H483" s="204">
        <f>H482+E483-F483</f>
        <v>13000</v>
      </c>
      <c r="I483" s="125" t="s">
        <v>321</v>
      </c>
      <c r="J483" s="125" t="s">
        <v>4312</v>
      </c>
      <c r="K483" s="183"/>
    </row>
    <row r="484" spans="1:11" ht="15.6">
      <c r="A484" s="469">
        <v>45964</v>
      </c>
      <c r="B484" s="400" t="s">
        <v>4740</v>
      </c>
      <c r="C484" s="400" t="s">
        <v>150</v>
      </c>
      <c r="D484" s="400" t="s">
        <v>119</v>
      </c>
      <c r="E484" s="221"/>
      <c r="F484" s="221">
        <v>10000</v>
      </c>
      <c r="G484" s="180"/>
      <c r="H484" s="204">
        <f t="shared" ref="H484:H547" si="10">H483+E484-F484</f>
        <v>3000</v>
      </c>
      <c r="I484" s="125" t="s">
        <v>321</v>
      </c>
      <c r="J484" s="125" t="s">
        <v>4312</v>
      </c>
      <c r="K484" s="183"/>
    </row>
    <row r="485" spans="1:11" ht="15.6">
      <c r="A485" s="322">
        <v>45967</v>
      </c>
      <c r="B485" s="219" t="s">
        <v>3528</v>
      </c>
      <c r="C485" s="219" t="s">
        <v>122</v>
      </c>
      <c r="D485" s="219" t="s">
        <v>119</v>
      </c>
      <c r="E485" s="242">
        <v>20000</v>
      </c>
      <c r="F485" s="242"/>
      <c r="G485" s="180"/>
      <c r="H485" s="204">
        <f t="shared" si="10"/>
        <v>23000</v>
      </c>
      <c r="I485" s="125" t="s">
        <v>321</v>
      </c>
      <c r="J485" s="219" t="s">
        <v>4313</v>
      </c>
      <c r="K485" s="183"/>
    </row>
    <row r="486" spans="1:11" ht="15.6">
      <c r="A486" s="322">
        <v>45967</v>
      </c>
      <c r="B486" s="219" t="s">
        <v>4907</v>
      </c>
      <c r="C486" s="219" t="s">
        <v>172</v>
      </c>
      <c r="D486" s="219" t="s">
        <v>119</v>
      </c>
      <c r="E486" s="242"/>
      <c r="F486" s="242">
        <v>1000</v>
      </c>
      <c r="G486" s="180"/>
      <c r="H486" s="204">
        <f t="shared" si="10"/>
        <v>22000</v>
      </c>
      <c r="I486" s="219" t="s">
        <v>321</v>
      </c>
      <c r="J486" s="219" t="s">
        <v>4314</v>
      </c>
      <c r="K486" s="183"/>
    </row>
    <row r="487" spans="1:11" ht="15.6">
      <c r="A487" s="322">
        <v>45967</v>
      </c>
      <c r="B487" s="219" t="s">
        <v>4907</v>
      </c>
      <c r="C487" s="219" t="s">
        <v>172</v>
      </c>
      <c r="D487" s="219" t="s">
        <v>119</v>
      </c>
      <c r="E487" s="242"/>
      <c r="F487" s="242">
        <v>1000</v>
      </c>
      <c r="G487" s="180"/>
      <c r="H487" s="204">
        <f t="shared" si="10"/>
        <v>21000</v>
      </c>
      <c r="I487" s="219" t="s">
        <v>321</v>
      </c>
      <c r="J487" s="219" t="s">
        <v>4314</v>
      </c>
      <c r="K487" s="183"/>
    </row>
    <row r="488" spans="1:11" ht="15.6">
      <c r="A488" s="322">
        <v>45967</v>
      </c>
      <c r="B488" s="219" t="s">
        <v>4912</v>
      </c>
      <c r="C488" s="219" t="s">
        <v>172</v>
      </c>
      <c r="D488" s="219" t="s">
        <v>119</v>
      </c>
      <c r="E488" s="242"/>
      <c r="F488" s="242">
        <v>1000</v>
      </c>
      <c r="G488" s="180"/>
      <c r="H488" s="204">
        <f t="shared" si="10"/>
        <v>20000</v>
      </c>
      <c r="I488" s="219" t="s">
        <v>321</v>
      </c>
      <c r="J488" s="219" t="s">
        <v>4314</v>
      </c>
      <c r="K488" s="183"/>
    </row>
    <row r="489" spans="1:11" ht="15.6">
      <c r="A489" s="322">
        <v>45967</v>
      </c>
      <c r="B489" s="219" t="s">
        <v>4907</v>
      </c>
      <c r="C489" s="219" t="s">
        <v>172</v>
      </c>
      <c r="D489" s="219" t="s">
        <v>119</v>
      </c>
      <c r="E489" s="242"/>
      <c r="F489" s="242">
        <v>1000</v>
      </c>
      <c r="G489" s="180"/>
      <c r="H489" s="204">
        <f t="shared" si="10"/>
        <v>19000</v>
      </c>
      <c r="I489" s="219" t="s">
        <v>321</v>
      </c>
      <c r="J489" s="219" t="s">
        <v>4314</v>
      </c>
      <c r="K489" s="183"/>
    </row>
    <row r="490" spans="1:11" ht="15.6">
      <c r="A490" s="322">
        <v>45967</v>
      </c>
      <c r="B490" s="219" t="s">
        <v>4912</v>
      </c>
      <c r="C490" s="219" t="s">
        <v>172</v>
      </c>
      <c r="D490" s="219" t="s">
        <v>119</v>
      </c>
      <c r="E490" s="242"/>
      <c r="F490" s="242">
        <v>1000</v>
      </c>
      <c r="G490" s="180"/>
      <c r="H490" s="204">
        <f t="shared" si="10"/>
        <v>18000</v>
      </c>
      <c r="I490" s="219" t="s">
        <v>321</v>
      </c>
      <c r="J490" s="219" t="s">
        <v>4314</v>
      </c>
      <c r="K490" s="183"/>
    </row>
    <row r="491" spans="1:11" ht="15.6">
      <c r="A491" s="322">
        <v>45968</v>
      </c>
      <c r="B491" s="219" t="s">
        <v>4907</v>
      </c>
      <c r="C491" s="219" t="s">
        <v>172</v>
      </c>
      <c r="D491" s="219" t="s">
        <v>119</v>
      </c>
      <c r="E491" s="242"/>
      <c r="F491" s="242">
        <v>2000</v>
      </c>
      <c r="G491" s="180"/>
      <c r="H491" s="204">
        <f t="shared" si="10"/>
        <v>16000</v>
      </c>
      <c r="I491" s="219" t="s">
        <v>321</v>
      </c>
      <c r="J491" s="219" t="s">
        <v>4314</v>
      </c>
      <c r="K491" s="183"/>
    </row>
    <row r="492" spans="1:11" ht="15.6">
      <c r="A492" s="322">
        <v>45968</v>
      </c>
      <c r="B492" s="219" t="s">
        <v>4907</v>
      </c>
      <c r="C492" s="219" t="s">
        <v>172</v>
      </c>
      <c r="D492" s="219" t="s">
        <v>119</v>
      </c>
      <c r="E492" s="242"/>
      <c r="F492" s="242">
        <v>1000</v>
      </c>
      <c r="G492" s="180"/>
      <c r="H492" s="204">
        <f t="shared" si="10"/>
        <v>15000</v>
      </c>
      <c r="I492" s="219" t="s">
        <v>321</v>
      </c>
      <c r="J492" s="219" t="s">
        <v>4314</v>
      </c>
      <c r="K492" s="183"/>
    </row>
    <row r="493" spans="1:11" ht="15.6">
      <c r="A493" s="322">
        <v>45968</v>
      </c>
      <c r="B493" s="219" t="s">
        <v>4912</v>
      </c>
      <c r="C493" s="219" t="s">
        <v>172</v>
      </c>
      <c r="D493" s="219" t="s">
        <v>119</v>
      </c>
      <c r="E493" s="242"/>
      <c r="F493" s="242">
        <v>1000</v>
      </c>
      <c r="G493" s="180"/>
      <c r="H493" s="204">
        <f t="shared" si="10"/>
        <v>14000</v>
      </c>
      <c r="I493" s="219" t="s">
        <v>321</v>
      </c>
      <c r="J493" s="219" t="s">
        <v>4314</v>
      </c>
      <c r="K493" s="183"/>
    </row>
    <row r="494" spans="1:11" ht="15.6">
      <c r="A494" s="322">
        <v>45968</v>
      </c>
      <c r="B494" s="219" t="s">
        <v>4951</v>
      </c>
      <c r="C494" s="219" t="s">
        <v>172</v>
      </c>
      <c r="D494" s="219" t="s">
        <v>119</v>
      </c>
      <c r="E494" s="242"/>
      <c r="F494" s="242">
        <v>1500</v>
      </c>
      <c r="G494" s="180"/>
      <c r="H494" s="204">
        <f t="shared" si="10"/>
        <v>12500</v>
      </c>
      <c r="I494" s="219" t="s">
        <v>321</v>
      </c>
      <c r="J494" s="219" t="s">
        <v>4314</v>
      </c>
      <c r="K494" s="183"/>
    </row>
    <row r="495" spans="1:11" ht="15.6">
      <c r="A495" s="322">
        <v>45971</v>
      </c>
      <c r="B495" s="400" t="s">
        <v>4742</v>
      </c>
      <c r="C495" s="400" t="s">
        <v>150</v>
      </c>
      <c r="D495" s="400" t="s">
        <v>119</v>
      </c>
      <c r="E495" s="242">
        <v>10000</v>
      </c>
      <c r="F495" s="242"/>
      <c r="G495" s="180"/>
      <c r="H495" s="204">
        <f t="shared" si="10"/>
        <v>22500</v>
      </c>
      <c r="I495" s="219" t="s">
        <v>321</v>
      </c>
      <c r="J495" s="125" t="s">
        <v>4315</v>
      </c>
      <c r="K495" s="183"/>
    </row>
    <row r="496" spans="1:11" ht="15.6">
      <c r="A496" s="322">
        <v>45971</v>
      </c>
      <c r="B496" s="400" t="s">
        <v>4742</v>
      </c>
      <c r="C496" s="400" t="s">
        <v>150</v>
      </c>
      <c r="D496" s="400" t="s">
        <v>119</v>
      </c>
      <c r="E496" s="242"/>
      <c r="F496" s="242">
        <v>10000</v>
      </c>
      <c r="G496" s="180"/>
      <c r="H496" s="204">
        <f t="shared" si="10"/>
        <v>12500</v>
      </c>
      <c r="I496" s="219" t="s">
        <v>321</v>
      </c>
      <c r="J496" s="125" t="s">
        <v>4315</v>
      </c>
      <c r="K496" s="183"/>
    </row>
    <row r="497" spans="1:11" ht="15.6">
      <c r="A497" s="322">
        <v>45972</v>
      </c>
      <c r="B497" s="219" t="s">
        <v>4948</v>
      </c>
      <c r="C497" s="219" t="s">
        <v>172</v>
      </c>
      <c r="D497" s="219" t="s">
        <v>119</v>
      </c>
      <c r="E497" s="242"/>
      <c r="F497" s="242">
        <v>1500</v>
      </c>
      <c r="G497" s="180"/>
      <c r="H497" s="204">
        <f t="shared" si="10"/>
        <v>11000</v>
      </c>
      <c r="I497" s="219" t="s">
        <v>321</v>
      </c>
      <c r="J497" s="219" t="s">
        <v>4314</v>
      </c>
      <c r="K497" s="183"/>
    </row>
    <row r="498" spans="1:11" ht="15.6">
      <c r="A498" s="322">
        <v>45972</v>
      </c>
      <c r="B498" s="219" t="s">
        <v>4876</v>
      </c>
      <c r="C498" s="219" t="s">
        <v>172</v>
      </c>
      <c r="D498" s="219" t="s">
        <v>119</v>
      </c>
      <c r="E498" s="242"/>
      <c r="F498" s="242">
        <v>1000</v>
      </c>
      <c r="G498" s="180"/>
      <c r="H498" s="204">
        <f t="shared" si="10"/>
        <v>10000</v>
      </c>
      <c r="I498" s="219" t="s">
        <v>321</v>
      </c>
      <c r="J498" s="219" t="s">
        <v>4314</v>
      </c>
      <c r="K498" s="183"/>
    </row>
    <row r="499" spans="1:11" ht="15.6">
      <c r="A499" s="322">
        <v>45972</v>
      </c>
      <c r="B499" s="219" t="s">
        <v>4917</v>
      </c>
      <c r="C499" s="219" t="s">
        <v>172</v>
      </c>
      <c r="D499" s="219" t="s">
        <v>119</v>
      </c>
      <c r="E499" s="242"/>
      <c r="F499" s="242">
        <v>1000</v>
      </c>
      <c r="G499" s="180"/>
      <c r="H499" s="204">
        <f t="shared" si="10"/>
        <v>9000</v>
      </c>
      <c r="I499" s="219" t="s">
        <v>321</v>
      </c>
      <c r="J499" s="219" t="s">
        <v>4314</v>
      </c>
      <c r="K499" s="183"/>
    </row>
    <row r="500" spans="1:11" ht="15.6">
      <c r="A500" s="322">
        <v>45972</v>
      </c>
      <c r="B500" s="219" t="s">
        <v>4876</v>
      </c>
      <c r="C500" s="219" t="s">
        <v>172</v>
      </c>
      <c r="D500" s="219" t="s">
        <v>119</v>
      </c>
      <c r="E500" s="242"/>
      <c r="F500" s="242">
        <v>1500</v>
      </c>
      <c r="G500" s="180"/>
      <c r="H500" s="204">
        <f t="shared" si="10"/>
        <v>7500</v>
      </c>
      <c r="I500" s="219" t="s">
        <v>321</v>
      </c>
      <c r="J500" s="219" t="s">
        <v>4314</v>
      </c>
      <c r="K500" s="183"/>
    </row>
    <row r="501" spans="1:11" ht="15.6">
      <c r="A501" s="322">
        <v>45973</v>
      </c>
      <c r="B501" s="219" t="s">
        <v>4917</v>
      </c>
      <c r="C501" s="219" t="s">
        <v>172</v>
      </c>
      <c r="D501" s="219" t="s">
        <v>119</v>
      </c>
      <c r="E501" s="242"/>
      <c r="F501" s="242">
        <v>1000</v>
      </c>
      <c r="G501" s="180"/>
      <c r="H501" s="204">
        <f t="shared" si="10"/>
        <v>6500</v>
      </c>
      <c r="I501" s="219" t="s">
        <v>321</v>
      </c>
      <c r="J501" s="219" t="s">
        <v>4314</v>
      </c>
      <c r="K501" s="183"/>
    </row>
    <row r="502" spans="1:11" ht="15.6">
      <c r="A502" s="322">
        <v>45973</v>
      </c>
      <c r="B502" s="219" t="s">
        <v>4907</v>
      </c>
      <c r="C502" s="219" t="s">
        <v>172</v>
      </c>
      <c r="D502" s="219" t="s">
        <v>119</v>
      </c>
      <c r="E502" s="242"/>
      <c r="F502" s="242">
        <v>1000</v>
      </c>
      <c r="G502" s="180"/>
      <c r="H502" s="204">
        <f t="shared" si="10"/>
        <v>5500</v>
      </c>
      <c r="I502" s="219" t="s">
        <v>321</v>
      </c>
      <c r="J502" s="219" t="s">
        <v>4314</v>
      </c>
      <c r="K502" s="183"/>
    </row>
    <row r="503" spans="1:11" ht="15.6">
      <c r="A503" s="322">
        <v>45973</v>
      </c>
      <c r="B503" s="219" t="s">
        <v>4907</v>
      </c>
      <c r="C503" s="219" t="s">
        <v>172</v>
      </c>
      <c r="D503" s="219" t="s">
        <v>119</v>
      </c>
      <c r="E503" s="242"/>
      <c r="F503" s="242">
        <v>1000</v>
      </c>
      <c r="G503" s="180"/>
      <c r="H503" s="204">
        <f t="shared" si="10"/>
        <v>4500</v>
      </c>
      <c r="I503" s="219" t="s">
        <v>321</v>
      </c>
      <c r="J503" s="219" t="s">
        <v>4314</v>
      </c>
      <c r="K503" s="183"/>
    </row>
    <row r="504" spans="1:11" ht="15.6">
      <c r="A504" s="322">
        <v>45973</v>
      </c>
      <c r="B504" s="219" t="s">
        <v>4876</v>
      </c>
      <c r="C504" s="219" t="s">
        <v>172</v>
      </c>
      <c r="D504" s="219" t="s">
        <v>119</v>
      </c>
      <c r="E504" s="242"/>
      <c r="F504" s="242">
        <v>1500</v>
      </c>
      <c r="G504" s="180"/>
      <c r="H504" s="204">
        <f t="shared" si="10"/>
        <v>3000</v>
      </c>
      <c r="I504" s="219" t="s">
        <v>321</v>
      </c>
      <c r="J504" s="219" t="s">
        <v>4314</v>
      </c>
      <c r="K504" s="183"/>
    </row>
    <row r="505" spans="1:11" ht="15.6">
      <c r="A505" s="322">
        <v>45974</v>
      </c>
      <c r="B505" s="219" t="s">
        <v>3528</v>
      </c>
      <c r="C505" s="219" t="s">
        <v>122</v>
      </c>
      <c r="D505" s="219" t="s">
        <v>119</v>
      </c>
      <c r="E505" s="242">
        <v>100000</v>
      </c>
      <c r="F505" s="242"/>
      <c r="G505" s="180"/>
      <c r="H505" s="204">
        <f t="shared" si="10"/>
        <v>103000</v>
      </c>
      <c r="I505" s="219" t="s">
        <v>321</v>
      </c>
      <c r="J505" s="219" t="s">
        <v>4316</v>
      </c>
      <c r="K505" s="183"/>
    </row>
    <row r="506" spans="1:11" ht="15.6">
      <c r="A506" s="322">
        <v>45974</v>
      </c>
      <c r="B506" s="219" t="s">
        <v>4907</v>
      </c>
      <c r="C506" s="219" t="s">
        <v>172</v>
      </c>
      <c r="D506" s="219" t="s">
        <v>119</v>
      </c>
      <c r="E506" s="242"/>
      <c r="F506" s="242">
        <v>1000</v>
      </c>
      <c r="G506" s="180"/>
      <c r="H506" s="204">
        <f t="shared" si="10"/>
        <v>102000</v>
      </c>
      <c r="I506" s="219" t="s">
        <v>321</v>
      </c>
      <c r="J506" s="219" t="s">
        <v>4314</v>
      </c>
      <c r="K506" s="183"/>
    </row>
    <row r="507" spans="1:11" ht="15.6">
      <c r="A507" s="322">
        <v>45974</v>
      </c>
      <c r="B507" s="219" t="s">
        <v>4907</v>
      </c>
      <c r="C507" s="219" t="s">
        <v>172</v>
      </c>
      <c r="D507" s="219" t="s">
        <v>119</v>
      </c>
      <c r="E507" s="242"/>
      <c r="F507" s="242">
        <v>1000</v>
      </c>
      <c r="G507" s="180"/>
      <c r="H507" s="204">
        <f t="shared" si="10"/>
        <v>101000</v>
      </c>
      <c r="I507" s="219" t="s">
        <v>321</v>
      </c>
      <c r="J507" s="219" t="s">
        <v>4314</v>
      </c>
      <c r="K507" s="183"/>
    </row>
    <row r="508" spans="1:11" ht="15.6">
      <c r="A508" s="322">
        <v>45974</v>
      </c>
      <c r="B508" s="219" t="s">
        <v>4876</v>
      </c>
      <c r="C508" s="219" t="s">
        <v>172</v>
      </c>
      <c r="D508" s="219" t="s">
        <v>119</v>
      </c>
      <c r="E508" s="242"/>
      <c r="F508" s="242">
        <v>1000</v>
      </c>
      <c r="G508" s="180"/>
      <c r="H508" s="204">
        <f t="shared" si="10"/>
        <v>100000</v>
      </c>
      <c r="I508" s="219" t="s">
        <v>321</v>
      </c>
      <c r="J508" s="219" t="s">
        <v>4314</v>
      </c>
      <c r="K508" s="183"/>
    </row>
    <row r="509" spans="1:11" ht="15.6">
      <c r="A509" s="322">
        <v>45974</v>
      </c>
      <c r="B509" s="219" t="s">
        <v>4752</v>
      </c>
      <c r="C509" s="219" t="s">
        <v>172</v>
      </c>
      <c r="D509" s="219" t="s">
        <v>119</v>
      </c>
      <c r="E509" s="242"/>
      <c r="F509" s="242">
        <v>12000</v>
      </c>
      <c r="G509" s="180"/>
      <c r="H509" s="204">
        <f t="shared" si="10"/>
        <v>88000</v>
      </c>
      <c r="I509" s="219" t="s">
        <v>321</v>
      </c>
      <c r="J509" s="125" t="s">
        <v>4317</v>
      </c>
      <c r="K509" s="183"/>
    </row>
    <row r="510" spans="1:11" ht="15.6">
      <c r="A510" s="322">
        <v>45975</v>
      </c>
      <c r="B510" s="219" t="s">
        <v>4750</v>
      </c>
      <c r="C510" s="219" t="s">
        <v>4309</v>
      </c>
      <c r="D510" s="219" t="s">
        <v>119</v>
      </c>
      <c r="E510" s="242"/>
      <c r="F510" s="242">
        <v>50000</v>
      </c>
      <c r="G510" s="180"/>
      <c r="H510" s="204">
        <f t="shared" si="10"/>
        <v>38000</v>
      </c>
      <c r="I510" s="219" t="s">
        <v>321</v>
      </c>
      <c r="J510" s="219" t="s">
        <v>4318</v>
      </c>
      <c r="K510" s="183"/>
    </row>
    <row r="511" spans="1:11" ht="15.6">
      <c r="A511" s="322">
        <v>45975</v>
      </c>
      <c r="B511" s="219" t="s">
        <v>4917</v>
      </c>
      <c r="C511" s="219" t="s">
        <v>172</v>
      </c>
      <c r="D511" s="219" t="s">
        <v>119</v>
      </c>
      <c r="E511" s="242"/>
      <c r="F511" s="242">
        <v>1000</v>
      </c>
      <c r="G511" s="180"/>
      <c r="H511" s="204">
        <f t="shared" si="10"/>
        <v>37000</v>
      </c>
      <c r="I511" s="219" t="s">
        <v>321</v>
      </c>
      <c r="J511" s="219" t="s">
        <v>4314</v>
      </c>
      <c r="K511" s="183"/>
    </row>
    <row r="512" spans="1:11" ht="15.6">
      <c r="A512" s="322">
        <v>45975</v>
      </c>
      <c r="B512" s="219" t="s">
        <v>4876</v>
      </c>
      <c r="C512" s="219" t="s">
        <v>172</v>
      </c>
      <c r="D512" s="219" t="s">
        <v>119</v>
      </c>
      <c r="E512" s="242"/>
      <c r="F512" s="242">
        <v>500</v>
      </c>
      <c r="G512" s="180"/>
      <c r="H512" s="204">
        <f t="shared" si="10"/>
        <v>36500</v>
      </c>
      <c r="I512" s="219" t="s">
        <v>321</v>
      </c>
      <c r="J512" s="219" t="s">
        <v>4314</v>
      </c>
      <c r="K512" s="183"/>
    </row>
    <row r="513" spans="1:11" ht="15.6">
      <c r="A513" s="322">
        <v>45976</v>
      </c>
      <c r="B513" s="219" t="s">
        <v>4751</v>
      </c>
      <c r="C513" s="219" t="s">
        <v>4309</v>
      </c>
      <c r="D513" s="219" t="s">
        <v>119</v>
      </c>
      <c r="E513" s="242"/>
      <c r="F513" s="242">
        <v>15000</v>
      </c>
      <c r="G513" s="180"/>
      <c r="H513" s="204">
        <f t="shared" si="10"/>
        <v>21500</v>
      </c>
      <c r="I513" s="219" t="s">
        <v>321</v>
      </c>
      <c r="J513" s="125" t="s">
        <v>4319</v>
      </c>
      <c r="K513" s="183"/>
    </row>
    <row r="514" spans="1:11" ht="15.6">
      <c r="A514" s="322">
        <v>45976</v>
      </c>
      <c r="B514" s="219" t="s">
        <v>4752</v>
      </c>
      <c r="C514" s="219" t="s">
        <v>172</v>
      </c>
      <c r="D514" s="219" t="s">
        <v>119</v>
      </c>
      <c r="E514" s="242"/>
      <c r="F514" s="242">
        <v>5000</v>
      </c>
      <c r="G514" s="180"/>
      <c r="H514" s="204">
        <f t="shared" si="10"/>
        <v>16500</v>
      </c>
      <c r="I514" s="219" t="s">
        <v>321</v>
      </c>
      <c r="J514" s="125" t="s">
        <v>4320</v>
      </c>
      <c r="K514" s="183"/>
    </row>
    <row r="515" spans="1:11" ht="15.6">
      <c r="A515" s="322">
        <v>45976</v>
      </c>
      <c r="B515" s="219" t="s">
        <v>4967</v>
      </c>
      <c r="C515" s="219" t="s">
        <v>172</v>
      </c>
      <c r="D515" s="219" t="s">
        <v>119</v>
      </c>
      <c r="E515" s="242"/>
      <c r="F515" s="242">
        <v>500</v>
      </c>
      <c r="G515" s="180"/>
      <c r="H515" s="204">
        <f t="shared" si="10"/>
        <v>16000</v>
      </c>
      <c r="I515" s="219" t="s">
        <v>321</v>
      </c>
      <c r="J515" s="219" t="s">
        <v>4314</v>
      </c>
      <c r="K515" s="183"/>
    </row>
    <row r="516" spans="1:11" ht="15.6">
      <c r="A516" s="322">
        <v>45976</v>
      </c>
      <c r="B516" s="219" t="s">
        <v>4896</v>
      </c>
      <c r="C516" s="219" t="s">
        <v>172</v>
      </c>
      <c r="D516" s="219" t="s">
        <v>119</v>
      </c>
      <c r="E516" s="242"/>
      <c r="F516" s="242">
        <v>500</v>
      </c>
      <c r="G516" s="180"/>
      <c r="H516" s="204">
        <f t="shared" si="10"/>
        <v>15500</v>
      </c>
      <c r="I516" s="219" t="s">
        <v>321</v>
      </c>
      <c r="J516" s="219" t="s">
        <v>4314</v>
      </c>
      <c r="K516" s="183"/>
    </row>
    <row r="517" spans="1:11" ht="15.6">
      <c r="A517" s="322">
        <v>45976</v>
      </c>
      <c r="B517" s="219" t="s">
        <v>2932</v>
      </c>
      <c r="C517" s="219" t="s">
        <v>366</v>
      </c>
      <c r="D517" s="219" t="s">
        <v>119</v>
      </c>
      <c r="E517" s="242"/>
      <c r="F517" s="242">
        <v>2000</v>
      </c>
      <c r="G517" s="180"/>
      <c r="H517" s="204">
        <f t="shared" si="10"/>
        <v>13500</v>
      </c>
      <c r="I517" s="219" t="s">
        <v>321</v>
      </c>
      <c r="J517" s="219" t="s">
        <v>4321</v>
      </c>
      <c r="K517" s="183"/>
    </row>
    <row r="518" spans="1:11" ht="15.6">
      <c r="A518" s="322">
        <v>45976</v>
      </c>
      <c r="B518" s="219" t="s">
        <v>4967</v>
      </c>
      <c r="C518" s="219" t="s">
        <v>172</v>
      </c>
      <c r="D518" s="219" t="s">
        <v>119</v>
      </c>
      <c r="E518" s="242"/>
      <c r="F518" s="242">
        <v>500</v>
      </c>
      <c r="G518" s="180"/>
      <c r="H518" s="204">
        <f t="shared" si="10"/>
        <v>13000</v>
      </c>
      <c r="I518" s="219" t="s">
        <v>321</v>
      </c>
      <c r="J518" s="219" t="s">
        <v>4314</v>
      </c>
      <c r="K518" s="183"/>
    </row>
    <row r="519" spans="1:11" ht="15.6">
      <c r="A519" s="322">
        <v>45977</v>
      </c>
      <c r="B519" s="219" t="s">
        <v>4888</v>
      </c>
      <c r="C519" s="219" t="s">
        <v>172</v>
      </c>
      <c r="D519" s="219" t="s">
        <v>119</v>
      </c>
      <c r="E519" s="242"/>
      <c r="F519" s="242">
        <v>500</v>
      </c>
      <c r="G519" s="180"/>
      <c r="H519" s="204">
        <f t="shared" si="10"/>
        <v>12500</v>
      </c>
      <c r="I519" s="219" t="s">
        <v>321</v>
      </c>
      <c r="J519" s="219" t="s">
        <v>4314</v>
      </c>
      <c r="K519" s="183"/>
    </row>
    <row r="520" spans="1:11" ht="15.6">
      <c r="A520" s="322">
        <v>45977</v>
      </c>
      <c r="B520" s="219" t="s">
        <v>4896</v>
      </c>
      <c r="C520" s="219" t="s">
        <v>172</v>
      </c>
      <c r="D520" s="219" t="s">
        <v>119</v>
      </c>
      <c r="E520" s="242"/>
      <c r="F520" s="242">
        <v>500</v>
      </c>
      <c r="G520" s="180"/>
      <c r="H520" s="204">
        <f t="shared" si="10"/>
        <v>12000</v>
      </c>
      <c r="I520" s="219" t="s">
        <v>321</v>
      </c>
      <c r="J520" s="219" t="s">
        <v>4314</v>
      </c>
      <c r="K520" s="183"/>
    </row>
    <row r="521" spans="1:11" ht="15.6">
      <c r="A521" s="322">
        <v>45977</v>
      </c>
      <c r="B521" s="219" t="s">
        <v>4967</v>
      </c>
      <c r="C521" s="219" t="s">
        <v>172</v>
      </c>
      <c r="D521" s="219" t="s">
        <v>119</v>
      </c>
      <c r="E521" s="242"/>
      <c r="F521" s="242">
        <v>500</v>
      </c>
      <c r="G521" s="180"/>
      <c r="H521" s="204">
        <f t="shared" si="10"/>
        <v>11500</v>
      </c>
      <c r="I521" s="219" t="s">
        <v>321</v>
      </c>
      <c r="J521" s="219" t="s">
        <v>4314</v>
      </c>
      <c r="K521" s="183"/>
    </row>
    <row r="522" spans="1:11" ht="15.6">
      <c r="A522" s="322">
        <v>45977</v>
      </c>
      <c r="B522" s="219" t="s">
        <v>4888</v>
      </c>
      <c r="C522" s="219" t="s">
        <v>172</v>
      </c>
      <c r="D522" s="219" t="s">
        <v>119</v>
      </c>
      <c r="E522" s="242"/>
      <c r="F522" s="242">
        <v>500</v>
      </c>
      <c r="G522" s="180"/>
      <c r="H522" s="204">
        <f t="shared" si="10"/>
        <v>11000</v>
      </c>
      <c r="I522" s="219" t="s">
        <v>321</v>
      </c>
      <c r="J522" s="219" t="s">
        <v>4314</v>
      </c>
      <c r="K522" s="183"/>
    </row>
    <row r="523" spans="1:11" ht="15.6">
      <c r="A523" s="322">
        <v>45977</v>
      </c>
      <c r="B523" s="219" t="s">
        <v>4888</v>
      </c>
      <c r="C523" s="219" t="s">
        <v>172</v>
      </c>
      <c r="D523" s="219" t="s">
        <v>119</v>
      </c>
      <c r="E523" s="242"/>
      <c r="F523" s="242">
        <v>500</v>
      </c>
      <c r="G523" s="180"/>
      <c r="H523" s="204">
        <f t="shared" si="10"/>
        <v>10500</v>
      </c>
      <c r="I523" s="219" t="s">
        <v>321</v>
      </c>
      <c r="J523" s="219" t="s">
        <v>4314</v>
      </c>
      <c r="K523" s="183"/>
    </row>
    <row r="524" spans="1:11" ht="15.6">
      <c r="A524" s="322">
        <v>45977</v>
      </c>
      <c r="B524" s="219" t="s">
        <v>2932</v>
      </c>
      <c r="C524" s="219" t="s">
        <v>366</v>
      </c>
      <c r="D524" s="219" t="s">
        <v>119</v>
      </c>
      <c r="E524" s="242"/>
      <c r="F524" s="242">
        <v>2000</v>
      </c>
      <c r="G524" s="180"/>
      <c r="H524" s="204">
        <f t="shared" si="10"/>
        <v>8500</v>
      </c>
      <c r="I524" s="219" t="s">
        <v>321</v>
      </c>
      <c r="J524" s="219" t="s">
        <v>4321</v>
      </c>
      <c r="K524" s="183"/>
    </row>
    <row r="525" spans="1:11" ht="15.6">
      <c r="A525" s="322">
        <v>45977</v>
      </c>
      <c r="B525" s="219" t="s">
        <v>4888</v>
      </c>
      <c r="C525" s="219" t="s">
        <v>172</v>
      </c>
      <c r="D525" s="219" t="s">
        <v>119</v>
      </c>
      <c r="E525" s="242"/>
      <c r="F525" s="242">
        <v>500</v>
      </c>
      <c r="G525" s="180"/>
      <c r="H525" s="204">
        <f t="shared" si="10"/>
        <v>8000</v>
      </c>
      <c r="I525" s="219" t="s">
        <v>321</v>
      </c>
      <c r="J525" s="219" t="s">
        <v>4314</v>
      </c>
      <c r="K525" s="183"/>
    </row>
    <row r="526" spans="1:11" ht="15.6">
      <c r="A526" s="322">
        <v>45978</v>
      </c>
      <c r="B526" s="219" t="s">
        <v>3528</v>
      </c>
      <c r="C526" s="219" t="s">
        <v>122</v>
      </c>
      <c r="D526" s="219" t="s">
        <v>119</v>
      </c>
      <c r="E526" s="242">
        <v>84000</v>
      </c>
      <c r="F526" s="242"/>
      <c r="G526" s="180"/>
      <c r="H526" s="204">
        <f t="shared" si="10"/>
        <v>92000</v>
      </c>
      <c r="I526" s="219" t="s">
        <v>321</v>
      </c>
      <c r="J526" s="219" t="s">
        <v>4322</v>
      </c>
      <c r="K526" s="183"/>
    </row>
    <row r="527" spans="1:11" ht="15.6">
      <c r="A527" s="322">
        <v>45978</v>
      </c>
      <c r="B527" s="219" t="s">
        <v>4888</v>
      </c>
      <c r="C527" s="219" t="s">
        <v>172</v>
      </c>
      <c r="D527" s="219" t="s">
        <v>119</v>
      </c>
      <c r="E527" s="242"/>
      <c r="F527" s="242">
        <v>500</v>
      </c>
      <c r="G527" s="180"/>
      <c r="H527" s="204">
        <f t="shared" si="10"/>
        <v>91500</v>
      </c>
      <c r="I527" s="219" t="s">
        <v>321</v>
      </c>
      <c r="J527" s="219" t="s">
        <v>4314</v>
      </c>
      <c r="K527" s="183"/>
    </row>
    <row r="528" spans="1:11" ht="15.6">
      <c r="A528" s="322">
        <v>45978</v>
      </c>
      <c r="B528" s="219" t="s">
        <v>4888</v>
      </c>
      <c r="C528" s="219" t="s">
        <v>172</v>
      </c>
      <c r="D528" s="219" t="s">
        <v>119</v>
      </c>
      <c r="E528" s="242"/>
      <c r="F528" s="242">
        <v>500</v>
      </c>
      <c r="G528" s="180"/>
      <c r="H528" s="204">
        <f t="shared" si="10"/>
        <v>91000</v>
      </c>
      <c r="I528" s="219" t="s">
        <v>321</v>
      </c>
      <c r="J528" s="219" t="s">
        <v>4314</v>
      </c>
      <c r="K528" s="183"/>
    </row>
    <row r="529" spans="1:11" ht="15.6">
      <c r="A529" s="322">
        <v>45978</v>
      </c>
      <c r="B529" s="219" t="s">
        <v>4888</v>
      </c>
      <c r="C529" s="219" t="s">
        <v>172</v>
      </c>
      <c r="D529" s="219" t="s">
        <v>119</v>
      </c>
      <c r="E529" s="242"/>
      <c r="F529" s="242">
        <v>500</v>
      </c>
      <c r="G529" s="180"/>
      <c r="H529" s="204">
        <f t="shared" si="10"/>
        <v>90500</v>
      </c>
      <c r="I529" s="219" t="s">
        <v>321</v>
      </c>
      <c r="J529" s="219" t="s">
        <v>4314</v>
      </c>
      <c r="K529" s="183"/>
    </row>
    <row r="530" spans="1:11" ht="15.6">
      <c r="A530" s="322">
        <v>45978</v>
      </c>
      <c r="B530" s="219" t="s">
        <v>2932</v>
      </c>
      <c r="C530" s="219" t="s">
        <v>366</v>
      </c>
      <c r="D530" s="219" t="s">
        <v>119</v>
      </c>
      <c r="E530" s="242"/>
      <c r="F530" s="242">
        <v>2000</v>
      </c>
      <c r="G530" s="180"/>
      <c r="H530" s="204">
        <f t="shared" si="10"/>
        <v>88500</v>
      </c>
      <c r="I530" s="219" t="s">
        <v>321</v>
      </c>
      <c r="J530" s="219" t="s">
        <v>4321</v>
      </c>
      <c r="K530" s="183"/>
    </row>
    <row r="531" spans="1:11" ht="15.6">
      <c r="A531" s="322">
        <v>45978</v>
      </c>
      <c r="B531" s="219" t="s">
        <v>4888</v>
      </c>
      <c r="C531" s="219" t="s">
        <v>172</v>
      </c>
      <c r="D531" s="219" t="s">
        <v>119</v>
      </c>
      <c r="E531" s="242"/>
      <c r="F531" s="242">
        <v>500</v>
      </c>
      <c r="G531" s="180"/>
      <c r="H531" s="204">
        <f t="shared" si="10"/>
        <v>88000</v>
      </c>
      <c r="I531" s="219" t="s">
        <v>321</v>
      </c>
      <c r="J531" s="219" t="s">
        <v>4314</v>
      </c>
      <c r="K531" s="183"/>
    </row>
    <row r="532" spans="1:11" ht="15.6">
      <c r="A532" s="322">
        <v>45978</v>
      </c>
      <c r="B532" s="400" t="s">
        <v>4771</v>
      </c>
      <c r="C532" s="400" t="s">
        <v>150</v>
      </c>
      <c r="D532" s="400" t="s">
        <v>119</v>
      </c>
      <c r="E532" s="242">
        <v>10000</v>
      </c>
      <c r="F532" s="242"/>
      <c r="G532" s="180"/>
      <c r="H532" s="204">
        <f t="shared" si="10"/>
        <v>98000</v>
      </c>
      <c r="I532" s="219" t="s">
        <v>321</v>
      </c>
      <c r="J532" s="125" t="s">
        <v>4323</v>
      </c>
      <c r="K532" s="183"/>
    </row>
    <row r="533" spans="1:11" ht="15.6">
      <c r="A533" s="322">
        <v>45978</v>
      </c>
      <c r="B533" s="400" t="s">
        <v>4771</v>
      </c>
      <c r="C533" s="400" t="s">
        <v>150</v>
      </c>
      <c r="D533" s="400" t="s">
        <v>119</v>
      </c>
      <c r="E533" s="242"/>
      <c r="F533" s="242">
        <v>10000</v>
      </c>
      <c r="G533" s="180"/>
      <c r="H533" s="204">
        <f t="shared" si="10"/>
        <v>88000</v>
      </c>
      <c r="I533" s="219" t="s">
        <v>321</v>
      </c>
      <c r="J533" s="125" t="s">
        <v>4323</v>
      </c>
      <c r="K533" s="183"/>
    </row>
    <row r="534" spans="1:11" ht="15.6">
      <c r="A534" s="322">
        <v>45979</v>
      </c>
      <c r="B534" s="219" t="s">
        <v>4751</v>
      </c>
      <c r="C534" s="219" t="s">
        <v>4309</v>
      </c>
      <c r="D534" s="219" t="s">
        <v>119</v>
      </c>
      <c r="E534" s="242"/>
      <c r="F534" s="242">
        <v>45000</v>
      </c>
      <c r="G534" s="180"/>
      <c r="H534" s="204">
        <f t="shared" si="10"/>
        <v>43000</v>
      </c>
      <c r="I534" s="219" t="s">
        <v>321</v>
      </c>
      <c r="J534" s="125" t="s">
        <v>4324</v>
      </c>
      <c r="K534" s="183"/>
    </row>
    <row r="535" spans="1:11" ht="15.6">
      <c r="A535" s="322">
        <v>45979</v>
      </c>
      <c r="B535" s="219" t="s">
        <v>4989</v>
      </c>
      <c r="C535" s="219" t="s">
        <v>172</v>
      </c>
      <c r="D535" s="219" t="s">
        <v>119</v>
      </c>
      <c r="E535" s="242"/>
      <c r="F535" s="242">
        <v>500</v>
      </c>
      <c r="G535" s="180"/>
      <c r="H535" s="204">
        <f t="shared" si="10"/>
        <v>42500</v>
      </c>
      <c r="I535" s="219" t="s">
        <v>321</v>
      </c>
      <c r="J535" s="219" t="s">
        <v>4314</v>
      </c>
      <c r="K535" s="183"/>
    </row>
    <row r="536" spans="1:11" ht="15.6">
      <c r="A536" s="322">
        <v>45979</v>
      </c>
      <c r="B536" s="219" t="s">
        <v>4772</v>
      </c>
      <c r="C536" s="219" t="s">
        <v>172</v>
      </c>
      <c r="D536" s="219" t="s">
        <v>119</v>
      </c>
      <c r="E536" s="242"/>
      <c r="F536" s="242">
        <v>5000</v>
      </c>
      <c r="G536" s="180"/>
      <c r="H536" s="204">
        <f t="shared" si="10"/>
        <v>37500</v>
      </c>
      <c r="I536" s="219" t="s">
        <v>321</v>
      </c>
      <c r="J536" s="125" t="s">
        <v>4325</v>
      </c>
      <c r="K536" s="183"/>
    </row>
    <row r="537" spans="1:11" ht="15.6">
      <c r="A537" s="322">
        <v>45979</v>
      </c>
      <c r="B537" s="219" t="s">
        <v>4876</v>
      </c>
      <c r="C537" s="219" t="s">
        <v>172</v>
      </c>
      <c r="D537" s="219" t="s">
        <v>119</v>
      </c>
      <c r="E537" s="242"/>
      <c r="F537" s="242">
        <v>500</v>
      </c>
      <c r="G537" s="180"/>
      <c r="H537" s="204">
        <f t="shared" si="10"/>
        <v>37000</v>
      </c>
      <c r="I537" s="219" t="s">
        <v>321</v>
      </c>
      <c r="J537" s="219" t="s">
        <v>4314</v>
      </c>
      <c r="K537" s="183"/>
    </row>
    <row r="538" spans="1:11" ht="15.6">
      <c r="A538" s="322">
        <v>45979</v>
      </c>
      <c r="B538" s="219" t="s">
        <v>4876</v>
      </c>
      <c r="C538" s="219" t="s">
        <v>172</v>
      </c>
      <c r="D538" s="219" t="s">
        <v>119</v>
      </c>
      <c r="E538" s="242"/>
      <c r="F538" s="242">
        <v>500</v>
      </c>
      <c r="G538" s="180"/>
      <c r="H538" s="204">
        <f t="shared" si="10"/>
        <v>36500</v>
      </c>
      <c r="I538" s="219" t="s">
        <v>321</v>
      </c>
      <c r="J538" s="219" t="s">
        <v>4314</v>
      </c>
      <c r="K538" s="183"/>
    </row>
    <row r="539" spans="1:11" ht="15.6">
      <c r="A539" s="322">
        <v>45979</v>
      </c>
      <c r="B539" s="219" t="s">
        <v>4876</v>
      </c>
      <c r="C539" s="219" t="s">
        <v>172</v>
      </c>
      <c r="D539" s="219" t="s">
        <v>119</v>
      </c>
      <c r="E539" s="242"/>
      <c r="F539" s="242">
        <v>500</v>
      </c>
      <c r="G539" s="180"/>
      <c r="H539" s="204">
        <f t="shared" si="10"/>
        <v>36000</v>
      </c>
      <c r="I539" s="219" t="s">
        <v>321</v>
      </c>
      <c r="J539" s="219" t="s">
        <v>4314</v>
      </c>
      <c r="K539" s="183"/>
    </row>
    <row r="540" spans="1:11" ht="15.6">
      <c r="A540" s="322">
        <v>45979</v>
      </c>
      <c r="B540" s="219" t="s">
        <v>2932</v>
      </c>
      <c r="C540" s="219" t="s">
        <v>366</v>
      </c>
      <c r="D540" s="219" t="s">
        <v>119</v>
      </c>
      <c r="E540" s="242"/>
      <c r="F540" s="242">
        <v>1500</v>
      </c>
      <c r="G540" s="180"/>
      <c r="H540" s="204">
        <f t="shared" si="10"/>
        <v>34500</v>
      </c>
      <c r="I540" s="219" t="s">
        <v>321</v>
      </c>
      <c r="J540" s="219" t="s">
        <v>4321</v>
      </c>
      <c r="K540" s="183"/>
    </row>
    <row r="541" spans="1:11" ht="15.6">
      <c r="A541" s="322">
        <v>45979</v>
      </c>
      <c r="B541" s="219" t="s">
        <v>4917</v>
      </c>
      <c r="C541" s="219" t="s">
        <v>172</v>
      </c>
      <c r="D541" s="219" t="s">
        <v>119</v>
      </c>
      <c r="E541" s="242"/>
      <c r="F541" s="242">
        <v>500</v>
      </c>
      <c r="G541" s="180"/>
      <c r="H541" s="204">
        <f t="shared" si="10"/>
        <v>34000</v>
      </c>
      <c r="I541" s="219" t="s">
        <v>321</v>
      </c>
      <c r="J541" s="219" t="s">
        <v>4314</v>
      </c>
      <c r="K541" s="183"/>
    </row>
    <row r="542" spans="1:11" ht="15.6">
      <c r="A542" s="322">
        <v>45980</v>
      </c>
      <c r="B542" s="219" t="s">
        <v>4751</v>
      </c>
      <c r="C542" s="219" t="s">
        <v>4309</v>
      </c>
      <c r="D542" s="219" t="s">
        <v>119</v>
      </c>
      <c r="E542" s="242"/>
      <c r="F542" s="242">
        <v>15000</v>
      </c>
      <c r="G542" s="180"/>
      <c r="H542" s="204">
        <f t="shared" si="10"/>
        <v>19000</v>
      </c>
      <c r="I542" s="219" t="s">
        <v>321</v>
      </c>
      <c r="J542" s="125" t="s">
        <v>4326</v>
      </c>
      <c r="K542" s="183"/>
    </row>
    <row r="543" spans="1:11" ht="15.6">
      <c r="A543" s="322">
        <v>45980</v>
      </c>
      <c r="B543" s="219" t="s">
        <v>4976</v>
      </c>
      <c r="C543" s="219" t="s">
        <v>172</v>
      </c>
      <c r="D543" s="219" t="s">
        <v>119</v>
      </c>
      <c r="E543" s="242"/>
      <c r="F543" s="242">
        <v>500</v>
      </c>
      <c r="G543" s="180"/>
      <c r="H543" s="204">
        <f t="shared" si="10"/>
        <v>18500</v>
      </c>
      <c r="I543" s="219" t="s">
        <v>321</v>
      </c>
      <c r="J543" s="219" t="s">
        <v>4314</v>
      </c>
      <c r="K543" s="183"/>
    </row>
    <row r="544" spans="1:11" ht="15.6">
      <c r="A544" s="322">
        <v>45980</v>
      </c>
      <c r="B544" s="219" t="s">
        <v>4757</v>
      </c>
      <c r="C544" s="219" t="s">
        <v>172</v>
      </c>
      <c r="D544" s="219" t="s">
        <v>119</v>
      </c>
      <c r="E544" s="242"/>
      <c r="F544" s="242">
        <v>12000</v>
      </c>
      <c r="G544" s="180"/>
      <c r="H544" s="204">
        <f t="shared" si="10"/>
        <v>6500</v>
      </c>
      <c r="I544" s="219" t="s">
        <v>321</v>
      </c>
      <c r="J544" s="125" t="s">
        <v>4327</v>
      </c>
      <c r="K544" s="183"/>
    </row>
    <row r="545" spans="1:11" ht="15.6">
      <c r="A545" s="322">
        <v>45980</v>
      </c>
      <c r="B545" s="219" t="s">
        <v>4876</v>
      </c>
      <c r="C545" s="219" t="s">
        <v>172</v>
      </c>
      <c r="D545" s="219" t="s">
        <v>119</v>
      </c>
      <c r="E545" s="242"/>
      <c r="F545" s="242">
        <v>1000</v>
      </c>
      <c r="G545" s="180"/>
      <c r="H545" s="204">
        <f t="shared" si="10"/>
        <v>5500</v>
      </c>
      <c r="I545" s="219" t="s">
        <v>321</v>
      </c>
      <c r="J545" s="219" t="s">
        <v>4314</v>
      </c>
      <c r="K545" s="183"/>
    </row>
    <row r="546" spans="1:11" ht="15.6">
      <c r="A546" s="322">
        <v>45988</v>
      </c>
      <c r="B546" s="219" t="s">
        <v>3528</v>
      </c>
      <c r="C546" s="219" t="s">
        <v>122</v>
      </c>
      <c r="D546" s="219" t="s">
        <v>119</v>
      </c>
      <c r="E546" s="242">
        <v>30000</v>
      </c>
      <c r="F546" s="242"/>
      <c r="G546" s="180"/>
      <c r="H546" s="204">
        <f t="shared" si="10"/>
        <v>35500</v>
      </c>
      <c r="I546" s="219" t="s">
        <v>321</v>
      </c>
      <c r="J546" s="219" t="s">
        <v>4328</v>
      </c>
      <c r="K546" s="183"/>
    </row>
    <row r="547" spans="1:11" ht="15.6">
      <c r="A547" s="322">
        <v>45989</v>
      </c>
      <c r="B547" s="219" t="s">
        <v>4750</v>
      </c>
      <c r="C547" s="219" t="s">
        <v>2394</v>
      </c>
      <c r="D547" s="219" t="s">
        <v>119</v>
      </c>
      <c r="E547" s="242"/>
      <c r="F547" s="242">
        <v>40000</v>
      </c>
      <c r="G547" s="180"/>
      <c r="H547" s="204">
        <f t="shared" si="10"/>
        <v>-4500</v>
      </c>
      <c r="I547" s="219" t="s">
        <v>321</v>
      </c>
      <c r="J547" s="219" t="s">
        <v>4329</v>
      </c>
      <c r="K547" s="183"/>
    </row>
    <row r="548" spans="1:11" ht="15.6">
      <c r="A548" s="322">
        <v>45989</v>
      </c>
      <c r="B548" s="219" t="s">
        <v>4907</v>
      </c>
      <c r="C548" s="219" t="s">
        <v>172</v>
      </c>
      <c r="D548" s="219" t="s">
        <v>119</v>
      </c>
      <c r="E548" s="242"/>
      <c r="F548" s="242">
        <v>1000</v>
      </c>
      <c r="G548" s="180"/>
      <c r="H548" s="204">
        <f t="shared" ref="H548:H566" si="11">H547+E548-F548</f>
        <v>-5500</v>
      </c>
      <c r="I548" s="219" t="s">
        <v>321</v>
      </c>
      <c r="J548" s="219" t="s">
        <v>4314</v>
      </c>
      <c r="K548" s="183"/>
    </row>
    <row r="549" spans="1:11" ht="15.6">
      <c r="A549" s="322">
        <v>45989</v>
      </c>
      <c r="B549" s="219" t="s">
        <v>4773</v>
      </c>
      <c r="C549" s="219" t="s">
        <v>172</v>
      </c>
      <c r="D549" s="219" t="s">
        <v>119</v>
      </c>
      <c r="E549" s="242"/>
      <c r="F549" s="242">
        <v>5000</v>
      </c>
      <c r="G549" s="180"/>
      <c r="H549" s="204">
        <f t="shared" si="11"/>
        <v>-10500</v>
      </c>
      <c r="I549" s="219" t="s">
        <v>321</v>
      </c>
      <c r="J549" s="125" t="s">
        <v>4330</v>
      </c>
      <c r="K549" s="183"/>
    </row>
    <row r="550" spans="1:11" ht="15.6">
      <c r="A550" s="322">
        <v>45989</v>
      </c>
      <c r="B550" s="219" t="s">
        <v>4888</v>
      </c>
      <c r="C550" s="219" t="s">
        <v>172</v>
      </c>
      <c r="D550" s="219" t="s">
        <v>119</v>
      </c>
      <c r="E550" s="242"/>
      <c r="F550" s="242">
        <v>500</v>
      </c>
      <c r="G550" s="180"/>
      <c r="H550" s="204">
        <f t="shared" si="11"/>
        <v>-11000</v>
      </c>
      <c r="I550" s="219" t="s">
        <v>321</v>
      </c>
      <c r="J550" s="219" t="s">
        <v>4314</v>
      </c>
      <c r="K550" s="183"/>
    </row>
    <row r="551" spans="1:11" ht="15.6">
      <c r="A551" s="322">
        <v>45989</v>
      </c>
      <c r="B551" s="219" t="s">
        <v>4967</v>
      </c>
      <c r="C551" s="219" t="s">
        <v>172</v>
      </c>
      <c r="D551" s="219" t="s">
        <v>119</v>
      </c>
      <c r="E551" s="242"/>
      <c r="F551" s="242">
        <v>500</v>
      </c>
      <c r="G551" s="180"/>
      <c r="H551" s="204">
        <f t="shared" si="11"/>
        <v>-11500</v>
      </c>
      <c r="I551" s="219" t="s">
        <v>321</v>
      </c>
      <c r="J551" s="219" t="s">
        <v>4314</v>
      </c>
      <c r="K551" s="183"/>
    </row>
    <row r="552" spans="1:11" ht="15.6">
      <c r="A552" s="322">
        <v>45989</v>
      </c>
      <c r="B552" s="219" t="s">
        <v>4967</v>
      </c>
      <c r="C552" s="219" t="s">
        <v>172</v>
      </c>
      <c r="D552" s="219" t="s">
        <v>119</v>
      </c>
      <c r="E552" s="242"/>
      <c r="F552" s="242">
        <v>500</v>
      </c>
      <c r="G552" s="180"/>
      <c r="H552" s="204">
        <f t="shared" si="11"/>
        <v>-12000</v>
      </c>
      <c r="I552" s="219" t="s">
        <v>321</v>
      </c>
      <c r="J552" s="219" t="s">
        <v>4314</v>
      </c>
      <c r="K552" s="183"/>
    </row>
    <row r="553" spans="1:11" ht="15.6">
      <c r="A553" s="322">
        <v>45989</v>
      </c>
      <c r="B553" s="219" t="s">
        <v>2932</v>
      </c>
      <c r="C553" s="219" t="s">
        <v>366</v>
      </c>
      <c r="D553" s="219" t="s">
        <v>119</v>
      </c>
      <c r="E553" s="242"/>
      <c r="F553" s="242">
        <v>1500</v>
      </c>
      <c r="G553" s="180"/>
      <c r="H553" s="204">
        <f t="shared" si="11"/>
        <v>-13500</v>
      </c>
      <c r="I553" s="219" t="s">
        <v>321</v>
      </c>
      <c r="J553" s="219" t="s">
        <v>4321</v>
      </c>
      <c r="K553" s="183"/>
    </row>
    <row r="554" spans="1:11" ht="15.6">
      <c r="A554" s="322">
        <v>45989</v>
      </c>
      <c r="B554" s="219" t="s">
        <v>4967</v>
      </c>
      <c r="C554" s="219" t="s">
        <v>172</v>
      </c>
      <c r="D554" s="219" t="s">
        <v>119</v>
      </c>
      <c r="E554" s="242"/>
      <c r="F554" s="242">
        <v>500</v>
      </c>
      <c r="G554" s="180"/>
      <c r="H554" s="204">
        <f t="shared" si="11"/>
        <v>-14000</v>
      </c>
      <c r="I554" s="219" t="s">
        <v>321</v>
      </c>
      <c r="J554" s="219" t="s">
        <v>4314</v>
      </c>
      <c r="K554" s="183"/>
    </row>
    <row r="555" spans="1:11" ht="15.6">
      <c r="A555" s="322">
        <v>45990</v>
      </c>
      <c r="B555" s="219" t="s">
        <v>4967</v>
      </c>
      <c r="C555" s="219" t="s">
        <v>172</v>
      </c>
      <c r="D555" s="219" t="s">
        <v>119</v>
      </c>
      <c r="E555" s="242"/>
      <c r="F555" s="242">
        <v>500</v>
      </c>
      <c r="G555" s="180"/>
      <c r="H555" s="204">
        <f t="shared" si="11"/>
        <v>-14500</v>
      </c>
      <c r="I555" s="219" t="s">
        <v>321</v>
      </c>
      <c r="J555" s="219" t="s">
        <v>4314</v>
      </c>
      <c r="K555" s="183"/>
    </row>
    <row r="556" spans="1:11" ht="15.6">
      <c r="A556" s="322">
        <v>45990</v>
      </c>
      <c r="B556" s="219" t="s">
        <v>4967</v>
      </c>
      <c r="C556" s="219" t="s">
        <v>172</v>
      </c>
      <c r="D556" s="219" t="s">
        <v>119</v>
      </c>
      <c r="E556" s="242"/>
      <c r="F556" s="242">
        <v>500</v>
      </c>
      <c r="G556" s="180"/>
      <c r="H556" s="204">
        <f t="shared" si="11"/>
        <v>-15000</v>
      </c>
      <c r="I556" s="219" t="s">
        <v>321</v>
      </c>
      <c r="J556" s="219" t="s">
        <v>4314</v>
      </c>
      <c r="K556" s="183"/>
    </row>
    <row r="557" spans="1:11" ht="15.6">
      <c r="A557" s="322">
        <v>45990</v>
      </c>
      <c r="B557" s="219" t="s">
        <v>2932</v>
      </c>
      <c r="C557" s="219" t="s">
        <v>366</v>
      </c>
      <c r="D557" s="219" t="s">
        <v>119</v>
      </c>
      <c r="E557" s="242"/>
      <c r="F557" s="242">
        <v>1500</v>
      </c>
      <c r="G557" s="180"/>
      <c r="H557" s="204">
        <f t="shared" si="11"/>
        <v>-16500</v>
      </c>
      <c r="I557" s="219" t="s">
        <v>321</v>
      </c>
      <c r="J557" s="219" t="s">
        <v>4321</v>
      </c>
      <c r="K557" s="183"/>
    </row>
    <row r="558" spans="1:11" ht="15.6">
      <c r="A558" s="322">
        <v>45990</v>
      </c>
      <c r="B558" s="219" t="s">
        <v>4967</v>
      </c>
      <c r="C558" s="219" t="s">
        <v>172</v>
      </c>
      <c r="D558" s="219" t="s">
        <v>119</v>
      </c>
      <c r="E558" s="242"/>
      <c r="F558" s="242">
        <v>500</v>
      </c>
      <c r="G558" s="180"/>
      <c r="H558" s="204">
        <f t="shared" si="11"/>
        <v>-17000</v>
      </c>
      <c r="I558" s="219" t="s">
        <v>321</v>
      </c>
      <c r="J558" s="219" t="s">
        <v>4314</v>
      </c>
      <c r="K558" s="183"/>
    </row>
    <row r="559" spans="1:11" ht="15.6">
      <c r="A559" s="322">
        <v>45990</v>
      </c>
      <c r="B559" s="219" t="s">
        <v>4967</v>
      </c>
      <c r="C559" s="219" t="s">
        <v>172</v>
      </c>
      <c r="D559" s="219" t="s">
        <v>119</v>
      </c>
      <c r="E559" s="242"/>
      <c r="F559" s="242">
        <v>500</v>
      </c>
      <c r="G559" s="180"/>
      <c r="H559" s="204">
        <f t="shared" si="11"/>
        <v>-17500</v>
      </c>
      <c r="I559" s="219" t="s">
        <v>321</v>
      </c>
      <c r="J559" s="219" t="s">
        <v>4314</v>
      </c>
      <c r="K559" s="183"/>
    </row>
    <row r="560" spans="1:11" ht="15.6">
      <c r="A560" s="322">
        <v>45991</v>
      </c>
      <c r="B560" s="219" t="s">
        <v>4751</v>
      </c>
      <c r="C560" s="219" t="s">
        <v>2394</v>
      </c>
      <c r="D560" s="219" t="s">
        <v>119</v>
      </c>
      <c r="E560" s="242"/>
      <c r="F560" s="242">
        <v>30000</v>
      </c>
      <c r="G560" s="180"/>
      <c r="H560" s="204">
        <f t="shared" si="11"/>
        <v>-47500</v>
      </c>
      <c r="I560" s="219" t="s">
        <v>321</v>
      </c>
      <c r="J560" s="125" t="s">
        <v>4331</v>
      </c>
      <c r="K560" s="183"/>
    </row>
    <row r="561" spans="1:11" ht="15.6">
      <c r="A561" s="322">
        <v>45991</v>
      </c>
      <c r="B561" s="219" t="s">
        <v>4773</v>
      </c>
      <c r="C561" s="219" t="s">
        <v>172</v>
      </c>
      <c r="D561" s="219" t="s">
        <v>119</v>
      </c>
      <c r="E561" s="242"/>
      <c r="F561" s="242">
        <v>2000</v>
      </c>
      <c r="G561" s="180"/>
      <c r="H561" s="204">
        <f t="shared" si="11"/>
        <v>-49500</v>
      </c>
      <c r="I561" s="219" t="s">
        <v>321</v>
      </c>
      <c r="J561" s="125" t="s">
        <v>4332</v>
      </c>
      <c r="K561" s="183"/>
    </row>
    <row r="562" spans="1:11" ht="15.6">
      <c r="A562" s="322">
        <v>45991</v>
      </c>
      <c r="B562" s="219" t="s">
        <v>4967</v>
      </c>
      <c r="C562" s="219" t="s">
        <v>172</v>
      </c>
      <c r="D562" s="219" t="s">
        <v>119</v>
      </c>
      <c r="E562" s="242"/>
      <c r="F562" s="242">
        <v>500</v>
      </c>
      <c r="G562" s="180"/>
      <c r="H562" s="204">
        <f t="shared" si="11"/>
        <v>-50000</v>
      </c>
      <c r="I562" s="219" t="s">
        <v>321</v>
      </c>
      <c r="J562" s="219" t="s">
        <v>4314</v>
      </c>
      <c r="K562" s="183"/>
    </row>
    <row r="563" spans="1:11" ht="15.6">
      <c r="A563" s="322">
        <v>45991</v>
      </c>
      <c r="B563" s="219" t="s">
        <v>4967</v>
      </c>
      <c r="C563" s="219" t="s">
        <v>172</v>
      </c>
      <c r="D563" s="219" t="s">
        <v>119</v>
      </c>
      <c r="E563" s="242"/>
      <c r="F563" s="242">
        <v>1000</v>
      </c>
      <c r="G563" s="180"/>
      <c r="H563" s="204">
        <f t="shared" si="11"/>
        <v>-51000</v>
      </c>
      <c r="I563" s="219" t="s">
        <v>321</v>
      </c>
      <c r="J563" s="219" t="s">
        <v>4314</v>
      </c>
      <c r="K563" s="183"/>
    </row>
    <row r="564" spans="1:11" ht="15.6">
      <c r="A564" s="322">
        <v>45991</v>
      </c>
      <c r="B564" s="219" t="s">
        <v>4967</v>
      </c>
      <c r="C564" s="219" t="s">
        <v>172</v>
      </c>
      <c r="D564" s="219" t="s">
        <v>119</v>
      </c>
      <c r="E564" s="242"/>
      <c r="F564" s="242">
        <v>500</v>
      </c>
      <c r="G564" s="180"/>
      <c r="H564" s="204">
        <f t="shared" si="11"/>
        <v>-51500</v>
      </c>
      <c r="I564" s="219" t="s">
        <v>321</v>
      </c>
      <c r="J564" s="219" t="s">
        <v>4314</v>
      </c>
      <c r="K564" s="183"/>
    </row>
    <row r="565" spans="1:11" ht="15.6">
      <c r="A565" s="322">
        <v>45991</v>
      </c>
      <c r="B565" s="219" t="s">
        <v>2932</v>
      </c>
      <c r="C565" s="219" t="s">
        <v>366</v>
      </c>
      <c r="D565" s="219" t="s">
        <v>119</v>
      </c>
      <c r="E565" s="242"/>
      <c r="F565" s="242">
        <v>1500</v>
      </c>
      <c r="G565" s="180"/>
      <c r="H565" s="204">
        <f t="shared" si="11"/>
        <v>-53000</v>
      </c>
      <c r="I565" s="219" t="s">
        <v>321</v>
      </c>
      <c r="J565" s="219" t="s">
        <v>4321</v>
      </c>
      <c r="K565" s="183"/>
    </row>
    <row r="566" spans="1:11" ht="15.6">
      <c r="A566" s="322">
        <v>45991</v>
      </c>
      <c r="B566" s="219" t="s">
        <v>4967</v>
      </c>
      <c r="C566" s="219" t="s">
        <v>172</v>
      </c>
      <c r="D566" s="219" t="s">
        <v>119</v>
      </c>
      <c r="E566" s="242"/>
      <c r="F566" s="242">
        <v>500</v>
      </c>
      <c r="G566" s="180"/>
      <c r="H566" s="204">
        <f t="shared" si="11"/>
        <v>-53500</v>
      </c>
      <c r="I566" s="219" t="s">
        <v>321</v>
      </c>
      <c r="J566" s="219" t="s">
        <v>4314</v>
      </c>
      <c r="K566" s="183"/>
    </row>
    <row r="567" spans="1:11">
      <c r="A567" s="206"/>
      <c r="B567" s="202"/>
      <c r="C567" s="202"/>
      <c r="D567" s="202"/>
      <c r="E567" s="207">
        <f>SUM(E483:E566)</f>
        <v>264000</v>
      </c>
      <c r="F567" s="207">
        <f>SUM(F483:F566)</f>
        <v>320500</v>
      </c>
      <c r="G567" s="207"/>
      <c r="H567" s="234">
        <f>H482+E567-F567</f>
        <v>-53500</v>
      </c>
      <c r="I567" s="202"/>
      <c r="J567" s="202"/>
      <c r="K567" s="202"/>
    </row>
    <row r="568" spans="1:11" ht="15.6">
      <c r="A568" s="185"/>
      <c r="B568" s="183"/>
      <c r="C568" s="186" t="s">
        <v>456</v>
      </c>
      <c r="D568" s="183"/>
      <c r="E568" s="187"/>
      <c r="F568" s="187"/>
      <c r="G568" s="187"/>
      <c r="H568" s="188"/>
      <c r="I568" s="183"/>
      <c r="J568" s="183"/>
      <c r="K568" s="183"/>
    </row>
    <row r="569" spans="1:11" ht="15.6">
      <c r="A569" s="185"/>
      <c r="B569" s="183"/>
      <c r="C569" s="183"/>
      <c r="D569" s="183"/>
      <c r="E569" s="187"/>
      <c r="F569" s="187"/>
      <c r="G569" s="187"/>
      <c r="H569" s="188"/>
      <c r="I569" s="183"/>
      <c r="J569" s="183"/>
      <c r="K569" s="183"/>
    </row>
    <row r="570" spans="1:11" ht="15.6">
      <c r="A570" s="189" t="s">
        <v>0</v>
      </c>
      <c r="B570" s="190" t="s">
        <v>443</v>
      </c>
      <c r="C570" s="190" t="s">
        <v>444</v>
      </c>
      <c r="D570" s="190" t="s">
        <v>445</v>
      </c>
      <c r="E570" s="191" t="s">
        <v>446</v>
      </c>
      <c r="F570" s="191" t="s">
        <v>447</v>
      </c>
      <c r="G570" s="191"/>
      <c r="H570" s="192" t="s">
        <v>30</v>
      </c>
      <c r="I570" s="190" t="s">
        <v>448</v>
      </c>
      <c r="J570" s="190" t="s">
        <v>449</v>
      </c>
      <c r="K570" s="193"/>
    </row>
    <row r="571" spans="1:11" ht="15.6">
      <c r="A571" s="144">
        <v>45962</v>
      </c>
      <c r="B571" s="177" t="s">
        <v>4722</v>
      </c>
      <c r="C571" s="177"/>
      <c r="D571" s="177"/>
      <c r="E571" s="180"/>
      <c r="F571" s="180"/>
      <c r="G571" s="180"/>
      <c r="H571" s="208">
        <v>5450</v>
      </c>
      <c r="I571" s="177" t="s">
        <v>188</v>
      </c>
      <c r="J571" s="177"/>
      <c r="K571" s="183"/>
    </row>
    <row r="572" spans="1:11" ht="15.6">
      <c r="A572" s="322">
        <v>45964</v>
      </c>
      <c r="B572" s="219" t="s">
        <v>2998</v>
      </c>
      <c r="C572" s="219" t="s">
        <v>172</v>
      </c>
      <c r="D572" s="219" t="s">
        <v>115</v>
      </c>
      <c r="E572" s="487"/>
      <c r="F572" s="488">
        <v>500</v>
      </c>
      <c r="G572" s="218"/>
      <c r="H572" s="221">
        <f t="shared" ref="H572:H627" si="12">+H571+E572-F572</f>
        <v>4950</v>
      </c>
      <c r="I572" s="219" t="s">
        <v>188</v>
      </c>
      <c r="J572" s="219" t="s">
        <v>4359</v>
      </c>
      <c r="K572" s="183"/>
    </row>
    <row r="573" spans="1:11" ht="15.6">
      <c r="A573" s="322">
        <v>45964</v>
      </c>
      <c r="B573" s="219" t="s">
        <v>3000</v>
      </c>
      <c r="C573" s="219" t="s">
        <v>172</v>
      </c>
      <c r="D573" s="219" t="s">
        <v>115</v>
      </c>
      <c r="E573" s="487"/>
      <c r="F573" s="488">
        <v>500</v>
      </c>
      <c r="G573" s="218"/>
      <c r="H573" s="221">
        <f t="shared" si="12"/>
        <v>4450</v>
      </c>
      <c r="I573" s="219" t="s">
        <v>188</v>
      </c>
      <c r="J573" s="219" t="s">
        <v>4359</v>
      </c>
      <c r="K573" s="183"/>
    </row>
    <row r="574" spans="1:11" ht="15.6">
      <c r="A574" s="342">
        <v>45964</v>
      </c>
      <c r="B574" s="219" t="s">
        <v>4333</v>
      </c>
      <c r="C574" s="179" t="s">
        <v>172</v>
      </c>
      <c r="D574" s="219" t="s">
        <v>115</v>
      </c>
      <c r="E574" s="316">
        <v>12000</v>
      </c>
      <c r="F574" s="488"/>
      <c r="G574" s="218"/>
      <c r="H574" s="221">
        <f t="shared" si="12"/>
        <v>16450</v>
      </c>
      <c r="I574" s="219" t="s">
        <v>188</v>
      </c>
      <c r="J574" s="179" t="s">
        <v>4360</v>
      </c>
      <c r="K574" s="183"/>
    </row>
    <row r="575" spans="1:11" ht="15.6">
      <c r="A575" s="342">
        <v>45964</v>
      </c>
      <c r="B575" s="219" t="s">
        <v>4334</v>
      </c>
      <c r="C575" s="179" t="s">
        <v>175</v>
      </c>
      <c r="D575" s="219" t="s">
        <v>115</v>
      </c>
      <c r="E575" s="316">
        <v>100000</v>
      </c>
      <c r="F575" s="488"/>
      <c r="G575" s="218"/>
      <c r="H575" s="221">
        <f t="shared" si="12"/>
        <v>116450</v>
      </c>
      <c r="I575" s="219" t="s">
        <v>188</v>
      </c>
      <c r="J575" s="179" t="s">
        <v>4361</v>
      </c>
      <c r="K575" s="183"/>
    </row>
    <row r="576" spans="1:11" ht="15.6">
      <c r="A576" s="342">
        <v>45964</v>
      </c>
      <c r="B576" s="179" t="s">
        <v>4335</v>
      </c>
      <c r="C576" s="219" t="s">
        <v>180</v>
      </c>
      <c r="D576" s="219" t="s">
        <v>116</v>
      </c>
      <c r="E576" s="316">
        <v>10080</v>
      </c>
      <c r="F576" s="488"/>
      <c r="G576" s="218"/>
      <c r="H576" s="221">
        <f t="shared" si="12"/>
        <v>126530</v>
      </c>
      <c r="I576" s="219" t="s">
        <v>188</v>
      </c>
      <c r="J576" s="179" t="s">
        <v>4362</v>
      </c>
      <c r="K576" s="183"/>
    </row>
    <row r="577" spans="1:11" ht="15.6">
      <c r="A577" s="342">
        <v>45964</v>
      </c>
      <c r="B577" s="219" t="s">
        <v>4333</v>
      </c>
      <c r="C577" s="179" t="s">
        <v>172</v>
      </c>
      <c r="D577" s="219" t="s">
        <v>115</v>
      </c>
      <c r="E577" s="487"/>
      <c r="F577" s="316">
        <v>12000</v>
      </c>
      <c r="G577" s="218"/>
      <c r="H577" s="221">
        <f t="shared" si="12"/>
        <v>114530</v>
      </c>
      <c r="I577" s="219" t="s">
        <v>188</v>
      </c>
      <c r="J577" s="179" t="s">
        <v>4360</v>
      </c>
      <c r="K577" s="183"/>
    </row>
    <row r="578" spans="1:11" ht="15.6">
      <c r="A578" s="342">
        <v>45964</v>
      </c>
      <c r="B578" s="219" t="s">
        <v>4334</v>
      </c>
      <c r="C578" s="179" t="s">
        <v>175</v>
      </c>
      <c r="D578" s="219" t="s">
        <v>115</v>
      </c>
      <c r="E578" s="487"/>
      <c r="F578" s="316">
        <v>100000</v>
      </c>
      <c r="G578" s="218"/>
      <c r="H578" s="221">
        <f t="shared" si="12"/>
        <v>14530</v>
      </c>
      <c r="I578" s="219" t="s">
        <v>188</v>
      </c>
      <c r="J578" s="179" t="s">
        <v>4361</v>
      </c>
      <c r="K578" s="183"/>
    </row>
    <row r="579" spans="1:11" ht="15.6">
      <c r="A579" s="342">
        <v>45964</v>
      </c>
      <c r="B579" s="179" t="s">
        <v>4335</v>
      </c>
      <c r="C579" s="219" t="s">
        <v>180</v>
      </c>
      <c r="D579" s="219" t="s">
        <v>116</v>
      </c>
      <c r="E579" s="487"/>
      <c r="F579" s="316">
        <v>10080</v>
      </c>
      <c r="G579" s="218"/>
      <c r="H579" s="221">
        <f t="shared" si="12"/>
        <v>4450</v>
      </c>
      <c r="I579" s="219" t="s">
        <v>188</v>
      </c>
      <c r="J579" s="179" t="s">
        <v>4362</v>
      </c>
      <c r="K579" s="183"/>
    </row>
    <row r="580" spans="1:11" ht="15.6">
      <c r="A580" s="322">
        <v>45964</v>
      </c>
      <c r="B580" s="179" t="s">
        <v>4336</v>
      </c>
      <c r="C580" s="179" t="s">
        <v>150</v>
      </c>
      <c r="D580" s="179" t="s">
        <v>115</v>
      </c>
      <c r="E580" s="487">
        <v>7500</v>
      </c>
      <c r="F580" s="488"/>
      <c r="G580" s="218"/>
      <c r="H580" s="221">
        <f t="shared" si="12"/>
        <v>11950</v>
      </c>
      <c r="I580" s="219" t="s">
        <v>188</v>
      </c>
      <c r="J580" s="219" t="s">
        <v>4363</v>
      </c>
      <c r="K580" s="183"/>
    </row>
    <row r="581" spans="1:11" ht="15.6">
      <c r="A581" s="322">
        <v>45964</v>
      </c>
      <c r="B581" s="179" t="s">
        <v>4336</v>
      </c>
      <c r="C581" s="179" t="s">
        <v>150</v>
      </c>
      <c r="D581" s="179" t="s">
        <v>115</v>
      </c>
      <c r="E581" s="487"/>
      <c r="F581" s="488">
        <v>7500</v>
      </c>
      <c r="G581" s="218"/>
      <c r="H581" s="221">
        <f t="shared" si="12"/>
        <v>4450</v>
      </c>
      <c r="I581" s="219" t="s">
        <v>188</v>
      </c>
      <c r="J581" s="219" t="s">
        <v>4363</v>
      </c>
      <c r="K581" s="183"/>
    </row>
    <row r="582" spans="1:11" ht="15.6">
      <c r="A582" s="322">
        <v>45965</v>
      </c>
      <c r="B582" s="219" t="s">
        <v>4337</v>
      </c>
      <c r="C582" s="219" t="s">
        <v>172</v>
      </c>
      <c r="D582" s="219" t="s">
        <v>115</v>
      </c>
      <c r="E582" s="487"/>
      <c r="F582" s="488">
        <v>2000</v>
      </c>
      <c r="G582" s="218"/>
      <c r="H582" s="221">
        <f t="shared" si="12"/>
        <v>2450</v>
      </c>
      <c r="I582" s="219" t="s">
        <v>188</v>
      </c>
      <c r="J582" s="219" t="s">
        <v>4359</v>
      </c>
      <c r="K582" s="183"/>
    </row>
    <row r="583" spans="1:11" ht="15.6">
      <c r="A583" s="322">
        <v>45965</v>
      </c>
      <c r="B583" s="219" t="s">
        <v>4338</v>
      </c>
      <c r="C583" s="219" t="s">
        <v>172</v>
      </c>
      <c r="D583" s="219" t="s">
        <v>115</v>
      </c>
      <c r="E583" s="487"/>
      <c r="F583" s="488">
        <v>2000</v>
      </c>
      <c r="G583" s="218"/>
      <c r="H583" s="221">
        <f t="shared" si="12"/>
        <v>450</v>
      </c>
      <c r="I583" s="219" t="s">
        <v>188</v>
      </c>
      <c r="J583" s="219" t="s">
        <v>4359</v>
      </c>
      <c r="K583" s="183"/>
    </row>
    <row r="584" spans="1:11" ht="15.6">
      <c r="A584" s="342">
        <v>45965</v>
      </c>
      <c r="B584" s="219" t="s">
        <v>3007</v>
      </c>
      <c r="C584" s="219" t="s">
        <v>170</v>
      </c>
      <c r="D584" s="219" t="s">
        <v>116</v>
      </c>
      <c r="E584" s="316">
        <v>62500</v>
      </c>
      <c r="F584" s="488"/>
      <c r="G584" s="218"/>
      <c r="H584" s="221">
        <f t="shared" si="12"/>
        <v>62950</v>
      </c>
      <c r="I584" s="219" t="s">
        <v>188</v>
      </c>
      <c r="J584" s="179" t="s">
        <v>4364</v>
      </c>
      <c r="K584" s="183"/>
    </row>
    <row r="585" spans="1:11" ht="15.6">
      <c r="A585" s="342">
        <v>45965</v>
      </c>
      <c r="B585" s="219" t="s">
        <v>3007</v>
      </c>
      <c r="C585" s="219" t="s">
        <v>170</v>
      </c>
      <c r="D585" s="219" t="s">
        <v>116</v>
      </c>
      <c r="E585" s="487"/>
      <c r="F585" s="316">
        <v>62500</v>
      </c>
      <c r="G585" s="218"/>
      <c r="H585" s="221">
        <f t="shared" si="12"/>
        <v>450</v>
      </c>
      <c r="I585" s="219" t="s">
        <v>188</v>
      </c>
      <c r="J585" s="179" t="s">
        <v>4364</v>
      </c>
      <c r="K585" s="183"/>
    </row>
    <row r="586" spans="1:11" ht="15.6">
      <c r="A586" s="342">
        <v>45966</v>
      </c>
      <c r="B586" s="179" t="s">
        <v>4339</v>
      </c>
      <c r="C586" s="219" t="s">
        <v>263</v>
      </c>
      <c r="D586" s="219" t="s">
        <v>2417</v>
      </c>
      <c r="E586" s="316">
        <v>25000</v>
      </c>
      <c r="F586" s="488"/>
      <c r="G586" s="218"/>
      <c r="H586" s="221">
        <f t="shared" si="12"/>
        <v>25450</v>
      </c>
      <c r="I586" s="219" t="s">
        <v>188</v>
      </c>
      <c r="J586" s="179" t="s">
        <v>4365</v>
      </c>
      <c r="K586" s="183"/>
    </row>
    <row r="587" spans="1:11" ht="15.6">
      <c r="A587" s="342">
        <v>45966</v>
      </c>
      <c r="B587" s="179" t="s">
        <v>4339</v>
      </c>
      <c r="C587" s="219" t="s">
        <v>263</v>
      </c>
      <c r="D587" s="219" t="s">
        <v>2417</v>
      </c>
      <c r="E587" s="487"/>
      <c r="F587" s="316">
        <v>25000</v>
      </c>
      <c r="G587" s="218"/>
      <c r="H587" s="221">
        <f t="shared" si="12"/>
        <v>450</v>
      </c>
      <c r="I587" s="219" t="s">
        <v>188</v>
      </c>
      <c r="J587" s="179" t="s">
        <v>4365</v>
      </c>
      <c r="K587" s="183"/>
    </row>
    <row r="588" spans="1:11" ht="15.6">
      <c r="A588" s="322">
        <v>45969</v>
      </c>
      <c r="B588" s="219" t="s">
        <v>3551</v>
      </c>
      <c r="C588" s="219" t="s">
        <v>172</v>
      </c>
      <c r="D588" s="219" t="s">
        <v>115</v>
      </c>
      <c r="E588" s="487"/>
      <c r="F588" s="488">
        <v>1500</v>
      </c>
      <c r="G588" s="218"/>
      <c r="H588" s="221">
        <f t="shared" si="12"/>
        <v>-1050</v>
      </c>
      <c r="I588" s="219" t="s">
        <v>188</v>
      </c>
      <c r="J588" s="219" t="s">
        <v>4359</v>
      </c>
      <c r="K588" s="183"/>
    </row>
    <row r="589" spans="1:11" ht="15.6">
      <c r="A589" s="322">
        <v>45969</v>
      </c>
      <c r="B589" s="219" t="s">
        <v>2843</v>
      </c>
      <c r="C589" s="219" t="s">
        <v>172</v>
      </c>
      <c r="D589" s="219" t="s">
        <v>115</v>
      </c>
      <c r="E589" s="487"/>
      <c r="F589" s="488">
        <v>1500</v>
      </c>
      <c r="G589" s="218"/>
      <c r="H589" s="221">
        <f t="shared" si="12"/>
        <v>-2550</v>
      </c>
      <c r="I589" s="219" t="s">
        <v>188</v>
      </c>
      <c r="J589" s="219" t="s">
        <v>4359</v>
      </c>
      <c r="K589" s="183"/>
    </row>
    <row r="590" spans="1:11" ht="15.6">
      <c r="A590" s="322">
        <v>45971</v>
      </c>
      <c r="B590" s="219" t="s">
        <v>3561</v>
      </c>
      <c r="C590" s="487" t="s">
        <v>122</v>
      </c>
      <c r="D590" s="219" t="s">
        <v>115</v>
      </c>
      <c r="E590" s="487">
        <v>84000</v>
      </c>
      <c r="F590" s="488"/>
      <c r="G590" s="218"/>
      <c r="H590" s="221">
        <f t="shared" si="12"/>
        <v>81450</v>
      </c>
      <c r="I590" s="219" t="s">
        <v>188</v>
      </c>
      <c r="J590" s="219" t="s">
        <v>4366</v>
      </c>
      <c r="K590" s="183"/>
    </row>
    <row r="591" spans="1:11" ht="15.6">
      <c r="A591" s="322">
        <v>45971</v>
      </c>
      <c r="B591" s="219" t="s">
        <v>1313</v>
      </c>
      <c r="C591" s="219" t="s">
        <v>172</v>
      </c>
      <c r="D591" s="219" t="s">
        <v>115</v>
      </c>
      <c r="E591" s="487"/>
      <c r="F591" s="488">
        <v>8000</v>
      </c>
      <c r="G591" s="218"/>
      <c r="H591" s="221">
        <f t="shared" si="12"/>
        <v>73450</v>
      </c>
      <c r="I591" s="219" t="s">
        <v>188</v>
      </c>
      <c r="J591" s="219" t="s">
        <v>4367</v>
      </c>
      <c r="K591" s="183"/>
    </row>
    <row r="592" spans="1:11" ht="15.6">
      <c r="A592" s="322">
        <v>45971</v>
      </c>
      <c r="B592" s="219" t="s">
        <v>2843</v>
      </c>
      <c r="C592" s="219" t="s">
        <v>172</v>
      </c>
      <c r="D592" s="219" t="s">
        <v>115</v>
      </c>
      <c r="E592" s="487"/>
      <c r="F592" s="488">
        <v>1000</v>
      </c>
      <c r="G592" s="218"/>
      <c r="H592" s="221">
        <f t="shared" si="12"/>
        <v>72450</v>
      </c>
      <c r="I592" s="219" t="s">
        <v>188</v>
      </c>
      <c r="J592" s="219" t="s">
        <v>4359</v>
      </c>
      <c r="K592" s="183"/>
    </row>
    <row r="593" spans="1:11" ht="15.6">
      <c r="A593" s="322">
        <v>45971</v>
      </c>
      <c r="B593" s="179" t="s">
        <v>4340</v>
      </c>
      <c r="C593" s="179" t="s">
        <v>150</v>
      </c>
      <c r="D593" s="179" t="s">
        <v>115</v>
      </c>
      <c r="E593" s="487">
        <v>7500</v>
      </c>
      <c r="F593" s="488"/>
      <c r="G593" s="218"/>
      <c r="H593" s="221">
        <f t="shared" si="12"/>
        <v>79950</v>
      </c>
      <c r="I593" s="219" t="s">
        <v>188</v>
      </c>
      <c r="J593" s="219" t="s">
        <v>4368</v>
      </c>
      <c r="K593" s="183"/>
    </row>
    <row r="594" spans="1:11" ht="15.6">
      <c r="A594" s="322">
        <v>45971</v>
      </c>
      <c r="B594" s="179" t="s">
        <v>4340</v>
      </c>
      <c r="C594" s="179" t="s">
        <v>150</v>
      </c>
      <c r="D594" s="179" t="s">
        <v>115</v>
      </c>
      <c r="E594" s="487"/>
      <c r="F594" s="488">
        <v>7500</v>
      </c>
      <c r="G594" s="218"/>
      <c r="H594" s="221">
        <f t="shared" si="12"/>
        <v>72450</v>
      </c>
      <c r="I594" s="219" t="s">
        <v>188</v>
      </c>
      <c r="J594" s="219" t="s">
        <v>4368</v>
      </c>
      <c r="K594" s="183"/>
    </row>
    <row r="595" spans="1:11" ht="15.6">
      <c r="A595" s="322">
        <v>45972</v>
      </c>
      <c r="B595" s="219" t="s">
        <v>4341</v>
      </c>
      <c r="C595" s="219" t="s">
        <v>2394</v>
      </c>
      <c r="D595" s="219" t="s">
        <v>115</v>
      </c>
      <c r="E595" s="487"/>
      <c r="F595" s="488">
        <v>20000</v>
      </c>
      <c r="G595" s="218"/>
      <c r="H595" s="221">
        <f t="shared" si="12"/>
        <v>52450</v>
      </c>
      <c r="I595" s="219" t="s">
        <v>188</v>
      </c>
      <c r="J595" s="219" t="s">
        <v>4369</v>
      </c>
      <c r="K595" s="183"/>
    </row>
    <row r="596" spans="1:11" ht="15.6">
      <c r="A596" s="322">
        <v>45972</v>
      </c>
      <c r="B596" s="219" t="s">
        <v>3566</v>
      </c>
      <c r="C596" s="219" t="s">
        <v>172</v>
      </c>
      <c r="D596" s="219" t="s">
        <v>115</v>
      </c>
      <c r="E596" s="487"/>
      <c r="F596" s="488">
        <v>1000</v>
      </c>
      <c r="G596" s="218"/>
      <c r="H596" s="221">
        <f t="shared" si="12"/>
        <v>51450</v>
      </c>
      <c r="I596" s="219" t="s">
        <v>188</v>
      </c>
      <c r="J596" s="219" t="s">
        <v>4359</v>
      </c>
      <c r="K596" s="183"/>
    </row>
    <row r="597" spans="1:11" ht="15.6">
      <c r="A597" s="322">
        <v>45972</v>
      </c>
      <c r="B597" s="219" t="s">
        <v>4342</v>
      </c>
      <c r="C597" s="219" t="s">
        <v>172</v>
      </c>
      <c r="D597" s="219" t="s">
        <v>115</v>
      </c>
      <c r="E597" s="487"/>
      <c r="F597" s="488">
        <v>500</v>
      </c>
      <c r="G597" s="218"/>
      <c r="H597" s="221">
        <f t="shared" si="12"/>
        <v>50950</v>
      </c>
      <c r="I597" s="219" t="s">
        <v>188</v>
      </c>
      <c r="J597" s="219" t="s">
        <v>4359</v>
      </c>
      <c r="K597" s="183"/>
    </row>
    <row r="598" spans="1:11" ht="15.6">
      <c r="A598" s="322">
        <v>45972</v>
      </c>
      <c r="B598" s="219" t="s">
        <v>4343</v>
      </c>
      <c r="C598" s="219" t="s">
        <v>172</v>
      </c>
      <c r="D598" s="219" t="s">
        <v>115</v>
      </c>
      <c r="E598" s="487"/>
      <c r="F598" s="488">
        <v>500</v>
      </c>
      <c r="G598" s="218"/>
      <c r="H598" s="221">
        <f t="shared" si="12"/>
        <v>50450</v>
      </c>
      <c r="I598" s="219" t="s">
        <v>188</v>
      </c>
      <c r="J598" s="219" t="s">
        <v>4359</v>
      </c>
      <c r="K598" s="183"/>
    </row>
    <row r="599" spans="1:11" ht="15.6">
      <c r="A599" s="322">
        <v>45972</v>
      </c>
      <c r="B599" s="219" t="s">
        <v>4344</v>
      </c>
      <c r="C599" s="219" t="s">
        <v>3317</v>
      </c>
      <c r="D599" s="219" t="s">
        <v>115</v>
      </c>
      <c r="E599" s="487"/>
      <c r="F599" s="488">
        <v>3000</v>
      </c>
      <c r="G599" s="218"/>
      <c r="H599" s="221">
        <f t="shared" si="12"/>
        <v>47450</v>
      </c>
      <c r="I599" s="219" t="s">
        <v>188</v>
      </c>
      <c r="J599" s="219" t="s">
        <v>4370</v>
      </c>
      <c r="K599" s="183"/>
    </row>
    <row r="600" spans="1:11" ht="15.6">
      <c r="A600" s="322">
        <v>45972</v>
      </c>
      <c r="B600" s="219" t="s">
        <v>4345</v>
      </c>
      <c r="C600" s="219" t="s">
        <v>172</v>
      </c>
      <c r="D600" s="219" t="s">
        <v>115</v>
      </c>
      <c r="E600" s="487"/>
      <c r="F600" s="488">
        <v>250</v>
      </c>
      <c r="G600" s="218"/>
      <c r="H600" s="221">
        <f t="shared" si="12"/>
        <v>47200</v>
      </c>
      <c r="I600" s="219" t="s">
        <v>188</v>
      </c>
      <c r="J600" s="219" t="s">
        <v>4359</v>
      </c>
      <c r="K600" s="183"/>
    </row>
    <row r="601" spans="1:11" ht="15.6">
      <c r="A601" s="322">
        <v>45972</v>
      </c>
      <c r="B601" s="219" t="s">
        <v>4346</v>
      </c>
      <c r="C601" s="219" t="s">
        <v>172</v>
      </c>
      <c r="D601" s="219" t="s">
        <v>115</v>
      </c>
      <c r="E601" s="487"/>
      <c r="F601" s="488">
        <v>500</v>
      </c>
      <c r="G601" s="218"/>
      <c r="H601" s="221">
        <f t="shared" si="12"/>
        <v>46700</v>
      </c>
      <c r="I601" s="219" t="s">
        <v>188</v>
      </c>
      <c r="J601" s="219" t="s">
        <v>4359</v>
      </c>
      <c r="K601" s="183"/>
    </row>
    <row r="602" spans="1:11" ht="15.6">
      <c r="A602" s="322">
        <v>45973</v>
      </c>
      <c r="B602" s="219" t="s">
        <v>4347</v>
      </c>
      <c r="C602" s="219" t="s">
        <v>172</v>
      </c>
      <c r="D602" s="219" t="s">
        <v>115</v>
      </c>
      <c r="E602" s="487"/>
      <c r="F602" s="488">
        <v>500</v>
      </c>
      <c r="G602" s="218"/>
      <c r="H602" s="221">
        <f t="shared" si="12"/>
        <v>46200</v>
      </c>
      <c r="I602" s="219" t="s">
        <v>188</v>
      </c>
      <c r="J602" s="219" t="s">
        <v>4359</v>
      </c>
      <c r="K602" s="183"/>
    </row>
    <row r="603" spans="1:11" ht="15.6">
      <c r="A603" s="322">
        <v>45973</v>
      </c>
      <c r="B603" s="219" t="s">
        <v>4348</v>
      </c>
      <c r="C603" s="219" t="s">
        <v>3317</v>
      </c>
      <c r="D603" s="219" t="s">
        <v>115</v>
      </c>
      <c r="E603" s="487"/>
      <c r="F603" s="488">
        <v>3000</v>
      </c>
      <c r="G603" s="218"/>
      <c r="H603" s="221">
        <f t="shared" si="12"/>
        <v>43200</v>
      </c>
      <c r="I603" s="219" t="s">
        <v>188</v>
      </c>
      <c r="J603" s="219" t="s">
        <v>4370</v>
      </c>
      <c r="K603" s="183"/>
    </row>
    <row r="604" spans="1:11" ht="15.6">
      <c r="A604" s="322">
        <v>45973</v>
      </c>
      <c r="B604" s="219" t="s">
        <v>4349</v>
      </c>
      <c r="C604" s="219" t="s">
        <v>172</v>
      </c>
      <c r="D604" s="219" t="s">
        <v>115</v>
      </c>
      <c r="E604" s="487"/>
      <c r="F604" s="488">
        <v>250</v>
      </c>
      <c r="G604" s="218"/>
      <c r="H604" s="221">
        <f t="shared" si="12"/>
        <v>42950</v>
      </c>
      <c r="I604" s="219" t="s">
        <v>188</v>
      </c>
      <c r="J604" s="219" t="s">
        <v>4359</v>
      </c>
      <c r="K604" s="183"/>
    </row>
    <row r="605" spans="1:11" ht="15.6">
      <c r="A605" s="322">
        <v>45973</v>
      </c>
      <c r="B605" s="219" t="s">
        <v>4350</v>
      </c>
      <c r="C605" s="219" t="s">
        <v>172</v>
      </c>
      <c r="D605" s="219" t="s">
        <v>115</v>
      </c>
      <c r="E605" s="487"/>
      <c r="F605" s="488">
        <v>250</v>
      </c>
      <c r="G605" s="218"/>
      <c r="H605" s="221">
        <f t="shared" si="12"/>
        <v>42700</v>
      </c>
      <c r="I605" s="219" t="s">
        <v>188</v>
      </c>
      <c r="J605" s="219" t="s">
        <v>4359</v>
      </c>
      <c r="K605" s="183"/>
    </row>
    <row r="606" spans="1:11" ht="15.6">
      <c r="A606" s="322">
        <v>45973</v>
      </c>
      <c r="B606" s="219" t="s">
        <v>1313</v>
      </c>
      <c r="C606" s="219" t="s">
        <v>172</v>
      </c>
      <c r="D606" s="219" t="s">
        <v>115</v>
      </c>
      <c r="E606" s="487"/>
      <c r="F606" s="488">
        <v>7000</v>
      </c>
      <c r="G606" s="218"/>
      <c r="H606" s="221">
        <f t="shared" si="12"/>
        <v>35700</v>
      </c>
      <c r="I606" s="219" t="s">
        <v>188</v>
      </c>
      <c r="J606" s="219" t="s">
        <v>4371</v>
      </c>
      <c r="K606" s="183"/>
    </row>
    <row r="607" spans="1:11" ht="15.6">
      <c r="A607" s="322">
        <v>45973</v>
      </c>
      <c r="B607" s="219" t="s">
        <v>4342</v>
      </c>
      <c r="C607" s="219" t="s">
        <v>172</v>
      </c>
      <c r="D607" s="219" t="s">
        <v>115</v>
      </c>
      <c r="E607" s="487"/>
      <c r="F607" s="488">
        <v>500</v>
      </c>
      <c r="G607" s="218"/>
      <c r="H607" s="221">
        <f t="shared" si="12"/>
        <v>35200</v>
      </c>
      <c r="I607" s="219" t="s">
        <v>188</v>
      </c>
      <c r="J607" s="219" t="s">
        <v>4359</v>
      </c>
      <c r="K607" s="183"/>
    </row>
    <row r="608" spans="1:11" ht="15.6">
      <c r="A608" s="322">
        <v>45973</v>
      </c>
      <c r="B608" s="219" t="s">
        <v>4343</v>
      </c>
      <c r="C608" s="219" t="s">
        <v>172</v>
      </c>
      <c r="D608" s="219" t="s">
        <v>115</v>
      </c>
      <c r="E608" s="487"/>
      <c r="F608" s="488">
        <v>500</v>
      </c>
      <c r="G608" s="218"/>
      <c r="H608" s="221">
        <f t="shared" si="12"/>
        <v>34700</v>
      </c>
      <c r="I608" s="219" t="s">
        <v>188</v>
      </c>
      <c r="J608" s="219" t="s">
        <v>4359</v>
      </c>
      <c r="K608" s="183"/>
    </row>
    <row r="609" spans="1:11" ht="15.6">
      <c r="A609" s="322">
        <v>45973</v>
      </c>
      <c r="B609" s="219" t="s">
        <v>4351</v>
      </c>
      <c r="C609" s="219" t="s">
        <v>3317</v>
      </c>
      <c r="D609" s="219" t="s">
        <v>115</v>
      </c>
      <c r="E609" s="487"/>
      <c r="F609" s="488">
        <v>3000</v>
      </c>
      <c r="G609" s="218"/>
      <c r="H609" s="221">
        <f t="shared" si="12"/>
        <v>31700</v>
      </c>
      <c r="I609" s="219" t="s">
        <v>188</v>
      </c>
      <c r="J609" s="219" t="s">
        <v>4370</v>
      </c>
      <c r="K609" s="183"/>
    </row>
    <row r="610" spans="1:11" ht="15.6">
      <c r="A610" s="322">
        <v>45973</v>
      </c>
      <c r="B610" s="219" t="s">
        <v>4345</v>
      </c>
      <c r="C610" s="219" t="s">
        <v>172</v>
      </c>
      <c r="D610" s="219" t="s">
        <v>115</v>
      </c>
      <c r="E610" s="487"/>
      <c r="F610" s="488">
        <v>250</v>
      </c>
      <c r="G610" s="218"/>
      <c r="H610" s="221">
        <f t="shared" si="12"/>
        <v>31450</v>
      </c>
      <c r="I610" s="219" t="s">
        <v>188</v>
      </c>
      <c r="J610" s="219" t="s">
        <v>4359</v>
      </c>
      <c r="K610" s="183"/>
    </row>
    <row r="611" spans="1:11" ht="15.6">
      <c r="A611" s="322">
        <v>45973</v>
      </c>
      <c r="B611" s="219" t="s">
        <v>4352</v>
      </c>
      <c r="C611" s="219" t="s">
        <v>172</v>
      </c>
      <c r="D611" s="219" t="s">
        <v>115</v>
      </c>
      <c r="E611" s="487"/>
      <c r="F611" s="488">
        <v>500</v>
      </c>
      <c r="G611" s="218"/>
      <c r="H611" s="221">
        <f t="shared" si="12"/>
        <v>30950</v>
      </c>
      <c r="I611" s="219" t="s">
        <v>188</v>
      </c>
      <c r="J611" s="219" t="s">
        <v>4359</v>
      </c>
      <c r="K611" s="183"/>
    </row>
    <row r="612" spans="1:11" ht="15.6">
      <c r="A612" s="322">
        <v>45974</v>
      </c>
      <c r="B612" s="219" t="s">
        <v>4353</v>
      </c>
      <c r="C612" s="219" t="s">
        <v>2394</v>
      </c>
      <c r="D612" s="219" t="s">
        <v>115</v>
      </c>
      <c r="E612" s="487"/>
      <c r="F612" s="488">
        <v>30000</v>
      </c>
      <c r="G612" s="218"/>
      <c r="H612" s="221">
        <f t="shared" si="12"/>
        <v>950</v>
      </c>
      <c r="I612" s="219" t="s">
        <v>188</v>
      </c>
      <c r="J612" s="219" t="s">
        <v>4372</v>
      </c>
      <c r="K612" s="183"/>
    </row>
    <row r="613" spans="1:11" ht="15.6">
      <c r="A613" s="322">
        <v>45974</v>
      </c>
      <c r="B613" s="219" t="s">
        <v>4354</v>
      </c>
      <c r="C613" s="219" t="s">
        <v>172</v>
      </c>
      <c r="D613" s="219" t="s">
        <v>115</v>
      </c>
      <c r="E613" s="487"/>
      <c r="F613" s="488">
        <v>500</v>
      </c>
      <c r="G613" s="218"/>
      <c r="H613" s="221">
        <f t="shared" si="12"/>
        <v>450</v>
      </c>
      <c r="I613" s="219" t="s">
        <v>188</v>
      </c>
      <c r="J613" s="219" t="s">
        <v>4359</v>
      </c>
      <c r="K613" s="183"/>
    </row>
    <row r="614" spans="1:11" ht="15.6">
      <c r="A614" s="322">
        <v>45974</v>
      </c>
      <c r="B614" s="219" t="s">
        <v>4355</v>
      </c>
      <c r="C614" s="219" t="s">
        <v>172</v>
      </c>
      <c r="D614" s="219" t="s">
        <v>115</v>
      </c>
      <c r="E614" s="487"/>
      <c r="F614" s="488">
        <v>1000</v>
      </c>
      <c r="G614" s="218"/>
      <c r="H614" s="221">
        <f t="shared" si="12"/>
        <v>-550</v>
      </c>
      <c r="I614" s="219" t="s">
        <v>188</v>
      </c>
      <c r="J614" s="219" t="s">
        <v>4359</v>
      </c>
      <c r="K614" s="183"/>
    </row>
    <row r="615" spans="1:11" ht="15.6">
      <c r="A615" s="322">
        <v>45978</v>
      </c>
      <c r="B615" s="219" t="s">
        <v>2998</v>
      </c>
      <c r="C615" s="219" t="s">
        <v>172</v>
      </c>
      <c r="D615" s="219" t="s">
        <v>115</v>
      </c>
      <c r="E615" s="487"/>
      <c r="F615" s="488">
        <v>500</v>
      </c>
      <c r="G615" s="218"/>
      <c r="H615" s="221">
        <f t="shared" si="12"/>
        <v>-1050</v>
      </c>
      <c r="I615" s="219" t="s">
        <v>188</v>
      </c>
      <c r="J615" s="219" t="s">
        <v>4359</v>
      </c>
      <c r="K615" s="183"/>
    </row>
    <row r="616" spans="1:11" ht="15.6">
      <c r="A616" s="322">
        <v>45978</v>
      </c>
      <c r="B616" s="219" t="s">
        <v>3000</v>
      </c>
      <c r="C616" s="219" t="s">
        <v>172</v>
      </c>
      <c r="D616" s="219" t="s">
        <v>115</v>
      </c>
      <c r="E616" s="487"/>
      <c r="F616" s="488">
        <v>500</v>
      </c>
      <c r="G616" s="218"/>
      <c r="H616" s="221">
        <f t="shared" si="12"/>
        <v>-1550</v>
      </c>
      <c r="I616" s="219" t="s">
        <v>188</v>
      </c>
      <c r="J616" s="219" t="s">
        <v>4359</v>
      </c>
      <c r="K616" s="183"/>
    </row>
    <row r="617" spans="1:11" ht="15.6">
      <c r="A617" s="322">
        <v>45978</v>
      </c>
      <c r="B617" s="179" t="s">
        <v>4356</v>
      </c>
      <c r="C617" s="179" t="s">
        <v>150</v>
      </c>
      <c r="D617" s="179" t="s">
        <v>115</v>
      </c>
      <c r="E617" s="487">
        <v>7500</v>
      </c>
      <c r="F617" s="488"/>
      <c r="G617" s="218"/>
      <c r="H617" s="221">
        <f t="shared" si="12"/>
        <v>5950</v>
      </c>
      <c r="I617" s="219" t="s">
        <v>188</v>
      </c>
      <c r="J617" s="219" t="s">
        <v>4373</v>
      </c>
      <c r="K617" s="183"/>
    </row>
    <row r="618" spans="1:11" ht="15.6">
      <c r="A618" s="322">
        <v>45978</v>
      </c>
      <c r="B618" s="179" t="s">
        <v>4356</v>
      </c>
      <c r="C618" s="179" t="s">
        <v>150</v>
      </c>
      <c r="D618" s="179" t="s">
        <v>115</v>
      </c>
      <c r="E618" s="487"/>
      <c r="F618" s="488">
        <v>7500</v>
      </c>
      <c r="G618" s="218"/>
      <c r="H618" s="221">
        <f t="shared" si="12"/>
        <v>-1550</v>
      </c>
      <c r="I618" s="219" t="s">
        <v>188</v>
      </c>
      <c r="J618" s="219" t="s">
        <v>4373</v>
      </c>
      <c r="K618" s="183"/>
    </row>
    <row r="619" spans="1:11" ht="15.6">
      <c r="A619" s="342">
        <v>45978</v>
      </c>
      <c r="B619" s="179" t="s">
        <v>3633</v>
      </c>
      <c r="C619" s="219" t="s">
        <v>180</v>
      </c>
      <c r="D619" s="219" t="s">
        <v>116</v>
      </c>
      <c r="E619" s="316">
        <v>3000</v>
      </c>
      <c r="F619" s="488"/>
      <c r="G619" s="218"/>
      <c r="H619" s="221">
        <f t="shared" si="12"/>
        <v>1450</v>
      </c>
      <c r="I619" s="219" t="s">
        <v>188</v>
      </c>
      <c r="J619" s="179" t="s">
        <v>4374</v>
      </c>
      <c r="K619" s="183"/>
    </row>
    <row r="620" spans="1:11" ht="15.6">
      <c r="A620" s="342">
        <v>45978</v>
      </c>
      <c r="B620" s="179" t="s">
        <v>3633</v>
      </c>
      <c r="C620" s="219" t="s">
        <v>180</v>
      </c>
      <c r="D620" s="219" t="s">
        <v>116</v>
      </c>
      <c r="E620" s="487"/>
      <c r="F620" s="316">
        <v>3000</v>
      </c>
      <c r="G620" s="218"/>
      <c r="H620" s="221">
        <f t="shared" si="12"/>
        <v>-1550</v>
      </c>
      <c r="I620" s="219" t="s">
        <v>188</v>
      </c>
      <c r="J620" s="179" t="s">
        <v>4374</v>
      </c>
      <c r="K620" s="183"/>
    </row>
    <row r="621" spans="1:11" ht="15.6">
      <c r="A621" s="342">
        <v>45979</v>
      </c>
      <c r="B621" s="219" t="s">
        <v>3007</v>
      </c>
      <c r="C621" s="219" t="s">
        <v>170</v>
      </c>
      <c r="D621" s="219" t="s">
        <v>2245</v>
      </c>
      <c r="E621" s="316">
        <v>31250</v>
      </c>
      <c r="F621" s="488"/>
      <c r="G621" s="218"/>
      <c r="H621" s="221">
        <f t="shared" si="12"/>
        <v>29700</v>
      </c>
      <c r="I621" s="219" t="s">
        <v>188</v>
      </c>
      <c r="J621" s="179" t="s">
        <v>4375</v>
      </c>
      <c r="K621" s="183"/>
    </row>
    <row r="622" spans="1:11" ht="15.6">
      <c r="A622" s="342">
        <v>45979</v>
      </c>
      <c r="B622" s="219" t="s">
        <v>3007</v>
      </c>
      <c r="C622" s="219" t="s">
        <v>170</v>
      </c>
      <c r="D622" s="219" t="s">
        <v>116</v>
      </c>
      <c r="E622" s="487"/>
      <c r="F622" s="316">
        <v>31250</v>
      </c>
      <c r="G622" s="218"/>
      <c r="H622" s="221">
        <f t="shared" si="12"/>
        <v>-1550</v>
      </c>
      <c r="I622" s="219" t="s">
        <v>188</v>
      </c>
      <c r="J622" s="179" t="s">
        <v>4375</v>
      </c>
      <c r="K622" s="183"/>
    </row>
    <row r="623" spans="1:11" ht="15.6">
      <c r="A623" s="322">
        <v>45979</v>
      </c>
      <c r="B623" s="219" t="s">
        <v>3561</v>
      </c>
      <c r="C623" s="487" t="s">
        <v>122</v>
      </c>
      <c r="D623" s="219" t="s">
        <v>115</v>
      </c>
      <c r="E623" s="487">
        <v>10000</v>
      </c>
      <c r="F623" s="487"/>
      <c r="G623" s="218"/>
      <c r="H623" s="221">
        <f t="shared" si="12"/>
        <v>8450</v>
      </c>
      <c r="I623" s="219" t="s">
        <v>188</v>
      </c>
      <c r="J623" s="219" t="s">
        <v>4376</v>
      </c>
      <c r="K623" s="183"/>
    </row>
    <row r="624" spans="1:11" ht="15.6">
      <c r="A624" s="322">
        <v>45979</v>
      </c>
      <c r="B624" s="219" t="s">
        <v>3004</v>
      </c>
      <c r="C624" s="219" t="s">
        <v>172</v>
      </c>
      <c r="D624" s="219" t="s">
        <v>115</v>
      </c>
      <c r="E624" s="487"/>
      <c r="F624" s="488">
        <v>2000</v>
      </c>
      <c r="G624" s="218"/>
      <c r="H624" s="221">
        <f t="shared" si="12"/>
        <v>6450</v>
      </c>
      <c r="I624" s="219" t="s">
        <v>188</v>
      </c>
      <c r="J624" s="219" t="s">
        <v>4359</v>
      </c>
      <c r="K624" s="183"/>
    </row>
    <row r="625" spans="1:11" ht="15.6">
      <c r="A625" s="322">
        <v>45979</v>
      </c>
      <c r="B625" s="219" t="s">
        <v>2998</v>
      </c>
      <c r="C625" s="219" t="s">
        <v>172</v>
      </c>
      <c r="D625" s="219" t="s">
        <v>115</v>
      </c>
      <c r="E625" s="487"/>
      <c r="F625" s="488">
        <v>2000</v>
      </c>
      <c r="G625" s="218"/>
      <c r="H625" s="221">
        <f t="shared" si="12"/>
        <v>4450</v>
      </c>
      <c r="I625" s="219" t="s">
        <v>188</v>
      </c>
      <c r="J625" s="219" t="s">
        <v>4359</v>
      </c>
      <c r="K625" s="183"/>
    </row>
    <row r="626" spans="1:11" ht="15.6">
      <c r="A626" s="322">
        <v>45986</v>
      </c>
      <c r="B626" s="219" t="s">
        <v>4357</v>
      </c>
      <c r="C626" s="219" t="s">
        <v>172</v>
      </c>
      <c r="D626" s="219" t="s">
        <v>115</v>
      </c>
      <c r="E626" s="487"/>
      <c r="F626" s="488">
        <v>1000</v>
      </c>
      <c r="G626" s="218"/>
      <c r="H626" s="221">
        <f t="shared" si="12"/>
        <v>3450</v>
      </c>
      <c r="I626" s="219" t="s">
        <v>188</v>
      </c>
      <c r="J626" s="219" t="s">
        <v>4359</v>
      </c>
      <c r="K626" s="183"/>
    </row>
    <row r="627" spans="1:11" ht="15.6">
      <c r="A627" s="322">
        <v>45986</v>
      </c>
      <c r="B627" s="219" t="s">
        <v>4358</v>
      </c>
      <c r="C627" s="219" t="s">
        <v>172</v>
      </c>
      <c r="D627" s="219" t="s">
        <v>115</v>
      </c>
      <c r="E627" s="487"/>
      <c r="F627" s="488">
        <v>1000</v>
      </c>
      <c r="G627" s="218"/>
      <c r="H627" s="221">
        <f t="shared" si="12"/>
        <v>2450</v>
      </c>
      <c r="I627" s="219" t="s">
        <v>188</v>
      </c>
      <c r="J627" s="219" t="s">
        <v>4359</v>
      </c>
      <c r="K627" s="183"/>
    </row>
    <row r="628" spans="1:11" ht="15.6">
      <c r="A628" s="178"/>
      <c r="B628" s="202"/>
      <c r="C628" s="202"/>
      <c r="D628" s="202"/>
      <c r="E628" s="147">
        <f>SUM(E572:E627)</f>
        <v>360330</v>
      </c>
      <c r="F628" s="147">
        <f>SUM(F572:F627)</f>
        <v>363330</v>
      </c>
      <c r="G628" s="147"/>
      <c r="H628" s="205">
        <f>E628-F628+H571</f>
        <v>2450</v>
      </c>
      <c r="I628" s="183"/>
      <c r="J628" s="183"/>
      <c r="K628" s="183"/>
    </row>
    <row r="629" spans="1:11" ht="15.6">
      <c r="A629" s="178"/>
      <c r="B629" s="202"/>
      <c r="C629" s="202"/>
      <c r="D629" s="202"/>
      <c r="E629" s="209"/>
      <c r="F629" s="187"/>
      <c r="G629" s="187"/>
      <c r="H629" s="205"/>
      <c r="I629" s="183"/>
      <c r="J629" s="183"/>
      <c r="K629" s="183"/>
    </row>
    <row r="630" spans="1:11" ht="15.6">
      <c r="A630" s="178"/>
      <c r="B630" s="202"/>
      <c r="C630" s="202"/>
      <c r="D630" s="202"/>
      <c r="E630" s="209"/>
      <c r="F630" s="187"/>
      <c r="G630" s="187"/>
      <c r="H630" s="205"/>
      <c r="I630" s="183"/>
      <c r="J630" s="183"/>
      <c r="K630" s="183"/>
    </row>
    <row r="631" spans="1:11" ht="15.6">
      <c r="A631" s="178"/>
      <c r="B631" s="644" t="s">
        <v>2192</v>
      </c>
      <c r="C631" s="644"/>
      <c r="D631" s="644"/>
      <c r="E631" s="644"/>
      <c r="F631" s="187"/>
      <c r="G631" s="187"/>
      <c r="H631" s="205"/>
      <c r="I631" s="183"/>
      <c r="J631" s="183"/>
      <c r="K631" s="183"/>
    </row>
    <row r="632" spans="1:11" ht="15.6">
      <c r="A632" s="185"/>
      <c r="B632" s="183"/>
      <c r="C632" s="183"/>
      <c r="D632" s="183"/>
      <c r="E632" s="187"/>
      <c r="F632" s="187"/>
      <c r="G632" s="187"/>
      <c r="H632" s="188"/>
      <c r="I632" s="183"/>
      <c r="J632" s="183"/>
      <c r="K632" s="183"/>
    </row>
    <row r="633" spans="1:11" ht="15.6">
      <c r="A633" s="189" t="s">
        <v>0</v>
      </c>
      <c r="B633" s="190" t="s">
        <v>443</v>
      </c>
      <c r="C633" s="190" t="s">
        <v>444</v>
      </c>
      <c r="D633" s="190" t="s">
        <v>445</v>
      </c>
      <c r="E633" s="191" t="s">
        <v>446</v>
      </c>
      <c r="F633" s="191" t="s">
        <v>447</v>
      </c>
      <c r="G633" s="191"/>
      <c r="H633" s="197" t="s">
        <v>30</v>
      </c>
      <c r="I633" s="190" t="s">
        <v>448</v>
      </c>
      <c r="J633" s="190" t="s">
        <v>449</v>
      </c>
      <c r="K633" s="193"/>
    </row>
    <row r="634" spans="1:11" ht="15.6">
      <c r="A634" s="144">
        <v>45962</v>
      </c>
      <c r="B634" s="177" t="s">
        <v>4161</v>
      </c>
      <c r="C634" s="177"/>
      <c r="D634" s="177"/>
      <c r="E634" s="180"/>
      <c r="F634" s="180"/>
      <c r="G634" s="245"/>
      <c r="H634" s="176">
        <v>100600</v>
      </c>
      <c r="I634" s="177" t="s">
        <v>191</v>
      </c>
      <c r="J634" s="177"/>
      <c r="K634" s="183"/>
    </row>
    <row r="635" spans="1:11" ht="15.6">
      <c r="A635" s="342">
        <v>45963</v>
      </c>
      <c r="B635" s="219" t="s">
        <v>4377</v>
      </c>
      <c r="C635" s="179" t="s">
        <v>172</v>
      </c>
      <c r="D635" s="179" t="s">
        <v>115</v>
      </c>
      <c r="E635" s="242"/>
      <c r="F635" s="493">
        <v>500</v>
      </c>
      <c r="G635" s="245"/>
      <c r="H635" s="345">
        <f>H634+E635-F635</f>
        <v>100100</v>
      </c>
      <c r="I635" s="179" t="s">
        <v>191</v>
      </c>
      <c r="J635" s="219" t="s">
        <v>4405</v>
      </c>
      <c r="K635" s="183"/>
    </row>
    <row r="636" spans="1:11" ht="15.6">
      <c r="A636" s="342">
        <v>45963</v>
      </c>
      <c r="B636" s="219" t="s">
        <v>4378</v>
      </c>
      <c r="C636" s="179" t="s">
        <v>172</v>
      </c>
      <c r="D636" s="179" t="s">
        <v>115</v>
      </c>
      <c r="E636" s="242"/>
      <c r="F636" s="493">
        <v>500</v>
      </c>
      <c r="G636" s="245"/>
      <c r="H636" s="345">
        <f t="shared" ref="H636:H686" si="13">H635+E636-F636</f>
        <v>99600</v>
      </c>
      <c r="I636" s="179" t="s">
        <v>191</v>
      </c>
      <c r="J636" s="219" t="s">
        <v>4405</v>
      </c>
      <c r="K636" s="183"/>
    </row>
    <row r="637" spans="1:11" ht="15.6">
      <c r="A637" s="342">
        <v>45964</v>
      </c>
      <c r="B637" s="219" t="s">
        <v>4379</v>
      </c>
      <c r="C637" s="179" t="s">
        <v>172</v>
      </c>
      <c r="D637" s="179" t="s">
        <v>115</v>
      </c>
      <c r="E637" s="242"/>
      <c r="F637" s="493">
        <v>500</v>
      </c>
      <c r="G637" s="245"/>
      <c r="H637" s="345">
        <f t="shared" si="13"/>
        <v>99100</v>
      </c>
      <c r="I637" s="179" t="s">
        <v>191</v>
      </c>
      <c r="J637" s="219" t="s">
        <v>4405</v>
      </c>
      <c r="K637" s="183"/>
    </row>
    <row r="638" spans="1:11" ht="15.6">
      <c r="A638" s="342">
        <v>45964</v>
      </c>
      <c r="B638" s="219" t="s">
        <v>4378</v>
      </c>
      <c r="C638" s="179" t="s">
        <v>172</v>
      </c>
      <c r="D638" s="179" t="s">
        <v>115</v>
      </c>
      <c r="E638" s="242"/>
      <c r="F638" s="493">
        <v>500</v>
      </c>
      <c r="G638" s="245"/>
      <c r="H638" s="345">
        <f t="shared" si="13"/>
        <v>98600</v>
      </c>
      <c r="I638" s="179" t="s">
        <v>191</v>
      </c>
      <c r="J638" s="219" t="s">
        <v>4405</v>
      </c>
      <c r="K638" s="183"/>
    </row>
    <row r="639" spans="1:11" ht="15.6">
      <c r="A639" s="342">
        <v>45964</v>
      </c>
      <c r="B639" s="219" t="s">
        <v>4380</v>
      </c>
      <c r="C639" s="179" t="s">
        <v>172</v>
      </c>
      <c r="D639" s="179" t="s">
        <v>115</v>
      </c>
      <c r="E639" s="242"/>
      <c r="F639" s="493">
        <v>500</v>
      </c>
      <c r="G639" s="245"/>
      <c r="H639" s="345">
        <f t="shared" si="13"/>
        <v>98100</v>
      </c>
      <c r="I639" s="179" t="s">
        <v>191</v>
      </c>
      <c r="J639" s="219" t="s">
        <v>4405</v>
      </c>
      <c r="K639" s="183"/>
    </row>
    <row r="640" spans="1:11" ht="15.6">
      <c r="A640" s="342">
        <v>45964</v>
      </c>
      <c r="B640" s="219" t="s">
        <v>4381</v>
      </c>
      <c r="C640" s="179" t="s">
        <v>172</v>
      </c>
      <c r="D640" s="179" t="s">
        <v>115</v>
      </c>
      <c r="E640" s="242"/>
      <c r="F640" s="493">
        <v>500</v>
      </c>
      <c r="G640" s="245"/>
      <c r="H640" s="345">
        <f t="shared" si="13"/>
        <v>97600</v>
      </c>
      <c r="I640" s="179" t="s">
        <v>191</v>
      </c>
      <c r="J640" s="219" t="s">
        <v>4405</v>
      </c>
      <c r="K640" s="183"/>
    </row>
    <row r="641" spans="1:11" ht="15.6">
      <c r="A641" s="342">
        <v>45964</v>
      </c>
      <c r="B641" s="179" t="s">
        <v>4382</v>
      </c>
      <c r="C641" s="179" t="s">
        <v>150</v>
      </c>
      <c r="D641" s="179" t="s">
        <v>115</v>
      </c>
      <c r="E641" s="494">
        <v>7500</v>
      </c>
      <c r="F641" s="493"/>
      <c r="G641" s="245"/>
      <c r="H641" s="345">
        <f t="shared" si="13"/>
        <v>105100</v>
      </c>
      <c r="I641" s="179" t="s">
        <v>191</v>
      </c>
      <c r="J641" s="219" t="s">
        <v>4406</v>
      </c>
      <c r="K641" s="183"/>
    </row>
    <row r="642" spans="1:11" ht="15.6">
      <c r="A642" s="342">
        <v>45964</v>
      </c>
      <c r="B642" s="179" t="s">
        <v>4383</v>
      </c>
      <c r="C642" s="179" t="s">
        <v>150</v>
      </c>
      <c r="D642" s="179" t="s">
        <v>115</v>
      </c>
      <c r="E642" s="494"/>
      <c r="F642" s="493">
        <v>7500</v>
      </c>
      <c r="G642" s="245"/>
      <c r="H642" s="345">
        <f t="shared" si="13"/>
        <v>97600</v>
      </c>
      <c r="I642" s="179" t="s">
        <v>191</v>
      </c>
      <c r="J642" s="219" t="s">
        <v>4406</v>
      </c>
      <c r="K642" s="183"/>
    </row>
    <row r="643" spans="1:11" ht="15.6">
      <c r="A643" s="342">
        <v>45964</v>
      </c>
      <c r="B643" s="219" t="s">
        <v>457</v>
      </c>
      <c r="C643" s="242" t="s">
        <v>122</v>
      </c>
      <c r="D643" s="179" t="s">
        <v>115</v>
      </c>
      <c r="E643" s="494">
        <v>112000</v>
      </c>
      <c r="F643" s="487"/>
      <c r="G643" s="245"/>
      <c r="H643" s="345">
        <f t="shared" si="13"/>
        <v>209600</v>
      </c>
      <c r="I643" s="179" t="s">
        <v>191</v>
      </c>
      <c r="J643" s="219" t="s">
        <v>4407</v>
      </c>
      <c r="K643" s="183"/>
    </row>
    <row r="644" spans="1:11" ht="15.6">
      <c r="A644" s="342">
        <v>45964</v>
      </c>
      <c r="B644" s="219" t="s">
        <v>4384</v>
      </c>
      <c r="C644" s="179" t="s">
        <v>175</v>
      </c>
      <c r="D644" s="179" t="s">
        <v>115</v>
      </c>
      <c r="E644" s="242"/>
      <c r="F644" s="495">
        <v>40000</v>
      </c>
      <c r="G644" s="245"/>
      <c r="H644" s="345">
        <f t="shared" si="13"/>
        <v>169600</v>
      </c>
      <c r="I644" s="179" t="s">
        <v>191</v>
      </c>
      <c r="J644" s="219" t="s">
        <v>4408</v>
      </c>
      <c r="K644" s="183"/>
    </row>
    <row r="645" spans="1:11" ht="15.6">
      <c r="A645" s="342">
        <v>45965</v>
      </c>
      <c r="B645" s="219" t="s">
        <v>3649</v>
      </c>
      <c r="C645" s="179" t="s">
        <v>172</v>
      </c>
      <c r="D645" s="179" t="s">
        <v>115</v>
      </c>
      <c r="E645" s="242"/>
      <c r="F645" s="493">
        <v>500</v>
      </c>
      <c r="G645" s="245"/>
      <c r="H645" s="345">
        <f t="shared" si="13"/>
        <v>169100</v>
      </c>
      <c r="I645" s="179" t="s">
        <v>191</v>
      </c>
      <c r="J645" s="219" t="s">
        <v>4405</v>
      </c>
      <c r="K645" s="183"/>
    </row>
    <row r="646" spans="1:11" ht="15.6">
      <c r="A646" s="342">
        <v>45965</v>
      </c>
      <c r="B646" s="219" t="s">
        <v>4385</v>
      </c>
      <c r="C646" s="179" t="s">
        <v>3317</v>
      </c>
      <c r="D646" s="179" t="s">
        <v>115</v>
      </c>
      <c r="E646" s="242"/>
      <c r="F646" s="493">
        <v>1500</v>
      </c>
      <c r="G646" s="245"/>
      <c r="H646" s="345">
        <f t="shared" si="13"/>
        <v>167600</v>
      </c>
      <c r="I646" s="179" t="s">
        <v>191</v>
      </c>
      <c r="J646" s="219" t="s">
        <v>4409</v>
      </c>
      <c r="K646" s="183"/>
    </row>
    <row r="647" spans="1:11" ht="15.6">
      <c r="A647" s="342">
        <v>45965</v>
      </c>
      <c r="B647" s="219" t="s">
        <v>4386</v>
      </c>
      <c r="C647" s="179" t="s">
        <v>172</v>
      </c>
      <c r="D647" s="179" t="s">
        <v>115</v>
      </c>
      <c r="E647" s="242"/>
      <c r="F647" s="493">
        <v>500</v>
      </c>
      <c r="G647" s="245"/>
      <c r="H647" s="345">
        <f t="shared" si="13"/>
        <v>167100</v>
      </c>
      <c r="I647" s="179" t="s">
        <v>191</v>
      </c>
      <c r="J647" s="219" t="s">
        <v>4405</v>
      </c>
      <c r="K647" s="183"/>
    </row>
    <row r="648" spans="1:11" ht="15.6">
      <c r="A648" s="342">
        <v>45965</v>
      </c>
      <c r="B648" s="219" t="s">
        <v>4387</v>
      </c>
      <c r="C648" s="179" t="s">
        <v>172</v>
      </c>
      <c r="D648" s="179" t="s">
        <v>115</v>
      </c>
      <c r="E648" s="242"/>
      <c r="F648" s="493">
        <v>500</v>
      </c>
      <c r="G648" s="245"/>
      <c r="H648" s="345">
        <f t="shared" si="13"/>
        <v>166600</v>
      </c>
      <c r="I648" s="179" t="s">
        <v>191</v>
      </c>
      <c r="J648" s="219" t="s">
        <v>4405</v>
      </c>
      <c r="K648" s="183"/>
    </row>
    <row r="649" spans="1:11" ht="15.6">
      <c r="A649" s="342">
        <v>45965</v>
      </c>
      <c r="B649" s="219" t="s">
        <v>4388</v>
      </c>
      <c r="C649" s="179" t="s">
        <v>172</v>
      </c>
      <c r="D649" s="179" t="s">
        <v>115</v>
      </c>
      <c r="E649" s="242"/>
      <c r="F649" s="493">
        <v>500</v>
      </c>
      <c r="G649" s="245"/>
      <c r="H649" s="345">
        <f t="shared" si="13"/>
        <v>166100</v>
      </c>
      <c r="I649" s="179" t="s">
        <v>191</v>
      </c>
      <c r="J649" s="219" t="s">
        <v>4405</v>
      </c>
      <c r="K649" s="183"/>
    </row>
    <row r="650" spans="1:11" ht="15.6">
      <c r="A650" s="342">
        <v>45965</v>
      </c>
      <c r="B650" s="219" t="s">
        <v>3649</v>
      </c>
      <c r="C650" s="179" t="s">
        <v>172</v>
      </c>
      <c r="D650" s="179" t="s">
        <v>115</v>
      </c>
      <c r="E650" s="242"/>
      <c r="F650" s="493">
        <v>500</v>
      </c>
      <c r="G650" s="245"/>
      <c r="H650" s="345">
        <f t="shared" si="13"/>
        <v>165600</v>
      </c>
      <c r="I650" s="179" t="s">
        <v>191</v>
      </c>
      <c r="J650" s="219" t="s">
        <v>4405</v>
      </c>
      <c r="K650" s="183"/>
    </row>
    <row r="651" spans="1:11" ht="15.6">
      <c r="A651" s="342">
        <v>45965</v>
      </c>
      <c r="B651" s="219" t="s">
        <v>4389</v>
      </c>
      <c r="C651" s="179" t="s">
        <v>3317</v>
      </c>
      <c r="D651" s="179" t="s">
        <v>115</v>
      </c>
      <c r="E651" s="242"/>
      <c r="F651" s="493">
        <v>1500</v>
      </c>
      <c r="G651" s="245"/>
      <c r="H651" s="345">
        <f t="shared" si="13"/>
        <v>164100</v>
      </c>
      <c r="I651" s="179" t="s">
        <v>191</v>
      </c>
      <c r="J651" s="219" t="s">
        <v>4409</v>
      </c>
      <c r="K651" s="183"/>
    </row>
    <row r="652" spans="1:11" ht="15.6">
      <c r="A652" s="342">
        <v>45965</v>
      </c>
      <c r="B652" s="219" t="s">
        <v>4386</v>
      </c>
      <c r="C652" s="179" t="s">
        <v>172</v>
      </c>
      <c r="D652" s="179" t="s">
        <v>115</v>
      </c>
      <c r="E652" s="242"/>
      <c r="F652" s="493">
        <v>500</v>
      </c>
      <c r="G652" s="245"/>
      <c r="H652" s="345">
        <f t="shared" si="13"/>
        <v>163600</v>
      </c>
      <c r="I652" s="179" t="s">
        <v>191</v>
      </c>
      <c r="J652" s="219" t="s">
        <v>4405</v>
      </c>
      <c r="K652" s="183"/>
    </row>
    <row r="653" spans="1:11" ht="15.6">
      <c r="A653" s="342">
        <v>45965</v>
      </c>
      <c r="B653" s="219" t="s">
        <v>4390</v>
      </c>
      <c r="C653" s="179" t="s">
        <v>172</v>
      </c>
      <c r="D653" s="179" t="s">
        <v>115</v>
      </c>
      <c r="E653" s="242"/>
      <c r="F653" s="493">
        <v>500</v>
      </c>
      <c r="G653" s="245"/>
      <c r="H653" s="345">
        <f t="shared" si="13"/>
        <v>163100</v>
      </c>
      <c r="I653" s="179" t="s">
        <v>191</v>
      </c>
      <c r="J653" s="219" t="s">
        <v>4405</v>
      </c>
      <c r="K653" s="183"/>
    </row>
    <row r="654" spans="1:11" ht="15.6">
      <c r="A654" s="342">
        <v>45966</v>
      </c>
      <c r="B654" s="219" t="s">
        <v>3649</v>
      </c>
      <c r="C654" s="179" t="s">
        <v>172</v>
      </c>
      <c r="D654" s="179" t="s">
        <v>115</v>
      </c>
      <c r="E654" s="242"/>
      <c r="F654" s="493">
        <v>500</v>
      </c>
      <c r="G654" s="245"/>
      <c r="H654" s="345">
        <f t="shared" si="13"/>
        <v>162600</v>
      </c>
      <c r="I654" s="179" t="s">
        <v>191</v>
      </c>
      <c r="J654" s="219" t="s">
        <v>4405</v>
      </c>
      <c r="K654" s="183"/>
    </row>
    <row r="655" spans="1:11" ht="15.6">
      <c r="A655" s="342">
        <v>45966</v>
      </c>
      <c r="B655" s="219" t="s">
        <v>4391</v>
      </c>
      <c r="C655" s="179" t="s">
        <v>3317</v>
      </c>
      <c r="D655" s="179" t="s">
        <v>115</v>
      </c>
      <c r="E655" s="242"/>
      <c r="F655" s="493">
        <v>1500</v>
      </c>
      <c r="G655" s="245"/>
      <c r="H655" s="345">
        <f t="shared" si="13"/>
        <v>161100</v>
      </c>
      <c r="I655" s="179" t="s">
        <v>191</v>
      </c>
      <c r="J655" s="219" t="s">
        <v>4409</v>
      </c>
      <c r="K655" s="183"/>
    </row>
    <row r="656" spans="1:11" ht="15.6">
      <c r="A656" s="342">
        <v>45966</v>
      </c>
      <c r="B656" s="219" t="s">
        <v>4386</v>
      </c>
      <c r="C656" s="179" t="s">
        <v>172</v>
      </c>
      <c r="D656" s="179" t="s">
        <v>115</v>
      </c>
      <c r="E656" s="242"/>
      <c r="F656" s="493">
        <v>500</v>
      </c>
      <c r="G656" s="245"/>
      <c r="H656" s="345">
        <f t="shared" si="13"/>
        <v>160600</v>
      </c>
      <c r="I656" s="179" t="s">
        <v>191</v>
      </c>
      <c r="J656" s="219" t="s">
        <v>4405</v>
      </c>
      <c r="K656" s="183"/>
    </row>
    <row r="657" spans="1:11" ht="15.6">
      <c r="A657" s="342">
        <v>45966</v>
      </c>
      <c r="B657" s="219" t="s">
        <v>4390</v>
      </c>
      <c r="C657" s="179" t="s">
        <v>172</v>
      </c>
      <c r="D657" s="179" t="s">
        <v>115</v>
      </c>
      <c r="E657" s="242"/>
      <c r="F657" s="493">
        <v>500</v>
      </c>
      <c r="G657" s="245"/>
      <c r="H657" s="345">
        <f t="shared" si="13"/>
        <v>160100</v>
      </c>
      <c r="I657" s="179" t="s">
        <v>191</v>
      </c>
      <c r="J657" s="219" t="s">
        <v>4405</v>
      </c>
      <c r="K657" s="183"/>
    </row>
    <row r="658" spans="1:11" ht="15.6">
      <c r="A658" s="342">
        <v>45966</v>
      </c>
      <c r="B658" s="219" t="s">
        <v>3649</v>
      </c>
      <c r="C658" s="179" t="s">
        <v>172</v>
      </c>
      <c r="D658" s="179" t="s">
        <v>115</v>
      </c>
      <c r="E658" s="242"/>
      <c r="F658" s="493">
        <v>500</v>
      </c>
      <c r="G658" s="245"/>
      <c r="H658" s="345">
        <f t="shared" si="13"/>
        <v>159600</v>
      </c>
      <c r="I658" s="179" t="s">
        <v>191</v>
      </c>
      <c r="J658" s="219" t="s">
        <v>4405</v>
      </c>
      <c r="K658" s="183"/>
    </row>
    <row r="659" spans="1:11" ht="15.6">
      <c r="A659" s="342">
        <v>45966</v>
      </c>
      <c r="B659" s="219" t="s">
        <v>4392</v>
      </c>
      <c r="C659" s="179" t="s">
        <v>3317</v>
      </c>
      <c r="D659" s="179" t="s">
        <v>115</v>
      </c>
      <c r="E659" s="242"/>
      <c r="F659" s="493">
        <v>1500</v>
      </c>
      <c r="G659" s="245"/>
      <c r="H659" s="345">
        <f t="shared" si="13"/>
        <v>158100</v>
      </c>
      <c r="I659" s="179" t="s">
        <v>191</v>
      </c>
      <c r="J659" s="219" t="s">
        <v>4409</v>
      </c>
      <c r="K659" s="183"/>
    </row>
    <row r="660" spans="1:11" ht="15.6">
      <c r="A660" s="342">
        <v>45966</v>
      </c>
      <c r="B660" s="219" t="s">
        <v>4386</v>
      </c>
      <c r="C660" s="179" t="s">
        <v>172</v>
      </c>
      <c r="D660" s="179" t="s">
        <v>115</v>
      </c>
      <c r="E660" s="242"/>
      <c r="F660" s="493">
        <v>500</v>
      </c>
      <c r="G660" s="245"/>
      <c r="H660" s="345">
        <f t="shared" si="13"/>
        <v>157600</v>
      </c>
      <c r="I660" s="179" t="s">
        <v>191</v>
      </c>
      <c r="J660" s="219" t="s">
        <v>4405</v>
      </c>
      <c r="K660" s="183"/>
    </row>
    <row r="661" spans="1:11" ht="15.6">
      <c r="A661" s="342">
        <v>45966</v>
      </c>
      <c r="B661" s="219" t="s">
        <v>4390</v>
      </c>
      <c r="C661" s="179" t="s">
        <v>172</v>
      </c>
      <c r="D661" s="179" t="s">
        <v>115</v>
      </c>
      <c r="E661" s="242"/>
      <c r="F661" s="493">
        <v>500</v>
      </c>
      <c r="G661" s="245"/>
      <c r="H661" s="345">
        <f t="shared" si="13"/>
        <v>157100</v>
      </c>
      <c r="I661" s="179" t="s">
        <v>191</v>
      </c>
      <c r="J661" s="219" t="s">
        <v>4405</v>
      </c>
      <c r="K661" s="183"/>
    </row>
    <row r="662" spans="1:11" ht="15.6">
      <c r="A662" s="342">
        <v>45967</v>
      </c>
      <c r="B662" s="219" t="s">
        <v>3649</v>
      </c>
      <c r="C662" s="179" t="s">
        <v>172</v>
      </c>
      <c r="D662" s="179" t="s">
        <v>115</v>
      </c>
      <c r="E662" s="242"/>
      <c r="F662" s="493">
        <v>500</v>
      </c>
      <c r="G662" s="245"/>
      <c r="H662" s="345">
        <f t="shared" si="13"/>
        <v>156600</v>
      </c>
      <c r="I662" s="179" t="s">
        <v>191</v>
      </c>
      <c r="J662" s="219" t="s">
        <v>4405</v>
      </c>
      <c r="K662" s="183"/>
    </row>
    <row r="663" spans="1:11" ht="15.6">
      <c r="A663" s="342">
        <v>45967</v>
      </c>
      <c r="B663" s="219" t="s">
        <v>4393</v>
      </c>
      <c r="C663" s="179" t="s">
        <v>3317</v>
      </c>
      <c r="D663" s="179" t="s">
        <v>115</v>
      </c>
      <c r="E663" s="242"/>
      <c r="F663" s="493">
        <v>1500</v>
      </c>
      <c r="G663" s="245"/>
      <c r="H663" s="345">
        <f t="shared" si="13"/>
        <v>155100</v>
      </c>
      <c r="I663" s="179" t="s">
        <v>191</v>
      </c>
      <c r="J663" s="219" t="s">
        <v>4409</v>
      </c>
      <c r="K663" s="183"/>
    </row>
    <row r="664" spans="1:11" ht="15.6">
      <c r="A664" s="342">
        <v>45967</v>
      </c>
      <c r="B664" s="219" t="s">
        <v>4386</v>
      </c>
      <c r="C664" s="179" t="s">
        <v>172</v>
      </c>
      <c r="D664" s="179" t="s">
        <v>115</v>
      </c>
      <c r="E664" s="242"/>
      <c r="F664" s="493">
        <v>500</v>
      </c>
      <c r="G664" s="245"/>
      <c r="H664" s="345">
        <f t="shared" si="13"/>
        <v>154600</v>
      </c>
      <c r="I664" s="179" t="s">
        <v>191</v>
      </c>
      <c r="J664" s="219" t="s">
        <v>4405</v>
      </c>
      <c r="K664" s="183"/>
    </row>
    <row r="665" spans="1:11" ht="15.6">
      <c r="A665" s="342">
        <v>45967</v>
      </c>
      <c r="B665" s="219" t="s">
        <v>4390</v>
      </c>
      <c r="C665" s="179" t="s">
        <v>172</v>
      </c>
      <c r="D665" s="179" t="s">
        <v>115</v>
      </c>
      <c r="E665" s="242"/>
      <c r="F665" s="493">
        <v>500</v>
      </c>
      <c r="G665" s="245"/>
      <c r="H665" s="345">
        <f t="shared" si="13"/>
        <v>154100</v>
      </c>
      <c r="I665" s="179" t="s">
        <v>191</v>
      </c>
      <c r="J665" s="219" t="s">
        <v>4405</v>
      </c>
      <c r="K665" s="183"/>
    </row>
    <row r="666" spans="1:11" ht="15.6">
      <c r="A666" s="342">
        <v>45967</v>
      </c>
      <c r="B666" s="219" t="s">
        <v>4394</v>
      </c>
      <c r="C666" s="179" t="s">
        <v>172</v>
      </c>
      <c r="D666" s="179" t="s">
        <v>115</v>
      </c>
      <c r="E666" s="242"/>
      <c r="F666" s="493">
        <v>500</v>
      </c>
      <c r="G666" s="245"/>
      <c r="H666" s="345">
        <f t="shared" si="13"/>
        <v>153600</v>
      </c>
      <c r="I666" s="179" t="s">
        <v>191</v>
      </c>
      <c r="J666" s="219" t="s">
        <v>4405</v>
      </c>
      <c r="K666" s="183"/>
    </row>
    <row r="667" spans="1:11" ht="15.6">
      <c r="A667" s="342">
        <v>45967</v>
      </c>
      <c r="B667" s="219" t="s">
        <v>4395</v>
      </c>
      <c r="C667" s="179" t="s">
        <v>172</v>
      </c>
      <c r="D667" s="179" t="s">
        <v>115</v>
      </c>
      <c r="E667" s="242"/>
      <c r="F667" s="493">
        <v>500</v>
      </c>
      <c r="G667" s="245"/>
      <c r="H667" s="345">
        <f t="shared" si="13"/>
        <v>153100</v>
      </c>
      <c r="I667" s="179" t="s">
        <v>191</v>
      </c>
      <c r="J667" s="219" t="s">
        <v>4405</v>
      </c>
      <c r="K667" s="183"/>
    </row>
    <row r="668" spans="1:11" ht="15.6">
      <c r="A668" s="342">
        <v>45968</v>
      </c>
      <c r="B668" s="219" t="s">
        <v>4734</v>
      </c>
      <c r="C668" s="179" t="s">
        <v>172</v>
      </c>
      <c r="D668" s="179" t="s">
        <v>115</v>
      </c>
      <c r="E668" s="242"/>
      <c r="F668" s="493">
        <v>7000</v>
      </c>
      <c r="G668" s="245"/>
      <c r="H668" s="345">
        <f t="shared" si="13"/>
        <v>146100</v>
      </c>
      <c r="I668" s="179" t="s">
        <v>191</v>
      </c>
      <c r="J668" s="219" t="s">
        <v>4410</v>
      </c>
      <c r="K668" s="183"/>
    </row>
    <row r="669" spans="1:11" ht="15.6">
      <c r="A669" s="342">
        <v>45967</v>
      </c>
      <c r="B669" s="219" t="s">
        <v>4396</v>
      </c>
      <c r="C669" s="179" t="s">
        <v>172</v>
      </c>
      <c r="D669" s="179" t="s">
        <v>115</v>
      </c>
      <c r="E669" s="242"/>
      <c r="F669" s="493">
        <v>500</v>
      </c>
      <c r="G669" s="245"/>
      <c r="H669" s="345">
        <f t="shared" si="13"/>
        <v>145600</v>
      </c>
      <c r="I669" s="179" t="s">
        <v>191</v>
      </c>
      <c r="J669" s="219" t="s">
        <v>4405</v>
      </c>
      <c r="K669" s="183"/>
    </row>
    <row r="670" spans="1:11" ht="15.6">
      <c r="A670" s="342">
        <v>45967</v>
      </c>
      <c r="B670" s="219" t="s">
        <v>3649</v>
      </c>
      <c r="C670" s="179" t="s">
        <v>172</v>
      </c>
      <c r="D670" s="179" t="s">
        <v>115</v>
      </c>
      <c r="E670" s="242"/>
      <c r="F670" s="493">
        <v>500</v>
      </c>
      <c r="G670" s="245"/>
      <c r="H670" s="345">
        <f t="shared" si="13"/>
        <v>145100</v>
      </c>
      <c r="I670" s="179" t="s">
        <v>191</v>
      </c>
      <c r="J670" s="219" t="s">
        <v>4405</v>
      </c>
      <c r="K670" s="183"/>
    </row>
    <row r="671" spans="1:11" ht="15.6">
      <c r="A671" s="342">
        <v>45967</v>
      </c>
      <c r="B671" s="219" t="s">
        <v>4397</v>
      </c>
      <c r="C671" s="179" t="s">
        <v>3317</v>
      </c>
      <c r="D671" s="179" t="s">
        <v>115</v>
      </c>
      <c r="E671" s="242"/>
      <c r="F671" s="487">
        <v>1500</v>
      </c>
      <c r="G671" s="245"/>
      <c r="H671" s="345">
        <f t="shared" si="13"/>
        <v>143600</v>
      </c>
      <c r="I671" s="179" t="s">
        <v>191</v>
      </c>
      <c r="J671" s="219" t="s">
        <v>4409</v>
      </c>
      <c r="K671" s="183"/>
    </row>
    <row r="672" spans="1:11" ht="15.6">
      <c r="A672" s="342">
        <v>45967</v>
      </c>
      <c r="B672" s="219" t="s">
        <v>4386</v>
      </c>
      <c r="C672" s="179" t="s">
        <v>172</v>
      </c>
      <c r="D672" s="179" t="s">
        <v>115</v>
      </c>
      <c r="E672" s="242"/>
      <c r="F672" s="493">
        <v>500</v>
      </c>
      <c r="G672" s="245"/>
      <c r="H672" s="345">
        <f t="shared" si="13"/>
        <v>143100</v>
      </c>
      <c r="I672" s="179" t="s">
        <v>191</v>
      </c>
      <c r="J672" s="219" t="s">
        <v>4405</v>
      </c>
      <c r="K672" s="183"/>
    </row>
    <row r="673" spans="1:11" ht="15.6">
      <c r="A673" s="342">
        <v>45967</v>
      </c>
      <c r="B673" s="219" t="s">
        <v>4390</v>
      </c>
      <c r="C673" s="179" t="s">
        <v>172</v>
      </c>
      <c r="D673" s="179" t="s">
        <v>115</v>
      </c>
      <c r="E673" s="242"/>
      <c r="F673" s="493">
        <v>500</v>
      </c>
      <c r="G673" s="245"/>
      <c r="H673" s="345">
        <f t="shared" si="13"/>
        <v>142600</v>
      </c>
      <c r="I673" s="179" t="s">
        <v>191</v>
      </c>
      <c r="J673" s="219" t="s">
        <v>4405</v>
      </c>
      <c r="K673" s="183"/>
    </row>
    <row r="674" spans="1:11" ht="15.6">
      <c r="A674" s="342">
        <v>45968</v>
      </c>
      <c r="B674" s="219" t="s">
        <v>4398</v>
      </c>
      <c r="C674" s="179" t="s">
        <v>175</v>
      </c>
      <c r="D674" s="179" t="s">
        <v>115</v>
      </c>
      <c r="E674" s="242"/>
      <c r="F674" s="493">
        <v>150000</v>
      </c>
      <c r="G674" s="245"/>
      <c r="H674" s="345">
        <f t="shared" si="13"/>
        <v>-7400</v>
      </c>
      <c r="I674" s="179" t="s">
        <v>191</v>
      </c>
      <c r="J674" s="219" t="s">
        <v>4411</v>
      </c>
      <c r="K674" s="183"/>
    </row>
    <row r="675" spans="1:11" ht="15.6">
      <c r="A675" s="342">
        <v>45968</v>
      </c>
      <c r="B675" s="219" t="s">
        <v>4399</v>
      </c>
      <c r="C675" s="179" t="s">
        <v>172</v>
      </c>
      <c r="D675" s="179" t="s">
        <v>115</v>
      </c>
      <c r="E675" s="242"/>
      <c r="F675" s="493">
        <v>1000</v>
      </c>
      <c r="G675" s="245"/>
      <c r="H675" s="345">
        <f t="shared" si="13"/>
        <v>-8400</v>
      </c>
      <c r="I675" s="179" t="s">
        <v>191</v>
      </c>
      <c r="J675" s="219" t="s">
        <v>4405</v>
      </c>
      <c r="K675" s="183"/>
    </row>
    <row r="676" spans="1:11" ht="15.6">
      <c r="A676" s="342">
        <v>45971</v>
      </c>
      <c r="B676" s="179" t="s">
        <v>4400</v>
      </c>
      <c r="C676" s="179" t="s">
        <v>150</v>
      </c>
      <c r="D676" s="179" t="s">
        <v>115</v>
      </c>
      <c r="E676" s="494">
        <v>7500</v>
      </c>
      <c r="F676" s="493"/>
      <c r="G676" s="245"/>
      <c r="H676" s="345">
        <f t="shared" si="13"/>
        <v>-900</v>
      </c>
      <c r="I676" s="179" t="s">
        <v>191</v>
      </c>
      <c r="J676" s="219" t="s">
        <v>4412</v>
      </c>
      <c r="K676" s="183"/>
    </row>
    <row r="677" spans="1:11" ht="15.6">
      <c r="A677" s="342">
        <v>45971</v>
      </c>
      <c r="B677" s="179" t="s">
        <v>4400</v>
      </c>
      <c r="C677" s="179" t="s">
        <v>150</v>
      </c>
      <c r="D677" s="179" t="s">
        <v>115</v>
      </c>
      <c r="E677" s="494"/>
      <c r="F677" s="487">
        <v>7500</v>
      </c>
      <c r="G677" s="245"/>
      <c r="H677" s="345">
        <f t="shared" si="13"/>
        <v>-8400</v>
      </c>
      <c r="I677" s="179" t="s">
        <v>191</v>
      </c>
      <c r="J677" s="219" t="s">
        <v>4412</v>
      </c>
      <c r="K677" s="183"/>
    </row>
    <row r="678" spans="1:11" ht="15.6">
      <c r="A678" s="342">
        <v>45971</v>
      </c>
      <c r="B678" s="179" t="s">
        <v>4401</v>
      </c>
      <c r="C678" s="219" t="s">
        <v>263</v>
      </c>
      <c r="D678" s="219" t="s">
        <v>2417</v>
      </c>
      <c r="E678" s="316">
        <v>25000</v>
      </c>
      <c r="F678" s="496"/>
      <c r="G678" s="245"/>
      <c r="H678" s="345">
        <f t="shared" si="13"/>
        <v>16600</v>
      </c>
      <c r="I678" s="219" t="s">
        <v>191</v>
      </c>
      <c r="J678" s="179" t="s">
        <v>4413</v>
      </c>
      <c r="K678" s="183"/>
    </row>
    <row r="679" spans="1:11" ht="15.6">
      <c r="A679" s="342">
        <v>45971</v>
      </c>
      <c r="B679" s="179" t="s">
        <v>4401</v>
      </c>
      <c r="C679" s="219" t="s">
        <v>263</v>
      </c>
      <c r="D679" s="219" t="s">
        <v>2417</v>
      </c>
      <c r="E679" s="316"/>
      <c r="F679" s="496">
        <v>25000</v>
      </c>
      <c r="G679" s="245"/>
      <c r="H679" s="345">
        <f t="shared" si="13"/>
        <v>-8400</v>
      </c>
      <c r="I679" s="219" t="s">
        <v>191</v>
      </c>
      <c r="J679" s="179" t="s">
        <v>4413</v>
      </c>
      <c r="K679" s="183"/>
    </row>
    <row r="680" spans="1:11" ht="15.6">
      <c r="A680" s="342">
        <v>45974</v>
      </c>
      <c r="B680" s="219" t="s">
        <v>457</v>
      </c>
      <c r="C680" s="242" t="s">
        <v>122</v>
      </c>
      <c r="D680" s="219" t="s">
        <v>115</v>
      </c>
      <c r="E680" s="494">
        <v>20000</v>
      </c>
      <c r="F680" s="496"/>
      <c r="G680" s="245"/>
      <c r="H680" s="345">
        <f t="shared" si="13"/>
        <v>11600</v>
      </c>
      <c r="I680" s="179" t="s">
        <v>191</v>
      </c>
      <c r="J680" s="219" t="s">
        <v>4414</v>
      </c>
      <c r="K680" s="183"/>
    </row>
    <row r="681" spans="1:11" ht="15.6">
      <c r="A681" s="342">
        <v>45978</v>
      </c>
      <c r="B681" s="179" t="s">
        <v>4402</v>
      </c>
      <c r="C681" s="179" t="s">
        <v>150</v>
      </c>
      <c r="D681" s="179" t="s">
        <v>115</v>
      </c>
      <c r="E681" s="494">
        <v>7500</v>
      </c>
      <c r="F681" s="487"/>
      <c r="G681" s="245"/>
      <c r="H681" s="345">
        <f t="shared" si="13"/>
        <v>19100</v>
      </c>
      <c r="I681" s="179" t="s">
        <v>191</v>
      </c>
      <c r="J681" s="219" t="s">
        <v>4415</v>
      </c>
      <c r="K681" s="183"/>
    </row>
    <row r="682" spans="1:11" ht="15.6">
      <c r="A682" s="342">
        <v>45978</v>
      </c>
      <c r="B682" s="179" t="s">
        <v>4402</v>
      </c>
      <c r="C682" s="179" t="s">
        <v>150</v>
      </c>
      <c r="D682" s="179" t="s">
        <v>115</v>
      </c>
      <c r="E682" s="494"/>
      <c r="F682" s="487">
        <v>7500</v>
      </c>
      <c r="G682" s="245"/>
      <c r="H682" s="345">
        <f t="shared" si="13"/>
        <v>11600</v>
      </c>
      <c r="I682" s="179" t="s">
        <v>191</v>
      </c>
      <c r="J682" s="219" t="s">
        <v>4415</v>
      </c>
      <c r="K682" s="183"/>
    </row>
    <row r="683" spans="1:11" ht="15.6">
      <c r="A683" s="342">
        <v>45981</v>
      </c>
      <c r="B683" s="219" t="s">
        <v>2593</v>
      </c>
      <c r="C683" s="179" t="s">
        <v>172</v>
      </c>
      <c r="D683" s="219" t="s">
        <v>115</v>
      </c>
      <c r="E683" s="242"/>
      <c r="F683" s="495">
        <v>1000</v>
      </c>
      <c r="G683" s="245"/>
      <c r="H683" s="345">
        <f t="shared" si="13"/>
        <v>10600</v>
      </c>
      <c r="I683" s="179" t="s">
        <v>191</v>
      </c>
      <c r="J683" s="219" t="s">
        <v>4405</v>
      </c>
      <c r="K683" s="183"/>
    </row>
    <row r="684" spans="1:11" ht="15.6">
      <c r="A684" s="342">
        <v>45981</v>
      </c>
      <c r="B684" s="219" t="s">
        <v>2595</v>
      </c>
      <c r="C684" s="179" t="s">
        <v>172</v>
      </c>
      <c r="D684" s="219" t="s">
        <v>115</v>
      </c>
      <c r="E684" s="242"/>
      <c r="F684" s="493">
        <v>1000</v>
      </c>
      <c r="G684" s="245"/>
      <c r="H684" s="345">
        <f t="shared" si="13"/>
        <v>9600</v>
      </c>
      <c r="I684" s="179" t="s">
        <v>191</v>
      </c>
      <c r="J684" s="219" t="s">
        <v>4405</v>
      </c>
      <c r="K684" s="183"/>
    </row>
    <row r="685" spans="1:11" ht="15.6">
      <c r="A685" s="342">
        <v>45985</v>
      </c>
      <c r="B685" s="219" t="s">
        <v>4403</v>
      </c>
      <c r="C685" s="179" t="s">
        <v>172</v>
      </c>
      <c r="D685" s="219" t="s">
        <v>115</v>
      </c>
      <c r="E685" s="242"/>
      <c r="F685" s="493">
        <v>1000</v>
      </c>
      <c r="G685" s="245"/>
      <c r="H685" s="345">
        <f t="shared" si="13"/>
        <v>8600</v>
      </c>
      <c r="I685" s="179" t="s">
        <v>191</v>
      </c>
      <c r="J685" s="219" t="s">
        <v>4405</v>
      </c>
      <c r="K685" s="183"/>
    </row>
    <row r="686" spans="1:11" ht="15.6">
      <c r="A686" s="342">
        <v>45985</v>
      </c>
      <c r="B686" s="219" t="s">
        <v>4404</v>
      </c>
      <c r="C686" s="179" t="s">
        <v>172</v>
      </c>
      <c r="D686" s="219" t="s">
        <v>115</v>
      </c>
      <c r="E686" s="242"/>
      <c r="F686" s="487">
        <v>1000</v>
      </c>
      <c r="G686" s="245"/>
      <c r="H686" s="345">
        <f t="shared" si="13"/>
        <v>7600</v>
      </c>
      <c r="I686" s="179" t="s">
        <v>191</v>
      </c>
      <c r="J686" s="219" t="s">
        <v>4405</v>
      </c>
      <c r="K686" s="183"/>
    </row>
    <row r="687" spans="1:11" ht="15.6">
      <c r="A687" s="178"/>
      <c r="B687" s="202"/>
      <c r="C687" s="209"/>
      <c r="D687" s="202"/>
      <c r="E687" s="210">
        <f>SUM(E634:E686)</f>
        <v>179500</v>
      </c>
      <c r="F687" s="210">
        <f>SUM(F634:F686)</f>
        <v>272500</v>
      </c>
      <c r="G687" s="210"/>
      <c r="H687" s="210">
        <f>+E687-F687+H634</f>
        <v>7600</v>
      </c>
      <c r="I687" s="183"/>
      <c r="J687" s="183"/>
      <c r="K687" s="183"/>
    </row>
    <row r="688" spans="1:11" ht="15.6">
      <c r="A688" s="185"/>
      <c r="B688" s="183"/>
      <c r="C688" s="186" t="s">
        <v>1826</v>
      </c>
      <c r="D688" s="183"/>
      <c r="E688" s="187"/>
      <c r="F688" s="187"/>
      <c r="G688" s="187"/>
      <c r="H688" s="188"/>
      <c r="I688" s="183"/>
      <c r="J688" s="183"/>
      <c r="K688" s="183"/>
    </row>
    <row r="689" spans="1:11" ht="15.6">
      <c r="A689" s="185"/>
      <c r="B689" s="183"/>
      <c r="C689" s="183"/>
      <c r="D689" s="183"/>
      <c r="E689" s="187"/>
      <c r="F689" s="187"/>
      <c r="G689" s="187"/>
      <c r="H689" s="188"/>
      <c r="I689" s="183"/>
      <c r="J689" s="183"/>
      <c r="K689" s="183"/>
    </row>
    <row r="690" spans="1:11" ht="15.6">
      <c r="A690" s="189" t="s">
        <v>0</v>
      </c>
      <c r="B690" s="190" t="s">
        <v>443</v>
      </c>
      <c r="C690" s="190" t="s">
        <v>444</v>
      </c>
      <c r="D690" s="190" t="s">
        <v>445</v>
      </c>
      <c r="E690" s="191" t="s">
        <v>446</v>
      </c>
      <c r="F690" s="191" t="s">
        <v>447</v>
      </c>
      <c r="G690" s="191"/>
      <c r="H690" s="192" t="s">
        <v>458</v>
      </c>
      <c r="I690" s="190" t="s">
        <v>448</v>
      </c>
      <c r="J690" s="190" t="s">
        <v>449</v>
      </c>
      <c r="K690" s="193"/>
    </row>
    <row r="691" spans="1:11" ht="15.6">
      <c r="A691" s="144">
        <v>45962</v>
      </c>
      <c r="B691" s="177" t="s">
        <v>4161</v>
      </c>
      <c r="C691" s="177"/>
      <c r="D691" s="177"/>
      <c r="E691" s="180"/>
      <c r="F691" s="180"/>
      <c r="G691" s="180"/>
      <c r="H691" s="181">
        <v>22130</v>
      </c>
      <c r="I691" s="177" t="s">
        <v>195</v>
      </c>
      <c r="J691" s="177"/>
      <c r="K691" s="183"/>
    </row>
    <row r="692" spans="1:11" ht="15.6">
      <c r="A692" s="405">
        <v>45964</v>
      </c>
      <c r="B692" s="179" t="s">
        <v>4416</v>
      </c>
      <c r="C692" s="239" t="s">
        <v>150</v>
      </c>
      <c r="D692" s="239" t="s">
        <v>115</v>
      </c>
      <c r="E692" s="240">
        <v>10000</v>
      </c>
      <c r="F692" s="240"/>
      <c r="G692" s="240"/>
      <c r="H692" s="241">
        <f t="shared" ref="H692:H739" si="14">H691+E692-F692</f>
        <v>32130</v>
      </c>
      <c r="I692" s="239" t="s">
        <v>435</v>
      </c>
      <c r="J692" s="179" t="s">
        <v>4444</v>
      </c>
      <c r="K692" s="183"/>
    </row>
    <row r="693" spans="1:11" ht="15.6">
      <c r="A693" s="405">
        <v>45964</v>
      </c>
      <c r="B693" s="179" t="s">
        <v>4416</v>
      </c>
      <c r="C693" s="239" t="s">
        <v>150</v>
      </c>
      <c r="D693" s="239" t="s">
        <v>115</v>
      </c>
      <c r="E693" s="240"/>
      <c r="F693" s="240">
        <v>10000</v>
      </c>
      <c r="G693" s="240"/>
      <c r="H693" s="241">
        <f t="shared" si="14"/>
        <v>22130</v>
      </c>
      <c r="I693" s="239" t="s">
        <v>435</v>
      </c>
      <c r="J693" s="179" t="s">
        <v>4444</v>
      </c>
      <c r="K693" s="183"/>
    </row>
    <row r="694" spans="1:11" ht="15.6">
      <c r="A694" s="405">
        <v>45971</v>
      </c>
      <c r="B694" s="179" t="s">
        <v>4417</v>
      </c>
      <c r="C694" s="239" t="s">
        <v>150</v>
      </c>
      <c r="D694" s="239" t="s">
        <v>115</v>
      </c>
      <c r="E694" s="240">
        <v>10000</v>
      </c>
      <c r="F694" s="240"/>
      <c r="G694" s="240"/>
      <c r="H694" s="241">
        <f t="shared" si="14"/>
        <v>32130</v>
      </c>
      <c r="I694" s="239" t="s">
        <v>435</v>
      </c>
      <c r="J694" s="179" t="s">
        <v>4445</v>
      </c>
      <c r="K694" s="183"/>
    </row>
    <row r="695" spans="1:11" ht="15.6">
      <c r="A695" s="405">
        <v>45971</v>
      </c>
      <c r="B695" s="179" t="s">
        <v>4417</v>
      </c>
      <c r="C695" s="239" t="s">
        <v>150</v>
      </c>
      <c r="D695" s="239" t="s">
        <v>115</v>
      </c>
      <c r="E695" s="240"/>
      <c r="F695" s="240">
        <v>10000</v>
      </c>
      <c r="G695" s="240"/>
      <c r="H695" s="241">
        <f t="shared" si="14"/>
        <v>22130</v>
      </c>
      <c r="I695" s="239" t="s">
        <v>435</v>
      </c>
      <c r="J695" s="179" t="s">
        <v>4445</v>
      </c>
      <c r="K695" s="183"/>
    </row>
    <row r="696" spans="1:11" ht="15.6">
      <c r="A696" s="405">
        <v>45978</v>
      </c>
      <c r="B696" s="179" t="s">
        <v>4418</v>
      </c>
      <c r="C696" s="239" t="s">
        <v>150</v>
      </c>
      <c r="D696" s="239" t="s">
        <v>115</v>
      </c>
      <c r="E696" s="240">
        <v>10000</v>
      </c>
      <c r="F696" s="240"/>
      <c r="G696" s="240"/>
      <c r="H696" s="241">
        <f t="shared" si="14"/>
        <v>32130</v>
      </c>
      <c r="I696" s="239" t="s">
        <v>435</v>
      </c>
      <c r="J696" s="179" t="s">
        <v>4446</v>
      </c>
      <c r="K696" s="183"/>
    </row>
    <row r="697" spans="1:11" ht="15.6">
      <c r="A697" s="405">
        <v>45978</v>
      </c>
      <c r="B697" s="179" t="s">
        <v>4418</v>
      </c>
      <c r="C697" s="239" t="s">
        <v>150</v>
      </c>
      <c r="D697" s="239" t="s">
        <v>115</v>
      </c>
      <c r="E697" s="240"/>
      <c r="F697" s="240">
        <v>10000</v>
      </c>
      <c r="G697" s="240"/>
      <c r="H697" s="241">
        <f t="shared" si="14"/>
        <v>22130</v>
      </c>
      <c r="I697" s="239" t="s">
        <v>435</v>
      </c>
      <c r="J697" s="179" t="s">
        <v>4446</v>
      </c>
      <c r="K697" s="183"/>
    </row>
    <row r="698" spans="1:11" ht="15.6">
      <c r="A698" s="405">
        <v>45981</v>
      </c>
      <c r="B698" s="179" t="s">
        <v>2630</v>
      </c>
      <c r="C698" s="179" t="s">
        <v>122</v>
      </c>
      <c r="D698" s="239" t="s">
        <v>115</v>
      </c>
      <c r="E698" s="240">
        <v>136000</v>
      </c>
      <c r="F698" s="242"/>
      <c r="G698" s="240"/>
      <c r="H698" s="241">
        <f t="shared" si="14"/>
        <v>158130</v>
      </c>
      <c r="I698" s="497" t="s">
        <v>435</v>
      </c>
      <c r="J698" s="219" t="s">
        <v>4447</v>
      </c>
      <c r="K698" s="183"/>
    </row>
    <row r="699" spans="1:11" ht="15.6">
      <c r="A699" s="405">
        <v>45981</v>
      </c>
      <c r="B699" s="179" t="s">
        <v>4419</v>
      </c>
      <c r="C699" s="239" t="s">
        <v>194</v>
      </c>
      <c r="D699" s="239" t="s">
        <v>115</v>
      </c>
      <c r="E699" s="240"/>
      <c r="F699" s="240">
        <v>37000</v>
      </c>
      <c r="G699" s="240"/>
      <c r="H699" s="241">
        <f t="shared" si="14"/>
        <v>121130</v>
      </c>
      <c r="I699" s="239" t="s">
        <v>435</v>
      </c>
      <c r="J699" s="179" t="s">
        <v>4448</v>
      </c>
      <c r="K699" s="183"/>
    </row>
    <row r="700" spans="1:11" ht="15.6">
      <c r="A700" s="342">
        <v>45981</v>
      </c>
      <c r="B700" s="219" t="s">
        <v>4420</v>
      </c>
      <c r="C700" s="179" t="s">
        <v>172</v>
      </c>
      <c r="D700" s="239" t="s">
        <v>115</v>
      </c>
      <c r="E700" s="316">
        <v>88000</v>
      </c>
      <c r="F700" s="240"/>
      <c r="G700" s="240"/>
      <c r="H700" s="241">
        <f t="shared" si="14"/>
        <v>209130</v>
      </c>
      <c r="I700" s="219" t="s">
        <v>195</v>
      </c>
      <c r="J700" s="179" t="s">
        <v>4449</v>
      </c>
      <c r="K700" s="183"/>
    </row>
    <row r="701" spans="1:11" ht="15.6">
      <c r="A701" s="342">
        <v>45981</v>
      </c>
      <c r="B701" s="219" t="s">
        <v>4421</v>
      </c>
      <c r="C701" s="179" t="s">
        <v>175</v>
      </c>
      <c r="D701" s="239" t="s">
        <v>115</v>
      </c>
      <c r="E701" s="316">
        <v>175000</v>
      </c>
      <c r="F701" s="240"/>
      <c r="G701" s="240"/>
      <c r="H701" s="241">
        <f t="shared" si="14"/>
        <v>384130</v>
      </c>
      <c r="I701" s="219" t="s">
        <v>195</v>
      </c>
      <c r="J701" s="179" t="s">
        <v>4450</v>
      </c>
      <c r="K701" s="183"/>
    </row>
    <row r="702" spans="1:11" ht="15.6">
      <c r="A702" s="342">
        <v>45981</v>
      </c>
      <c r="B702" s="219" t="s">
        <v>4420</v>
      </c>
      <c r="C702" s="179" t="s">
        <v>172</v>
      </c>
      <c r="D702" s="239" t="s">
        <v>115</v>
      </c>
      <c r="E702" s="316"/>
      <c r="F702" s="316">
        <v>88000</v>
      </c>
      <c r="G702" s="240"/>
      <c r="H702" s="241">
        <f t="shared" si="14"/>
        <v>296130</v>
      </c>
      <c r="I702" s="219" t="s">
        <v>195</v>
      </c>
      <c r="J702" s="179" t="s">
        <v>4449</v>
      </c>
      <c r="K702" s="183"/>
    </row>
    <row r="703" spans="1:11" ht="15.6">
      <c r="A703" s="342">
        <v>45981</v>
      </c>
      <c r="B703" s="219" t="s">
        <v>4421</v>
      </c>
      <c r="C703" s="179" t="s">
        <v>175</v>
      </c>
      <c r="D703" s="239" t="s">
        <v>115</v>
      </c>
      <c r="E703" s="316"/>
      <c r="F703" s="316">
        <v>175000</v>
      </c>
      <c r="G703" s="240"/>
      <c r="H703" s="241">
        <f t="shared" si="14"/>
        <v>121130</v>
      </c>
      <c r="I703" s="219" t="s">
        <v>195</v>
      </c>
      <c r="J703" s="179" t="s">
        <v>4450</v>
      </c>
      <c r="K703" s="183"/>
    </row>
    <row r="704" spans="1:11" ht="15.6">
      <c r="A704" s="405">
        <v>45983</v>
      </c>
      <c r="B704" s="179" t="s">
        <v>4422</v>
      </c>
      <c r="C704" s="239" t="s">
        <v>194</v>
      </c>
      <c r="D704" s="239" t="s">
        <v>115</v>
      </c>
      <c r="E704" s="240"/>
      <c r="F704" s="242">
        <v>2000</v>
      </c>
      <c r="G704" s="240"/>
      <c r="H704" s="241">
        <f t="shared" si="14"/>
        <v>119130</v>
      </c>
      <c r="I704" s="497" t="s">
        <v>435</v>
      </c>
      <c r="J704" s="219" t="s">
        <v>4451</v>
      </c>
      <c r="K704" s="183"/>
    </row>
    <row r="705" spans="1:11" ht="15.6">
      <c r="A705" s="405">
        <v>45983</v>
      </c>
      <c r="B705" s="179" t="s">
        <v>4423</v>
      </c>
      <c r="C705" s="239" t="s">
        <v>194</v>
      </c>
      <c r="D705" s="239" t="s">
        <v>115</v>
      </c>
      <c r="E705" s="240"/>
      <c r="F705" s="242">
        <v>2000</v>
      </c>
      <c r="G705" s="240"/>
      <c r="H705" s="241">
        <f t="shared" si="14"/>
        <v>117130</v>
      </c>
      <c r="I705" s="497" t="s">
        <v>435</v>
      </c>
      <c r="J705" s="219" t="s">
        <v>4451</v>
      </c>
      <c r="K705" s="183"/>
    </row>
    <row r="706" spans="1:11" ht="15.6">
      <c r="A706" s="405">
        <v>45984</v>
      </c>
      <c r="B706" s="179" t="s">
        <v>4424</v>
      </c>
      <c r="C706" s="239" t="s">
        <v>194</v>
      </c>
      <c r="D706" s="239" t="s">
        <v>115</v>
      </c>
      <c r="E706" s="240"/>
      <c r="F706" s="242">
        <v>3000</v>
      </c>
      <c r="G706" s="240"/>
      <c r="H706" s="241">
        <f t="shared" si="14"/>
        <v>114130</v>
      </c>
      <c r="I706" s="497" t="s">
        <v>435</v>
      </c>
      <c r="J706" s="219" t="s">
        <v>4451</v>
      </c>
      <c r="K706" s="183"/>
    </row>
    <row r="707" spans="1:11" ht="15.6">
      <c r="A707" s="405">
        <v>45984</v>
      </c>
      <c r="B707" s="179" t="s">
        <v>4425</v>
      </c>
      <c r="C707" s="239" t="s">
        <v>194</v>
      </c>
      <c r="D707" s="239" t="s">
        <v>115</v>
      </c>
      <c r="E707" s="240"/>
      <c r="F707" s="242">
        <v>500</v>
      </c>
      <c r="G707" s="240"/>
      <c r="H707" s="241">
        <f t="shared" si="14"/>
        <v>113630</v>
      </c>
      <c r="I707" s="497" t="s">
        <v>435</v>
      </c>
      <c r="J707" s="219" t="s">
        <v>4451</v>
      </c>
      <c r="K707" s="183"/>
    </row>
    <row r="708" spans="1:11" ht="15.6">
      <c r="A708" s="405">
        <v>45984</v>
      </c>
      <c r="B708" s="243" t="s">
        <v>4426</v>
      </c>
      <c r="C708" s="243" t="s">
        <v>175</v>
      </c>
      <c r="D708" s="243" t="s">
        <v>115</v>
      </c>
      <c r="E708" s="240"/>
      <c r="F708" s="240">
        <v>70000</v>
      </c>
      <c r="G708" s="240"/>
      <c r="H708" s="241">
        <f t="shared" si="14"/>
        <v>43630</v>
      </c>
      <c r="I708" s="497" t="s">
        <v>435</v>
      </c>
      <c r="J708" s="219" t="s">
        <v>4452</v>
      </c>
      <c r="K708" s="183"/>
    </row>
    <row r="709" spans="1:11" ht="15.6">
      <c r="A709" s="405">
        <v>45984</v>
      </c>
      <c r="B709" s="243" t="s">
        <v>4427</v>
      </c>
      <c r="C709" s="243" t="s">
        <v>175</v>
      </c>
      <c r="D709" s="243" t="s">
        <v>115</v>
      </c>
      <c r="E709" s="240"/>
      <c r="F709" s="240">
        <v>15000</v>
      </c>
      <c r="G709" s="240"/>
      <c r="H709" s="241">
        <f t="shared" si="14"/>
        <v>28630</v>
      </c>
      <c r="I709" s="239" t="s">
        <v>435</v>
      </c>
      <c r="J709" s="179" t="s">
        <v>4453</v>
      </c>
      <c r="K709" s="183"/>
    </row>
    <row r="710" spans="1:11" ht="15.6">
      <c r="A710" s="405">
        <v>45985</v>
      </c>
      <c r="B710" s="179" t="s">
        <v>4428</v>
      </c>
      <c r="C710" s="239" t="s">
        <v>194</v>
      </c>
      <c r="D710" s="239" t="s">
        <v>115</v>
      </c>
      <c r="E710" s="240"/>
      <c r="F710" s="242">
        <v>500</v>
      </c>
      <c r="G710" s="240"/>
      <c r="H710" s="241">
        <f t="shared" si="14"/>
        <v>28130</v>
      </c>
      <c r="I710" s="497" t="s">
        <v>435</v>
      </c>
      <c r="J710" s="219" t="s">
        <v>4451</v>
      </c>
      <c r="K710" s="183"/>
    </row>
    <row r="711" spans="1:11" ht="15.6">
      <c r="A711" s="405">
        <v>45985</v>
      </c>
      <c r="B711" s="179" t="s">
        <v>2626</v>
      </c>
      <c r="C711" s="239" t="s">
        <v>194</v>
      </c>
      <c r="D711" s="239" t="s">
        <v>115</v>
      </c>
      <c r="E711" s="240"/>
      <c r="F711" s="242">
        <v>500</v>
      </c>
      <c r="G711" s="240"/>
      <c r="H711" s="241">
        <f t="shared" si="14"/>
        <v>27630</v>
      </c>
      <c r="I711" s="497" t="s">
        <v>435</v>
      </c>
      <c r="J711" s="219" t="s">
        <v>4451</v>
      </c>
      <c r="K711" s="183"/>
    </row>
    <row r="712" spans="1:11" ht="15.6">
      <c r="A712" s="405">
        <v>45985</v>
      </c>
      <c r="B712" s="243" t="s">
        <v>4429</v>
      </c>
      <c r="C712" s="243" t="s">
        <v>175</v>
      </c>
      <c r="D712" s="243" t="s">
        <v>115</v>
      </c>
      <c r="E712" s="240"/>
      <c r="F712" s="240">
        <v>15000</v>
      </c>
      <c r="G712" s="240"/>
      <c r="H712" s="241">
        <f t="shared" si="14"/>
        <v>12630</v>
      </c>
      <c r="I712" s="239" t="s">
        <v>435</v>
      </c>
      <c r="J712" s="179" t="s">
        <v>4454</v>
      </c>
      <c r="K712" s="183"/>
    </row>
    <row r="713" spans="1:11" ht="15.6">
      <c r="A713" s="405">
        <v>45986</v>
      </c>
      <c r="B713" s="179" t="s">
        <v>2628</v>
      </c>
      <c r="C713" s="239" t="s">
        <v>194</v>
      </c>
      <c r="D713" s="239" t="s">
        <v>115</v>
      </c>
      <c r="E713" s="240"/>
      <c r="F713" s="242">
        <v>500</v>
      </c>
      <c r="G713" s="240"/>
      <c r="H713" s="241">
        <f t="shared" si="14"/>
        <v>12130</v>
      </c>
      <c r="I713" s="497" t="s">
        <v>435</v>
      </c>
      <c r="J713" s="219" t="s">
        <v>4451</v>
      </c>
      <c r="K713" s="183"/>
    </row>
    <row r="714" spans="1:11" ht="15.6">
      <c r="A714" s="405">
        <v>45986</v>
      </c>
      <c r="B714" s="179" t="s">
        <v>2629</v>
      </c>
      <c r="C714" s="239" t="s">
        <v>194</v>
      </c>
      <c r="D714" s="239" t="s">
        <v>115</v>
      </c>
      <c r="E714" s="240"/>
      <c r="F714" s="242">
        <v>500</v>
      </c>
      <c r="G714" s="240"/>
      <c r="H714" s="241">
        <f t="shared" si="14"/>
        <v>11630</v>
      </c>
      <c r="I714" s="497" t="s">
        <v>435</v>
      </c>
      <c r="J714" s="219" t="s">
        <v>4451</v>
      </c>
      <c r="K714" s="183"/>
    </row>
    <row r="715" spans="1:11" ht="15.6">
      <c r="A715" s="405">
        <v>45987</v>
      </c>
      <c r="B715" s="179" t="s">
        <v>4430</v>
      </c>
      <c r="C715" s="239" t="s">
        <v>194</v>
      </c>
      <c r="D715" s="239" t="s">
        <v>115</v>
      </c>
      <c r="E715" s="240"/>
      <c r="F715" s="242">
        <v>500</v>
      </c>
      <c r="G715" s="240"/>
      <c r="H715" s="241">
        <f t="shared" si="14"/>
        <v>11130</v>
      </c>
      <c r="I715" s="497" t="s">
        <v>435</v>
      </c>
      <c r="J715" s="219" t="s">
        <v>4451</v>
      </c>
      <c r="K715" s="183"/>
    </row>
    <row r="716" spans="1:11" ht="15.6">
      <c r="A716" s="405">
        <v>45987</v>
      </c>
      <c r="B716" s="179" t="s">
        <v>4431</v>
      </c>
      <c r="C716" s="179" t="s">
        <v>311</v>
      </c>
      <c r="D716" s="239" t="s">
        <v>115</v>
      </c>
      <c r="E716" s="240"/>
      <c r="F716" s="242">
        <v>3000</v>
      </c>
      <c r="G716" s="240"/>
      <c r="H716" s="241">
        <f t="shared" si="14"/>
        <v>8130</v>
      </c>
      <c r="I716" s="497" t="s">
        <v>435</v>
      </c>
      <c r="J716" s="219" t="s">
        <v>4455</v>
      </c>
      <c r="K716" s="183"/>
    </row>
    <row r="717" spans="1:11" ht="15.6">
      <c r="A717" s="405">
        <v>45987</v>
      </c>
      <c r="B717" s="179" t="s">
        <v>4432</v>
      </c>
      <c r="C717" s="239" t="s">
        <v>194</v>
      </c>
      <c r="D717" s="239" t="s">
        <v>115</v>
      </c>
      <c r="E717" s="240"/>
      <c r="F717" s="242">
        <v>500</v>
      </c>
      <c r="G717" s="240"/>
      <c r="H717" s="241">
        <f t="shared" si="14"/>
        <v>7630</v>
      </c>
      <c r="I717" s="497" t="s">
        <v>435</v>
      </c>
      <c r="J717" s="219" t="s">
        <v>4451</v>
      </c>
      <c r="K717" s="183"/>
    </row>
    <row r="718" spans="1:11" ht="15.6">
      <c r="A718" s="405">
        <v>45987</v>
      </c>
      <c r="B718" s="179" t="s">
        <v>2048</v>
      </c>
      <c r="C718" s="239" t="s">
        <v>194</v>
      </c>
      <c r="D718" s="239" t="s">
        <v>115</v>
      </c>
      <c r="E718" s="240"/>
      <c r="F718" s="240">
        <v>37000</v>
      </c>
      <c r="G718" s="240"/>
      <c r="H718" s="241">
        <f t="shared" si="14"/>
        <v>-29370</v>
      </c>
      <c r="I718" s="239" t="s">
        <v>435</v>
      </c>
      <c r="J718" s="179" t="s">
        <v>4456</v>
      </c>
      <c r="K718" s="183"/>
    </row>
    <row r="719" spans="1:11" ht="15.6">
      <c r="A719" s="405">
        <v>45987</v>
      </c>
      <c r="B719" s="179" t="s">
        <v>3067</v>
      </c>
      <c r="C719" s="239" t="s">
        <v>194</v>
      </c>
      <c r="D719" s="239" t="s">
        <v>115</v>
      </c>
      <c r="E719" s="240"/>
      <c r="F719" s="242">
        <v>500</v>
      </c>
      <c r="G719" s="240"/>
      <c r="H719" s="241">
        <f t="shared" si="14"/>
        <v>-29870</v>
      </c>
      <c r="I719" s="497" t="s">
        <v>435</v>
      </c>
      <c r="J719" s="219" t="s">
        <v>4451</v>
      </c>
      <c r="K719" s="183"/>
    </row>
    <row r="720" spans="1:11" ht="15.6">
      <c r="A720" s="405">
        <v>45987</v>
      </c>
      <c r="B720" s="179" t="s">
        <v>4433</v>
      </c>
      <c r="C720" s="239" t="s">
        <v>194</v>
      </c>
      <c r="D720" s="239" t="s">
        <v>115</v>
      </c>
      <c r="E720" s="240"/>
      <c r="F720" s="242">
        <v>500</v>
      </c>
      <c r="G720" s="240"/>
      <c r="H720" s="241">
        <f t="shared" si="14"/>
        <v>-30370</v>
      </c>
      <c r="I720" s="497" t="s">
        <v>435</v>
      </c>
      <c r="J720" s="219" t="s">
        <v>4451</v>
      </c>
      <c r="K720" s="183"/>
    </row>
    <row r="721" spans="1:11" ht="15.6">
      <c r="A721" s="405">
        <v>45987</v>
      </c>
      <c r="B721" s="179" t="s">
        <v>4434</v>
      </c>
      <c r="C721" s="179" t="s">
        <v>311</v>
      </c>
      <c r="D721" s="239" t="s">
        <v>115</v>
      </c>
      <c r="E721" s="240"/>
      <c r="F721" s="242">
        <v>3000</v>
      </c>
      <c r="G721" s="240"/>
      <c r="H721" s="241">
        <f t="shared" si="14"/>
        <v>-33370</v>
      </c>
      <c r="I721" s="497" t="s">
        <v>435</v>
      </c>
      <c r="J721" s="219" t="s">
        <v>4455</v>
      </c>
      <c r="K721" s="183"/>
    </row>
    <row r="722" spans="1:11" ht="15.6">
      <c r="A722" s="405">
        <v>45987</v>
      </c>
      <c r="B722" s="179" t="s">
        <v>4435</v>
      </c>
      <c r="C722" s="239" t="s">
        <v>194</v>
      </c>
      <c r="D722" s="239" t="s">
        <v>115</v>
      </c>
      <c r="E722" s="240"/>
      <c r="F722" s="242">
        <v>500</v>
      </c>
      <c r="G722" s="240"/>
      <c r="H722" s="241">
        <f t="shared" si="14"/>
        <v>-33870</v>
      </c>
      <c r="I722" s="497" t="s">
        <v>435</v>
      </c>
      <c r="J722" s="219" t="s">
        <v>4451</v>
      </c>
      <c r="K722" s="183"/>
    </row>
    <row r="723" spans="1:11" ht="15.6">
      <c r="A723" s="405">
        <v>45987</v>
      </c>
      <c r="B723" s="179" t="s">
        <v>4730</v>
      </c>
      <c r="C723" s="239" t="s">
        <v>194</v>
      </c>
      <c r="D723" s="239" t="s">
        <v>115</v>
      </c>
      <c r="E723" s="240">
        <v>136000</v>
      </c>
      <c r="F723" s="242"/>
      <c r="G723" s="240"/>
      <c r="H723" s="241">
        <f t="shared" si="14"/>
        <v>102130</v>
      </c>
      <c r="I723" s="497" t="s">
        <v>435</v>
      </c>
      <c r="J723" s="219" t="s">
        <v>4451</v>
      </c>
      <c r="K723" s="183"/>
    </row>
    <row r="724" spans="1:11" ht="15.6">
      <c r="A724" s="405">
        <v>45988</v>
      </c>
      <c r="B724" s="179" t="s">
        <v>4436</v>
      </c>
      <c r="C724" s="239" t="s">
        <v>194</v>
      </c>
      <c r="D724" s="239" t="s">
        <v>115</v>
      </c>
      <c r="E724" s="240"/>
      <c r="F724" s="242">
        <v>500</v>
      </c>
      <c r="G724" s="240"/>
      <c r="H724" s="241">
        <f>H723+E724-F724</f>
        <v>101630</v>
      </c>
      <c r="I724" s="497" t="s">
        <v>435</v>
      </c>
      <c r="J724" s="219" t="s">
        <v>4451</v>
      </c>
      <c r="K724" s="183"/>
    </row>
    <row r="725" spans="1:11" ht="15.6">
      <c r="A725" s="405">
        <v>45988</v>
      </c>
      <c r="B725" s="179" t="s">
        <v>4431</v>
      </c>
      <c r="C725" s="179" t="s">
        <v>311</v>
      </c>
      <c r="D725" s="239" t="s">
        <v>115</v>
      </c>
      <c r="E725" s="240"/>
      <c r="F725" s="242">
        <v>3000</v>
      </c>
      <c r="G725" s="240"/>
      <c r="H725" s="241">
        <f t="shared" si="14"/>
        <v>98630</v>
      </c>
      <c r="I725" s="497" t="s">
        <v>435</v>
      </c>
      <c r="J725" s="219" t="s">
        <v>4455</v>
      </c>
      <c r="K725" s="183"/>
    </row>
    <row r="726" spans="1:11" ht="15.6">
      <c r="A726" s="405">
        <v>45988</v>
      </c>
      <c r="B726" s="179" t="s">
        <v>2665</v>
      </c>
      <c r="C726" s="239" t="s">
        <v>194</v>
      </c>
      <c r="D726" s="239" t="s">
        <v>115</v>
      </c>
      <c r="E726" s="240"/>
      <c r="F726" s="242">
        <v>500</v>
      </c>
      <c r="G726" s="240"/>
      <c r="H726" s="241">
        <f t="shared" si="14"/>
        <v>98130</v>
      </c>
      <c r="I726" s="497" t="s">
        <v>435</v>
      </c>
      <c r="J726" s="219" t="s">
        <v>4451</v>
      </c>
      <c r="K726" s="183"/>
    </row>
    <row r="727" spans="1:11" ht="15.6">
      <c r="A727" s="405">
        <v>45988</v>
      </c>
      <c r="B727" s="179" t="s">
        <v>4437</v>
      </c>
      <c r="C727" s="239" t="s">
        <v>194</v>
      </c>
      <c r="D727" s="239" t="s">
        <v>115</v>
      </c>
      <c r="E727" s="240"/>
      <c r="F727" s="242">
        <v>500</v>
      </c>
      <c r="G727" s="240"/>
      <c r="H727" s="241">
        <f t="shared" si="14"/>
        <v>97630</v>
      </c>
      <c r="I727" s="497" t="s">
        <v>435</v>
      </c>
      <c r="J727" s="219" t="s">
        <v>4451</v>
      </c>
      <c r="K727" s="183"/>
    </row>
    <row r="728" spans="1:11" ht="15.6">
      <c r="A728" s="405">
        <v>45988</v>
      </c>
      <c r="B728" s="179" t="s">
        <v>4438</v>
      </c>
      <c r="C728" s="239" t="s">
        <v>194</v>
      </c>
      <c r="D728" s="239" t="s">
        <v>115</v>
      </c>
      <c r="E728" s="240"/>
      <c r="F728" s="242">
        <v>500</v>
      </c>
      <c r="G728" s="240"/>
      <c r="H728" s="241">
        <f t="shared" si="14"/>
        <v>97130</v>
      </c>
      <c r="I728" s="497" t="s">
        <v>435</v>
      </c>
      <c r="J728" s="219" t="s">
        <v>4451</v>
      </c>
      <c r="K728" s="183"/>
    </row>
    <row r="729" spans="1:11" ht="15.6">
      <c r="A729" s="405">
        <v>45988</v>
      </c>
      <c r="B729" s="179" t="s">
        <v>4434</v>
      </c>
      <c r="C729" s="179" t="s">
        <v>311</v>
      </c>
      <c r="D729" s="239" t="s">
        <v>115</v>
      </c>
      <c r="E729" s="240"/>
      <c r="F729" s="242">
        <v>3000</v>
      </c>
      <c r="G729" s="240"/>
      <c r="H729" s="241">
        <f t="shared" si="14"/>
        <v>94130</v>
      </c>
      <c r="I729" s="497" t="s">
        <v>435</v>
      </c>
      <c r="J729" s="219" t="s">
        <v>4455</v>
      </c>
      <c r="K729" s="183"/>
    </row>
    <row r="730" spans="1:11" ht="15.6">
      <c r="A730" s="405">
        <v>45988</v>
      </c>
      <c r="B730" s="179" t="s">
        <v>4435</v>
      </c>
      <c r="C730" s="239" t="s">
        <v>194</v>
      </c>
      <c r="D730" s="239" t="s">
        <v>115</v>
      </c>
      <c r="E730" s="240"/>
      <c r="F730" s="242">
        <v>500</v>
      </c>
      <c r="G730" s="240"/>
      <c r="H730" s="241">
        <f t="shared" si="14"/>
        <v>93630</v>
      </c>
      <c r="I730" s="497" t="s">
        <v>435</v>
      </c>
      <c r="J730" s="219" t="s">
        <v>4451</v>
      </c>
      <c r="K730" s="183"/>
    </row>
    <row r="731" spans="1:11" ht="15.6">
      <c r="A731" s="405">
        <v>45989</v>
      </c>
      <c r="B731" s="243" t="s">
        <v>4439</v>
      </c>
      <c r="C731" s="243" t="s">
        <v>175</v>
      </c>
      <c r="D731" s="243" t="s">
        <v>115</v>
      </c>
      <c r="E731" s="240"/>
      <c r="F731" s="240">
        <v>45000</v>
      </c>
      <c r="G731" s="240"/>
      <c r="H731" s="241">
        <f t="shared" si="14"/>
        <v>48630</v>
      </c>
      <c r="I731" s="239" t="s">
        <v>435</v>
      </c>
      <c r="J731" s="179" t="s">
        <v>4457</v>
      </c>
      <c r="K731" s="183"/>
    </row>
    <row r="732" spans="1:11" ht="15.6">
      <c r="A732" s="405">
        <v>45989</v>
      </c>
      <c r="B732" s="179" t="s">
        <v>3084</v>
      </c>
      <c r="C732" s="239" t="s">
        <v>194</v>
      </c>
      <c r="D732" s="239" t="s">
        <v>115</v>
      </c>
      <c r="E732" s="240"/>
      <c r="F732" s="242">
        <v>500</v>
      </c>
      <c r="G732" s="240"/>
      <c r="H732" s="241">
        <f t="shared" si="14"/>
        <v>48130</v>
      </c>
      <c r="I732" s="497" t="s">
        <v>435</v>
      </c>
      <c r="J732" s="219" t="s">
        <v>4451</v>
      </c>
      <c r="K732" s="183"/>
    </row>
    <row r="733" spans="1:11" ht="15.6">
      <c r="A733" s="405">
        <v>45989</v>
      </c>
      <c r="B733" s="179" t="s">
        <v>3085</v>
      </c>
      <c r="C733" s="239" t="s">
        <v>194</v>
      </c>
      <c r="D733" s="239" t="s">
        <v>115</v>
      </c>
      <c r="E733" s="240"/>
      <c r="F733" s="242">
        <v>500</v>
      </c>
      <c r="G733" s="240"/>
      <c r="H733" s="241">
        <f t="shared" si="14"/>
        <v>47630</v>
      </c>
      <c r="I733" s="497" t="s">
        <v>435</v>
      </c>
      <c r="J733" s="219" t="s">
        <v>4451</v>
      </c>
      <c r="K733" s="183"/>
    </row>
    <row r="734" spans="1:11" ht="15.6">
      <c r="A734" s="405">
        <v>45990</v>
      </c>
      <c r="B734" s="243" t="s">
        <v>4440</v>
      </c>
      <c r="C734" s="243" t="s">
        <v>175</v>
      </c>
      <c r="D734" s="243" t="s">
        <v>115</v>
      </c>
      <c r="E734" s="240"/>
      <c r="F734" s="240">
        <v>15000</v>
      </c>
      <c r="G734" s="240"/>
      <c r="H734" s="241">
        <f t="shared" si="14"/>
        <v>32630</v>
      </c>
      <c r="I734" s="239" t="s">
        <v>435</v>
      </c>
      <c r="J734" s="179" t="s">
        <v>4458</v>
      </c>
      <c r="K734" s="183"/>
    </row>
    <row r="735" spans="1:11" ht="15.6">
      <c r="A735" s="405">
        <v>45990</v>
      </c>
      <c r="B735" s="179" t="s">
        <v>3087</v>
      </c>
      <c r="C735" s="239" t="s">
        <v>194</v>
      </c>
      <c r="D735" s="239" t="s">
        <v>115</v>
      </c>
      <c r="E735" s="240"/>
      <c r="F735" s="242">
        <v>500</v>
      </c>
      <c r="G735" s="240"/>
      <c r="H735" s="241">
        <f t="shared" si="14"/>
        <v>32130</v>
      </c>
      <c r="I735" s="497" t="s">
        <v>435</v>
      </c>
      <c r="J735" s="219" t="s">
        <v>4451</v>
      </c>
      <c r="K735" s="183"/>
    </row>
    <row r="736" spans="1:11" ht="15.6">
      <c r="A736" s="405">
        <v>45990</v>
      </c>
      <c r="B736" s="179" t="s">
        <v>4441</v>
      </c>
      <c r="C736" s="239" t="s">
        <v>194</v>
      </c>
      <c r="D736" s="239" t="s">
        <v>115</v>
      </c>
      <c r="E736" s="240"/>
      <c r="F736" s="242">
        <v>500</v>
      </c>
      <c r="G736" s="240"/>
      <c r="H736" s="241">
        <f t="shared" si="14"/>
        <v>31630</v>
      </c>
      <c r="I736" s="497" t="s">
        <v>435</v>
      </c>
      <c r="J736" s="219" t="s">
        <v>4451</v>
      </c>
      <c r="K736" s="183"/>
    </row>
    <row r="737" spans="1:11" ht="15.6">
      <c r="A737" s="405">
        <v>45991</v>
      </c>
      <c r="B737" s="243" t="s">
        <v>4442</v>
      </c>
      <c r="C737" s="243" t="s">
        <v>175</v>
      </c>
      <c r="D737" s="243" t="s">
        <v>115</v>
      </c>
      <c r="E737" s="240"/>
      <c r="F737" s="240">
        <v>15000</v>
      </c>
      <c r="G737" s="240"/>
      <c r="H737" s="241">
        <f t="shared" si="14"/>
        <v>16630</v>
      </c>
      <c r="I737" s="239" t="s">
        <v>435</v>
      </c>
      <c r="J737" s="179" t="s">
        <v>4459</v>
      </c>
      <c r="K737" s="183"/>
    </row>
    <row r="738" spans="1:11" ht="15.6">
      <c r="A738" s="405">
        <v>45991</v>
      </c>
      <c r="B738" s="179" t="s">
        <v>4443</v>
      </c>
      <c r="C738" s="239" t="s">
        <v>194</v>
      </c>
      <c r="D738" s="239" t="s">
        <v>115</v>
      </c>
      <c r="E738" s="240"/>
      <c r="F738" s="242">
        <v>500</v>
      </c>
      <c r="G738" s="240"/>
      <c r="H738" s="241">
        <f t="shared" si="14"/>
        <v>16130</v>
      </c>
      <c r="I738" s="497" t="s">
        <v>435</v>
      </c>
      <c r="J738" s="219" t="s">
        <v>4451</v>
      </c>
      <c r="K738" s="183"/>
    </row>
    <row r="739" spans="1:11" ht="15.6">
      <c r="A739" s="405">
        <v>45991</v>
      </c>
      <c r="B739" s="179" t="s">
        <v>3091</v>
      </c>
      <c r="C739" s="239" t="s">
        <v>194</v>
      </c>
      <c r="D739" s="239" t="s">
        <v>115</v>
      </c>
      <c r="E739" s="240"/>
      <c r="F739" s="240">
        <v>3000</v>
      </c>
      <c r="G739" s="240"/>
      <c r="H739" s="241">
        <f t="shared" si="14"/>
        <v>13130</v>
      </c>
      <c r="I739" s="497" t="s">
        <v>435</v>
      </c>
      <c r="J739" s="219" t="s">
        <v>4451</v>
      </c>
      <c r="K739" s="183"/>
    </row>
    <row r="740" spans="1:11" ht="15.6">
      <c r="A740" s="185"/>
      <c r="B740" s="183"/>
      <c r="C740" s="183"/>
      <c r="D740" s="183"/>
      <c r="E740" s="187">
        <f>SUM(E692:E739)</f>
        <v>565000</v>
      </c>
      <c r="F740" s="187">
        <f>SUM(F692:F739)</f>
        <v>574000</v>
      </c>
      <c r="G740" s="187"/>
      <c r="H740" s="188">
        <f>+E740-F740+H691</f>
        <v>13130</v>
      </c>
      <c r="I740" s="183"/>
      <c r="J740" s="183"/>
      <c r="K740" s="183"/>
    </row>
    <row r="741" spans="1:11" ht="15.6">
      <c r="A741" s="185"/>
      <c r="B741" s="183"/>
      <c r="C741" s="186" t="s">
        <v>459</v>
      </c>
      <c r="D741" s="183"/>
      <c r="E741" s="187"/>
      <c r="F741" s="187"/>
      <c r="G741" s="187"/>
      <c r="H741" s="188"/>
      <c r="I741" s="183"/>
      <c r="J741" s="183"/>
      <c r="K741" s="183"/>
    </row>
    <row r="742" spans="1:11" ht="15.6">
      <c r="A742" s="185"/>
      <c r="B742" s="183"/>
      <c r="C742" s="183"/>
      <c r="D742" s="183"/>
      <c r="E742" s="187"/>
      <c r="F742" s="187"/>
      <c r="G742" s="187"/>
      <c r="H742" s="188"/>
      <c r="I742" s="183"/>
      <c r="J742" s="183"/>
      <c r="K742" s="183"/>
    </row>
    <row r="743" spans="1:11" ht="15.6">
      <c r="A743" s="189" t="s">
        <v>0</v>
      </c>
      <c r="B743" s="190" t="s">
        <v>443</v>
      </c>
      <c r="C743" s="190" t="s">
        <v>444</v>
      </c>
      <c r="D743" s="190" t="s">
        <v>445</v>
      </c>
      <c r="E743" s="191" t="s">
        <v>446</v>
      </c>
      <c r="F743" s="191" t="s">
        <v>447</v>
      </c>
      <c r="G743" s="191"/>
      <c r="H743" s="192" t="s">
        <v>30</v>
      </c>
      <c r="I743" s="190" t="s">
        <v>448</v>
      </c>
      <c r="J743" s="190" t="s">
        <v>449</v>
      </c>
      <c r="K743" s="193"/>
    </row>
    <row r="744" spans="1:11" ht="15.6">
      <c r="A744" s="144">
        <v>45962</v>
      </c>
      <c r="B744" s="125" t="s">
        <v>4161</v>
      </c>
      <c r="C744" s="200"/>
      <c r="D744" s="179" t="s">
        <v>122</v>
      </c>
      <c r="E744" s="199"/>
      <c r="F744" s="199"/>
      <c r="G744" s="199"/>
      <c r="H744" s="163">
        <v>10750</v>
      </c>
      <c r="I744" s="184" t="s">
        <v>211</v>
      </c>
      <c r="J744" s="184"/>
      <c r="K744" s="183"/>
    </row>
    <row r="745" spans="1:11" ht="15.6">
      <c r="A745" s="498">
        <v>45962</v>
      </c>
      <c r="B745" s="440" t="s">
        <v>3825</v>
      </c>
      <c r="C745" s="440" t="s">
        <v>172</v>
      </c>
      <c r="D745" s="440" t="s">
        <v>118</v>
      </c>
      <c r="E745" s="499"/>
      <c r="F745" s="499">
        <v>1000</v>
      </c>
      <c r="G745" s="221"/>
      <c r="H745" s="163">
        <f t="shared" ref="H745:H808" si="15">+H744+E745-F745</f>
        <v>9750</v>
      </c>
      <c r="I745" s="440" t="s">
        <v>211</v>
      </c>
      <c r="J745" s="440" t="s">
        <v>4559</v>
      </c>
      <c r="K745" s="183"/>
    </row>
    <row r="746" spans="1:11" ht="15.6">
      <c r="A746" s="498">
        <v>45962</v>
      </c>
      <c r="B746" s="440" t="s">
        <v>3817</v>
      </c>
      <c r="C746" s="440" t="s">
        <v>172</v>
      </c>
      <c r="D746" s="440" t="s">
        <v>118</v>
      </c>
      <c r="E746" s="499"/>
      <c r="F746" s="499">
        <v>1000</v>
      </c>
      <c r="G746" s="221"/>
      <c r="H746" s="163">
        <f t="shared" si="15"/>
        <v>8750</v>
      </c>
      <c r="I746" s="440" t="s">
        <v>211</v>
      </c>
      <c r="J746" s="440" t="s">
        <v>4559</v>
      </c>
      <c r="K746" s="183"/>
    </row>
    <row r="747" spans="1:11" ht="15.6">
      <c r="A747" s="498">
        <v>45962</v>
      </c>
      <c r="B747" s="440" t="s">
        <v>3818</v>
      </c>
      <c r="C747" s="440" t="s">
        <v>172</v>
      </c>
      <c r="D747" s="440" t="s">
        <v>118</v>
      </c>
      <c r="E747" s="499"/>
      <c r="F747" s="499">
        <v>1000</v>
      </c>
      <c r="G747" s="221"/>
      <c r="H747" s="163">
        <f t="shared" si="15"/>
        <v>7750</v>
      </c>
      <c r="I747" s="440" t="s">
        <v>211</v>
      </c>
      <c r="J747" s="440" t="s">
        <v>4559</v>
      </c>
      <c r="K747" s="183"/>
    </row>
    <row r="748" spans="1:11" ht="15.6">
      <c r="A748" s="498">
        <v>45962</v>
      </c>
      <c r="B748" s="440" t="s">
        <v>3819</v>
      </c>
      <c r="C748" s="440" t="s">
        <v>172</v>
      </c>
      <c r="D748" s="440" t="s">
        <v>118</v>
      </c>
      <c r="E748" s="499"/>
      <c r="F748" s="499">
        <v>1000</v>
      </c>
      <c r="G748" s="221"/>
      <c r="H748" s="163">
        <f t="shared" si="15"/>
        <v>6750</v>
      </c>
      <c r="I748" s="440" t="s">
        <v>211</v>
      </c>
      <c r="J748" s="440" t="s">
        <v>4559</v>
      </c>
      <c r="K748" s="183"/>
    </row>
    <row r="749" spans="1:11" ht="15.6">
      <c r="A749" s="498">
        <v>45964</v>
      </c>
      <c r="B749" s="440" t="s">
        <v>3825</v>
      </c>
      <c r="C749" s="440" t="s">
        <v>172</v>
      </c>
      <c r="D749" s="440" t="s">
        <v>118</v>
      </c>
      <c r="E749" s="499"/>
      <c r="F749" s="499">
        <v>1000</v>
      </c>
      <c r="G749" s="221"/>
      <c r="H749" s="163">
        <f t="shared" si="15"/>
        <v>5750</v>
      </c>
      <c r="I749" s="440" t="s">
        <v>211</v>
      </c>
      <c r="J749" s="440" t="s">
        <v>4559</v>
      </c>
      <c r="K749" s="183"/>
    </row>
    <row r="750" spans="1:11" ht="15.6">
      <c r="A750" s="498">
        <v>45964</v>
      </c>
      <c r="B750" s="440" t="s">
        <v>3817</v>
      </c>
      <c r="C750" s="440" t="s">
        <v>172</v>
      </c>
      <c r="D750" s="440" t="s">
        <v>118</v>
      </c>
      <c r="E750" s="499"/>
      <c r="F750" s="499">
        <v>1000</v>
      </c>
      <c r="G750" s="221"/>
      <c r="H750" s="163">
        <f t="shared" si="15"/>
        <v>4750</v>
      </c>
      <c r="I750" s="440" t="s">
        <v>211</v>
      </c>
      <c r="J750" s="440" t="s">
        <v>4559</v>
      </c>
      <c r="K750" s="183"/>
    </row>
    <row r="751" spans="1:11" ht="15.6">
      <c r="A751" s="498">
        <v>45964</v>
      </c>
      <c r="B751" s="337" t="s">
        <v>4460</v>
      </c>
      <c r="C751" s="439" t="s">
        <v>150</v>
      </c>
      <c r="D751" s="440" t="s">
        <v>118</v>
      </c>
      <c r="E751" s="499">
        <v>10000</v>
      </c>
      <c r="F751" s="499"/>
      <c r="G751" s="221"/>
      <c r="H751" s="163">
        <f t="shared" si="15"/>
        <v>14750</v>
      </c>
      <c r="I751" s="440" t="s">
        <v>211</v>
      </c>
      <c r="J751" s="440" t="s">
        <v>4560</v>
      </c>
      <c r="K751" s="183"/>
    </row>
    <row r="752" spans="1:11" ht="15.6">
      <c r="A752" s="498">
        <v>45964</v>
      </c>
      <c r="B752" s="337" t="s">
        <v>4460</v>
      </c>
      <c r="C752" s="439" t="s">
        <v>150</v>
      </c>
      <c r="D752" s="440" t="s">
        <v>118</v>
      </c>
      <c r="E752" s="499"/>
      <c r="F752" s="499">
        <v>10000</v>
      </c>
      <c r="G752" s="221"/>
      <c r="H752" s="163">
        <f t="shared" si="15"/>
        <v>4750</v>
      </c>
      <c r="I752" s="440" t="s">
        <v>211</v>
      </c>
      <c r="J752" s="440" t="s">
        <v>4560</v>
      </c>
      <c r="K752" s="183"/>
    </row>
    <row r="753" spans="1:11" ht="15.6">
      <c r="A753" s="498">
        <v>45964</v>
      </c>
      <c r="B753" s="440" t="s">
        <v>3818</v>
      </c>
      <c r="C753" s="440" t="s">
        <v>172</v>
      </c>
      <c r="D753" s="440" t="s">
        <v>118</v>
      </c>
      <c r="E753" s="499"/>
      <c r="F753" s="499">
        <v>1000</v>
      </c>
      <c r="G753" s="221"/>
      <c r="H753" s="163">
        <f t="shared" si="15"/>
        <v>3750</v>
      </c>
      <c r="I753" s="440" t="s">
        <v>211</v>
      </c>
      <c r="J753" s="440" t="s">
        <v>4559</v>
      </c>
      <c r="K753" s="183"/>
    </row>
    <row r="754" spans="1:11" ht="15.6">
      <c r="A754" s="498">
        <v>45964</v>
      </c>
      <c r="B754" s="440" t="s">
        <v>4461</v>
      </c>
      <c r="C754" s="440" t="s">
        <v>172</v>
      </c>
      <c r="D754" s="440" t="s">
        <v>118</v>
      </c>
      <c r="E754" s="499"/>
      <c r="F754" s="499">
        <v>1000</v>
      </c>
      <c r="G754" s="221"/>
      <c r="H754" s="163">
        <f t="shared" si="15"/>
        <v>2750</v>
      </c>
      <c r="I754" s="440" t="s">
        <v>211</v>
      </c>
      <c r="J754" s="440" t="s">
        <v>4559</v>
      </c>
      <c r="K754" s="183"/>
    </row>
    <row r="755" spans="1:11" ht="15.6">
      <c r="A755" s="498">
        <v>45965</v>
      </c>
      <c r="B755" s="440" t="s">
        <v>4462</v>
      </c>
      <c r="C755" s="440" t="s">
        <v>172</v>
      </c>
      <c r="D755" s="440" t="s">
        <v>118</v>
      </c>
      <c r="E755" s="499"/>
      <c r="F755" s="499">
        <v>1000</v>
      </c>
      <c r="G755" s="221"/>
      <c r="H755" s="163">
        <f t="shared" si="15"/>
        <v>1750</v>
      </c>
      <c r="I755" s="440" t="s">
        <v>211</v>
      </c>
      <c r="J755" s="440" t="s">
        <v>4559</v>
      </c>
      <c r="K755" s="183"/>
    </row>
    <row r="756" spans="1:11" ht="15.6">
      <c r="A756" s="498">
        <v>45965</v>
      </c>
      <c r="B756" s="440" t="s">
        <v>4463</v>
      </c>
      <c r="C756" s="440" t="s">
        <v>122</v>
      </c>
      <c r="D756" s="440" t="s">
        <v>118</v>
      </c>
      <c r="E756" s="499">
        <v>20000</v>
      </c>
      <c r="F756" s="499"/>
      <c r="G756" s="221"/>
      <c r="H756" s="163">
        <f t="shared" si="15"/>
        <v>21750</v>
      </c>
      <c r="I756" s="440" t="s">
        <v>211</v>
      </c>
      <c r="J756" s="440" t="s">
        <v>4561</v>
      </c>
      <c r="K756" s="183"/>
    </row>
    <row r="757" spans="1:11" ht="15.6">
      <c r="A757" s="498">
        <v>45965</v>
      </c>
      <c r="B757" s="440" t="s">
        <v>4464</v>
      </c>
      <c r="C757" s="440" t="s">
        <v>172</v>
      </c>
      <c r="D757" s="440" t="s">
        <v>118</v>
      </c>
      <c r="E757" s="499"/>
      <c r="F757" s="499">
        <v>1000</v>
      </c>
      <c r="G757" s="221"/>
      <c r="H757" s="163">
        <f t="shared" si="15"/>
        <v>20750</v>
      </c>
      <c r="I757" s="440" t="s">
        <v>211</v>
      </c>
      <c r="J757" s="440" t="s">
        <v>4559</v>
      </c>
      <c r="K757" s="183"/>
    </row>
    <row r="758" spans="1:11" ht="15.6">
      <c r="A758" s="498">
        <v>45965</v>
      </c>
      <c r="B758" s="440" t="s">
        <v>4465</v>
      </c>
      <c r="C758" s="440" t="s">
        <v>172</v>
      </c>
      <c r="D758" s="440" t="s">
        <v>118</v>
      </c>
      <c r="E758" s="499"/>
      <c r="F758" s="499">
        <v>1000</v>
      </c>
      <c r="G758" s="221"/>
      <c r="H758" s="163">
        <f t="shared" si="15"/>
        <v>19750</v>
      </c>
      <c r="I758" s="440" t="s">
        <v>211</v>
      </c>
      <c r="J758" s="440" t="s">
        <v>4559</v>
      </c>
      <c r="K758" s="183"/>
    </row>
    <row r="759" spans="1:11" ht="15.6">
      <c r="A759" s="342">
        <v>45965</v>
      </c>
      <c r="B759" s="177" t="s">
        <v>4466</v>
      </c>
      <c r="C759" s="179" t="s">
        <v>2092</v>
      </c>
      <c r="D759" s="179" t="s">
        <v>118</v>
      </c>
      <c r="E759" s="500">
        <v>6000</v>
      </c>
      <c r="F759" s="499"/>
      <c r="G759" s="221"/>
      <c r="H759" s="163">
        <f t="shared" si="15"/>
        <v>25750</v>
      </c>
      <c r="I759" s="179" t="s">
        <v>211</v>
      </c>
      <c r="J759" s="179" t="s">
        <v>4562</v>
      </c>
      <c r="K759" s="183"/>
    </row>
    <row r="760" spans="1:11" ht="15.6">
      <c r="A760" s="342">
        <v>45965</v>
      </c>
      <c r="B760" s="177" t="s">
        <v>4467</v>
      </c>
      <c r="C760" s="179" t="s">
        <v>2092</v>
      </c>
      <c r="D760" s="179" t="s">
        <v>118</v>
      </c>
      <c r="E760" s="500">
        <v>6000</v>
      </c>
      <c r="F760" s="499"/>
      <c r="G760" s="221"/>
      <c r="H760" s="163">
        <f t="shared" si="15"/>
        <v>31750</v>
      </c>
      <c r="I760" s="179" t="s">
        <v>211</v>
      </c>
      <c r="J760" s="179" t="s">
        <v>4562</v>
      </c>
      <c r="K760" s="183"/>
    </row>
    <row r="761" spans="1:11" ht="15.6">
      <c r="A761" s="342">
        <v>45965</v>
      </c>
      <c r="B761" s="177" t="s">
        <v>4468</v>
      </c>
      <c r="C761" s="179" t="s">
        <v>2092</v>
      </c>
      <c r="D761" s="179" t="s">
        <v>118</v>
      </c>
      <c r="E761" s="500">
        <v>6000</v>
      </c>
      <c r="F761" s="499"/>
      <c r="G761" s="221"/>
      <c r="H761" s="163">
        <f t="shared" si="15"/>
        <v>37750</v>
      </c>
      <c r="I761" s="179" t="s">
        <v>211</v>
      </c>
      <c r="J761" s="179" t="s">
        <v>4562</v>
      </c>
      <c r="K761" s="183"/>
    </row>
    <row r="762" spans="1:11" ht="15.6">
      <c r="A762" s="342">
        <v>45965</v>
      </c>
      <c r="B762" s="177" t="s">
        <v>4469</v>
      </c>
      <c r="C762" s="179" t="s">
        <v>2092</v>
      </c>
      <c r="D762" s="179" t="s">
        <v>118</v>
      </c>
      <c r="E762" s="500">
        <v>6000</v>
      </c>
      <c r="F762" s="499"/>
      <c r="G762" s="221"/>
      <c r="H762" s="163">
        <f t="shared" si="15"/>
        <v>43750</v>
      </c>
      <c r="I762" s="179" t="s">
        <v>211</v>
      </c>
      <c r="J762" s="179" t="s">
        <v>4562</v>
      </c>
      <c r="K762" s="183"/>
    </row>
    <row r="763" spans="1:11" ht="15.6">
      <c r="A763" s="342">
        <v>45965</v>
      </c>
      <c r="B763" s="177" t="s">
        <v>4470</v>
      </c>
      <c r="C763" s="179" t="s">
        <v>2092</v>
      </c>
      <c r="D763" s="179" t="s">
        <v>118</v>
      </c>
      <c r="E763" s="500">
        <v>6000</v>
      </c>
      <c r="F763" s="499"/>
      <c r="G763" s="221"/>
      <c r="H763" s="163">
        <f t="shared" si="15"/>
        <v>49750</v>
      </c>
      <c r="I763" s="179" t="s">
        <v>211</v>
      </c>
      <c r="J763" s="179" t="s">
        <v>4562</v>
      </c>
      <c r="K763" s="183"/>
    </row>
    <row r="764" spans="1:11" ht="15.6">
      <c r="A764" s="342">
        <v>45965</v>
      </c>
      <c r="B764" s="177" t="s">
        <v>4471</v>
      </c>
      <c r="C764" s="179" t="s">
        <v>2092</v>
      </c>
      <c r="D764" s="179" t="s">
        <v>118</v>
      </c>
      <c r="E764" s="500">
        <v>6000</v>
      </c>
      <c r="F764" s="499"/>
      <c r="G764" s="221"/>
      <c r="H764" s="163">
        <f t="shared" si="15"/>
        <v>55750</v>
      </c>
      <c r="I764" s="179" t="s">
        <v>211</v>
      </c>
      <c r="J764" s="179" t="s">
        <v>4562</v>
      </c>
      <c r="K764" s="183"/>
    </row>
    <row r="765" spans="1:11" ht="15.6">
      <c r="A765" s="342">
        <v>45965</v>
      </c>
      <c r="B765" s="177" t="s">
        <v>4472</v>
      </c>
      <c r="C765" s="179" t="s">
        <v>2092</v>
      </c>
      <c r="D765" s="179" t="s">
        <v>118</v>
      </c>
      <c r="E765" s="500">
        <v>6000</v>
      </c>
      <c r="F765" s="499"/>
      <c r="G765" s="221"/>
      <c r="H765" s="163">
        <f t="shared" si="15"/>
        <v>61750</v>
      </c>
      <c r="I765" s="179" t="s">
        <v>211</v>
      </c>
      <c r="J765" s="179" t="s">
        <v>4562</v>
      </c>
      <c r="K765" s="183"/>
    </row>
    <row r="766" spans="1:11" ht="15.6">
      <c r="A766" s="342">
        <v>45965</v>
      </c>
      <c r="B766" s="177" t="s">
        <v>4473</v>
      </c>
      <c r="C766" s="179" t="s">
        <v>2092</v>
      </c>
      <c r="D766" s="179" t="s">
        <v>118</v>
      </c>
      <c r="E766" s="500">
        <v>6000</v>
      </c>
      <c r="F766" s="499"/>
      <c r="G766" s="221"/>
      <c r="H766" s="163">
        <f t="shared" si="15"/>
        <v>67750</v>
      </c>
      <c r="I766" s="179" t="s">
        <v>211</v>
      </c>
      <c r="J766" s="179" t="s">
        <v>4562</v>
      </c>
      <c r="K766" s="183"/>
    </row>
    <row r="767" spans="1:11" ht="15.6">
      <c r="A767" s="342">
        <v>45965</v>
      </c>
      <c r="B767" s="177" t="s">
        <v>4474</v>
      </c>
      <c r="C767" s="179" t="s">
        <v>2092</v>
      </c>
      <c r="D767" s="179" t="s">
        <v>118</v>
      </c>
      <c r="E767" s="500">
        <v>6000</v>
      </c>
      <c r="F767" s="499"/>
      <c r="G767" s="221"/>
      <c r="H767" s="163">
        <f t="shared" si="15"/>
        <v>73750</v>
      </c>
      <c r="I767" s="179" t="s">
        <v>211</v>
      </c>
      <c r="J767" s="179" t="s">
        <v>4562</v>
      </c>
      <c r="K767" s="183"/>
    </row>
    <row r="768" spans="1:11" ht="15.6">
      <c r="A768" s="342">
        <v>45965</v>
      </c>
      <c r="B768" s="177" t="s">
        <v>4475</v>
      </c>
      <c r="C768" s="179" t="s">
        <v>2092</v>
      </c>
      <c r="D768" s="179" t="s">
        <v>118</v>
      </c>
      <c r="E768" s="500">
        <v>6000</v>
      </c>
      <c r="F768" s="499"/>
      <c r="G768" s="221"/>
      <c r="H768" s="163">
        <f t="shared" si="15"/>
        <v>79750</v>
      </c>
      <c r="I768" s="179" t="s">
        <v>211</v>
      </c>
      <c r="J768" s="179" t="s">
        <v>4562</v>
      </c>
      <c r="K768" s="183"/>
    </row>
    <row r="769" spans="1:11" ht="15.6">
      <c r="A769" s="342">
        <v>45965</v>
      </c>
      <c r="B769" s="177" t="s">
        <v>4476</v>
      </c>
      <c r="C769" s="179" t="s">
        <v>2092</v>
      </c>
      <c r="D769" s="179" t="s">
        <v>118</v>
      </c>
      <c r="E769" s="500">
        <v>6000</v>
      </c>
      <c r="F769" s="499"/>
      <c r="G769" s="221"/>
      <c r="H769" s="163">
        <f t="shared" si="15"/>
        <v>85750</v>
      </c>
      <c r="I769" s="179" t="s">
        <v>211</v>
      </c>
      <c r="J769" s="179" t="s">
        <v>4562</v>
      </c>
      <c r="K769" s="183"/>
    </row>
    <row r="770" spans="1:11" ht="15.6">
      <c r="A770" s="342">
        <v>45965</v>
      </c>
      <c r="B770" s="177" t="s">
        <v>4477</v>
      </c>
      <c r="C770" s="179" t="s">
        <v>2092</v>
      </c>
      <c r="D770" s="179" t="s">
        <v>118</v>
      </c>
      <c r="E770" s="500">
        <v>6000</v>
      </c>
      <c r="F770" s="499"/>
      <c r="G770" s="221"/>
      <c r="H770" s="163">
        <f t="shared" si="15"/>
        <v>91750</v>
      </c>
      <c r="I770" s="179" t="s">
        <v>211</v>
      </c>
      <c r="J770" s="179" t="s">
        <v>4562</v>
      </c>
      <c r="K770" s="183"/>
    </row>
    <row r="771" spans="1:11" ht="15.6">
      <c r="A771" s="342">
        <v>45965</v>
      </c>
      <c r="B771" s="177" t="s">
        <v>4478</v>
      </c>
      <c r="C771" s="179" t="s">
        <v>2092</v>
      </c>
      <c r="D771" s="179" t="s">
        <v>118</v>
      </c>
      <c r="E771" s="500">
        <v>6000</v>
      </c>
      <c r="F771" s="499"/>
      <c r="G771" s="221"/>
      <c r="H771" s="163">
        <f t="shared" si="15"/>
        <v>97750</v>
      </c>
      <c r="I771" s="179" t="s">
        <v>211</v>
      </c>
      <c r="J771" s="179" t="s">
        <v>4562</v>
      </c>
      <c r="K771" s="183"/>
    </row>
    <row r="772" spans="1:11" ht="15.6">
      <c r="A772" s="342">
        <v>45965</v>
      </c>
      <c r="B772" s="177" t="s">
        <v>4479</v>
      </c>
      <c r="C772" s="179" t="s">
        <v>2092</v>
      </c>
      <c r="D772" s="179" t="s">
        <v>118</v>
      </c>
      <c r="E772" s="500">
        <v>6000</v>
      </c>
      <c r="F772" s="499"/>
      <c r="G772" s="221"/>
      <c r="H772" s="163">
        <f t="shared" si="15"/>
        <v>103750</v>
      </c>
      <c r="I772" s="179" t="s">
        <v>211</v>
      </c>
      <c r="J772" s="179" t="s">
        <v>4562</v>
      </c>
      <c r="K772" s="183"/>
    </row>
    <row r="773" spans="1:11" ht="15.6">
      <c r="A773" s="342">
        <v>45965</v>
      </c>
      <c r="B773" s="179" t="s">
        <v>4480</v>
      </c>
      <c r="C773" s="179" t="s">
        <v>2092</v>
      </c>
      <c r="D773" s="179" t="s">
        <v>118</v>
      </c>
      <c r="E773" s="500">
        <v>10000</v>
      </c>
      <c r="F773" s="499"/>
      <c r="G773" s="221"/>
      <c r="H773" s="163">
        <f t="shared" si="15"/>
        <v>113750</v>
      </c>
      <c r="I773" s="179" t="s">
        <v>211</v>
      </c>
      <c r="J773" s="179" t="s">
        <v>4563</v>
      </c>
      <c r="K773" s="183"/>
    </row>
    <row r="774" spans="1:11" ht="15.6">
      <c r="A774" s="342">
        <v>45965</v>
      </c>
      <c r="B774" s="179" t="s">
        <v>4481</v>
      </c>
      <c r="C774" s="179" t="s">
        <v>2092</v>
      </c>
      <c r="D774" s="179" t="s">
        <v>118</v>
      </c>
      <c r="E774" s="500">
        <v>10000</v>
      </c>
      <c r="F774" s="499"/>
      <c r="G774" s="221"/>
      <c r="H774" s="163">
        <f t="shared" si="15"/>
        <v>123750</v>
      </c>
      <c r="I774" s="179" t="s">
        <v>211</v>
      </c>
      <c r="J774" s="179" t="s">
        <v>4563</v>
      </c>
      <c r="K774" s="183"/>
    </row>
    <row r="775" spans="1:11" ht="15.6">
      <c r="A775" s="342">
        <v>45965</v>
      </c>
      <c r="B775" s="179" t="s">
        <v>4482</v>
      </c>
      <c r="C775" s="179" t="s">
        <v>2092</v>
      </c>
      <c r="D775" s="179" t="s">
        <v>118</v>
      </c>
      <c r="E775" s="500">
        <v>10000</v>
      </c>
      <c r="F775" s="499"/>
      <c r="G775" s="221"/>
      <c r="H775" s="163">
        <f t="shared" si="15"/>
        <v>133750</v>
      </c>
      <c r="I775" s="179" t="s">
        <v>211</v>
      </c>
      <c r="J775" s="179" t="s">
        <v>4563</v>
      </c>
      <c r="K775" s="183"/>
    </row>
    <row r="776" spans="1:11" ht="15.6">
      <c r="A776" s="342">
        <v>45965</v>
      </c>
      <c r="B776" s="179" t="s">
        <v>4483</v>
      </c>
      <c r="C776" s="179" t="s">
        <v>2092</v>
      </c>
      <c r="D776" s="179" t="s">
        <v>118</v>
      </c>
      <c r="E776" s="500">
        <v>6000</v>
      </c>
      <c r="F776" s="499"/>
      <c r="G776" s="221"/>
      <c r="H776" s="163">
        <f t="shared" si="15"/>
        <v>139750</v>
      </c>
      <c r="I776" s="179" t="s">
        <v>211</v>
      </c>
      <c r="J776" s="179" t="s">
        <v>4564</v>
      </c>
      <c r="K776" s="183"/>
    </row>
    <row r="777" spans="1:11" ht="15.6">
      <c r="A777" s="342">
        <v>45965</v>
      </c>
      <c r="B777" s="179" t="s">
        <v>4484</v>
      </c>
      <c r="C777" s="179" t="s">
        <v>2092</v>
      </c>
      <c r="D777" s="179" t="s">
        <v>118</v>
      </c>
      <c r="E777" s="500">
        <v>6000</v>
      </c>
      <c r="F777" s="499"/>
      <c r="G777" s="221"/>
      <c r="H777" s="163">
        <f t="shared" si="15"/>
        <v>145750</v>
      </c>
      <c r="I777" s="179" t="s">
        <v>211</v>
      </c>
      <c r="J777" s="179" t="s">
        <v>4564</v>
      </c>
      <c r="K777" s="183"/>
    </row>
    <row r="778" spans="1:11" ht="15.6">
      <c r="A778" s="342">
        <v>45965</v>
      </c>
      <c r="B778" s="179" t="s">
        <v>4485</v>
      </c>
      <c r="C778" s="179" t="s">
        <v>2092</v>
      </c>
      <c r="D778" s="179" t="s">
        <v>118</v>
      </c>
      <c r="E778" s="500">
        <v>6000</v>
      </c>
      <c r="F778" s="499"/>
      <c r="G778" s="221"/>
      <c r="H778" s="163">
        <f t="shared" si="15"/>
        <v>151750</v>
      </c>
      <c r="I778" s="179" t="s">
        <v>211</v>
      </c>
      <c r="J778" s="179" t="s">
        <v>4564</v>
      </c>
      <c r="K778" s="183"/>
    </row>
    <row r="779" spans="1:11" ht="15.6">
      <c r="A779" s="342">
        <v>45965</v>
      </c>
      <c r="B779" s="179" t="s">
        <v>4486</v>
      </c>
      <c r="C779" s="179" t="s">
        <v>2092</v>
      </c>
      <c r="D779" s="179" t="s">
        <v>118</v>
      </c>
      <c r="E779" s="500">
        <v>6000</v>
      </c>
      <c r="F779" s="499"/>
      <c r="G779" s="221"/>
      <c r="H779" s="163">
        <f t="shared" si="15"/>
        <v>157750</v>
      </c>
      <c r="I779" s="179" t="s">
        <v>211</v>
      </c>
      <c r="J779" s="179" t="s">
        <v>4564</v>
      </c>
      <c r="K779" s="183"/>
    </row>
    <row r="780" spans="1:11" ht="15.6">
      <c r="A780" s="342">
        <v>45966</v>
      </c>
      <c r="B780" s="179" t="s">
        <v>4339</v>
      </c>
      <c r="C780" s="219" t="s">
        <v>263</v>
      </c>
      <c r="D780" s="219" t="s">
        <v>2417</v>
      </c>
      <c r="E780" s="316">
        <v>25000</v>
      </c>
      <c r="F780" s="499"/>
      <c r="G780" s="221"/>
      <c r="H780" s="163">
        <f t="shared" si="15"/>
        <v>182750</v>
      </c>
      <c r="I780" s="219" t="s">
        <v>211</v>
      </c>
      <c r="J780" s="179" t="s">
        <v>4565</v>
      </c>
      <c r="K780" s="183"/>
    </row>
    <row r="781" spans="1:11" ht="15.6">
      <c r="A781" s="342">
        <v>45965</v>
      </c>
      <c r="B781" s="177" t="s">
        <v>4466</v>
      </c>
      <c r="C781" s="179" t="s">
        <v>2092</v>
      </c>
      <c r="D781" s="179" t="s">
        <v>118</v>
      </c>
      <c r="E781" s="499"/>
      <c r="F781" s="500">
        <v>6000</v>
      </c>
      <c r="G781" s="221"/>
      <c r="H781" s="163">
        <f t="shared" si="15"/>
        <v>176750</v>
      </c>
      <c r="I781" s="179" t="s">
        <v>211</v>
      </c>
      <c r="J781" s="179" t="s">
        <v>4562</v>
      </c>
      <c r="K781" s="183"/>
    </row>
    <row r="782" spans="1:11" ht="15.6">
      <c r="A782" s="342">
        <v>45965</v>
      </c>
      <c r="B782" s="177" t="s">
        <v>4467</v>
      </c>
      <c r="C782" s="179" t="s">
        <v>2092</v>
      </c>
      <c r="D782" s="179" t="s">
        <v>118</v>
      </c>
      <c r="E782" s="499"/>
      <c r="F782" s="500">
        <v>6000</v>
      </c>
      <c r="G782" s="221"/>
      <c r="H782" s="163">
        <f t="shared" si="15"/>
        <v>170750</v>
      </c>
      <c r="I782" s="179" t="s">
        <v>211</v>
      </c>
      <c r="J782" s="179" t="s">
        <v>4562</v>
      </c>
      <c r="K782" s="183"/>
    </row>
    <row r="783" spans="1:11" ht="15.6">
      <c r="A783" s="342">
        <v>45965</v>
      </c>
      <c r="B783" s="177" t="s">
        <v>4468</v>
      </c>
      <c r="C783" s="179" t="s">
        <v>2092</v>
      </c>
      <c r="D783" s="179" t="s">
        <v>118</v>
      </c>
      <c r="E783" s="499"/>
      <c r="F783" s="500">
        <v>6000</v>
      </c>
      <c r="G783" s="221"/>
      <c r="H783" s="163">
        <f t="shared" si="15"/>
        <v>164750</v>
      </c>
      <c r="I783" s="179" t="s">
        <v>211</v>
      </c>
      <c r="J783" s="179" t="s">
        <v>4562</v>
      </c>
      <c r="K783" s="183"/>
    </row>
    <row r="784" spans="1:11" ht="15.6">
      <c r="A784" s="342">
        <v>45965</v>
      </c>
      <c r="B784" s="177" t="s">
        <v>4469</v>
      </c>
      <c r="C784" s="179" t="s">
        <v>2092</v>
      </c>
      <c r="D784" s="179" t="s">
        <v>118</v>
      </c>
      <c r="E784" s="499"/>
      <c r="F784" s="500">
        <v>6000</v>
      </c>
      <c r="G784" s="221"/>
      <c r="H784" s="163">
        <f t="shared" si="15"/>
        <v>158750</v>
      </c>
      <c r="I784" s="179" t="s">
        <v>211</v>
      </c>
      <c r="J784" s="179" t="s">
        <v>4562</v>
      </c>
      <c r="K784" s="183"/>
    </row>
    <row r="785" spans="1:11" ht="15.6">
      <c r="A785" s="342">
        <v>45965</v>
      </c>
      <c r="B785" s="177" t="s">
        <v>4470</v>
      </c>
      <c r="C785" s="179" t="s">
        <v>2092</v>
      </c>
      <c r="D785" s="179" t="s">
        <v>118</v>
      </c>
      <c r="E785" s="499"/>
      <c r="F785" s="500">
        <v>6000</v>
      </c>
      <c r="G785" s="221"/>
      <c r="H785" s="163">
        <f t="shared" si="15"/>
        <v>152750</v>
      </c>
      <c r="I785" s="179" t="s">
        <v>211</v>
      </c>
      <c r="J785" s="179" t="s">
        <v>4562</v>
      </c>
      <c r="K785" s="183"/>
    </row>
    <row r="786" spans="1:11" ht="15.6">
      <c r="A786" s="342">
        <v>45965</v>
      </c>
      <c r="B786" s="177" t="s">
        <v>4471</v>
      </c>
      <c r="C786" s="179" t="s">
        <v>2092</v>
      </c>
      <c r="D786" s="179" t="s">
        <v>118</v>
      </c>
      <c r="E786" s="499"/>
      <c r="F786" s="500">
        <v>6000</v>
      </c>
      <c r="G786" s="221"/>
      <c r="H786" s="163">
        <f t="shared" si="15"/>
        <v>146750</v>
      </c>
      <c r="I786" s="179" t="s">
        <v>211</v>
      </c>
      <c r="J786" s="179" t="s">
        <v>4562</v>
      </c>
      <c r="K786" s="183"/>
    </row>
    <row r="787" spans="1:11" ht="15.6">
      <c r="A787" s="342">
        <v>45965</v>
      </c>
      <c r="B787" s="177" t="s">
        <v>4472</v>
      </c>
      <c r="C787" s="179" t="s">
        <v>2092</v>
      </c>
      <c r="D787" s="179" t="s">
        <v>118</v>
      </c>
      <c r="E787" s="499"/>
      <c r="F787" s="500">
        <v>6000</v>
      </c>
      <c r="G787" s="221"/>
      <c r="H787" s="163">
        <f t="shared" si="15"/>
        <v>140750</v>
      </c>
      <c r="I787" s="179" t="s">
        <v>211</v>
      </c>
      <c r="J787" s="179" t="s">
        <v>4562</v>
      </c>
      <c r="K787" s="183"/>
    </row>
    <row r="788" spans="1:11" ht="15.6">
      <c r="A788" s="342">
        <v>45965</v>
      </c>
      <c r="B788" s="177" t="s">
        <v>4473</v>
      </c>
      <c r="C788" s="179" t="s">
        <v>2092</v>
      </c>
      <c r="D788" s="179" t="s">
        <v>118</v>
      </c>
      <c r="E788" s="499"/>
      <c r="F788" s="500">
        <v>6000</v>
      </c>
      <c r="G788" s="221"/>
      <c r="H788" s="163">
        <f t="shared" si="15"/>
        <v>134750</v>
      </c>
      <c r="I788" s="179" t="s">
        <v>211</v>
      </c>
      <c r="J788" s="179" t="s">
        <v>4562</v>
      </c>
      <c r="K788" s="183"/>
    </row>
    <row r="789" spans="1:11" ht="15.6">
      <c r="A789" s="342">
        <v>45965</v>
      </c>
      <c r="B789" s="177" t="s">
        <v>4474</v>
      </c>
      <c r="C789" s="179" t="s">
        <v>2092</v>
      </c>
      <c r="D789" s="179" t="s">
        <v>118</v>
      </c>
      <c r="E789" s="499"/>
      <c r="F789" s="500">
        <v>6000</v>
      </c>
      <c r="G789" s="221"/>
      <c r="H789" s="163">
        <f t="shared" si="15"/>
        <v>128750</v>
      </c>
      <c r="I789" s="179" t="s">
        <v>211</v>
      </c>
      <c r="J789" s="179" t="s">
        <v>4562</v>
      </c>
      <c r="K789" s="183"/>
    </row>
    <row r="790" spans="1:11" ht="15.6">
      <c r="A790" s="342">
        <v>45965</v>
      </c>
      <c r="B790" s="177" t="s">
        <v>4475</v>
      </c>
      <c r="C790" s="179" t="s">
        <v>2092</v>
      </c>
      <c r="D790" s="179" t="s">
        <v>118</v>
      </c>
      <c r="E790" s="499"/>
      <c r="F790" s="500">
        <v>6000</v>
      </c>
      <c r="G790" s="221"/>
      <c r="H790" s="163">
        <f t="shared" si="15"/>
        <v>122750</v>
      </c>
      <c r="I790" s="179" t="s">
        <v>211</v>
      </c>
      <c r="J790" s="179" t="s">
        <v>4562</v>
      </c>
      <c r="K790" s="183"/>
    </row>
    <row r="791" spans="1:11" ht="15.6">
      <c r="A791" s="342">
        <v>45965</v>
      </c>
      <c r="B791" s="177" t="s">
        <v>4476</v>
      </c>
      <c r="C791" s="179" t="s">
        <v>2092</v>
      </c>
      <c r="D791" s="179" t="s">
        <v>118</v>
      </c>
      <c r="E791" s="499"/>
      <c r="F791" s="500">
        <v>6000</v>
      </c>
      <c r="G791" s="221"/>
      <c r="H791" s="163">
        <f t="shared" si="15"/>
        <v>116750</v>
      </c>
      <c r="I791" s="179" t="s">
        <v>211</v>
      </c>
      <c r="J791" s="179" t="s">
        <v>4562</v>
      </c>
      <c r="K791" s="183"/>
    </row>
    <row r="792" spans="1:11" ht="15.6">
      <c r="A792" s="342">
        <v>45965</v>
      </c>
      <c r="B792" s="177" t="s">
        <v>4477</v>
      </c>
      <c r="C792" s="179" t="s">
        <v>2092</v>
      </c>
      <c r="D792" s="179" t="s">
        <v>118</v>
      </c>
      <c r="E792" s="499"/>
      <c r="F792" s="500">
        <v>6000</v>
      </c>
      <c r="G792" s="221"/>
      <c r="H792" s="163">
        <f t="shared" si="15"/>
        <v>110750</v>
      </c>
      <c r="I792" s="179" t="s">
        <v>211</v>
      </c>
      <c r="J792" s="179" t="s">
        <v>4562</v>
      </c>
      <c r="K792" s="183"/>
    </row>
    <row r="793" spans="1:11" ht="15.6">
      <c r="A793" s="342">
        <v>45965</v>
      </c>
      <c r="B793" s="177" t="s">
        <v>4478</v>
      </c>
      <c r="C793" s="179" t="s">
        <v>2092</v>
      </c>
      <c r="D793" s="179" t="s">
        <v>118</v>
      </c>
      <c r="E793" s="499"/>
      <c r="F793" s="500">
        <v>6000</v>
      </c>
      <c r="G793" s="221"/>
      <c r="H793" s="163">
        <f t="shared" si="15"/>
        <v>104750</v>
      </c>
      <c r="I793" s="179" t="s">
        <v>211</v>
      </c>
      <c r="J793" s="179" t="s">
        <v>4562</v>
      </c>
      <c r="K793" s="183"/>
    </row>
    <row r="794" spans="1:11" ht="15.6">
      <c r="A794" s="342">
        <v>45965</v>
      </c>
      <c r="B794" s="177" t="s">
        <v>4479</v>
      </c>
      <c r="C794" s="179" t="s">
        <v>2092</v>
      </c>
      <c r="D794" s="179" t="s">
        <v>118</v>
      </c>
      <c r="E794" s="499"/>
      <c r="F794" s="500">
        <v>6000</v>
      </c>
      <c r="G794" s="221"/>
      <c r="H794" s="163">
        <f t="shared" si="15"/>
        <v>98750</v>
      </c>
      <c r="I794" s="179" t="s">
        <v>211</v>
      </c>
      <c r="J794" s="179" t="s">
        <v>4562</v>
      </c>
      <c r="K794" s="183"/>
    </row>
    <row r="795" spans="1:11" ht="15.6">
      <c r="A795" s="342">
        <v>45965</v>
      </c>
      <c r="B795" s="179" t="s">
        <v>4480</v>
      </c>
      <c r="C795" s="179" t="s">
        <v>2092</v>
      </c>
      <c r="D795" s="179" t="s">
        <v>118</v>
      </c>
      <c r="E795" s="499"/>
      <c r="F795" s="500">
        <v>10000</v>
      </c>
      <c r="G795" s="221"/>
      <c r="H795" s="163">
        <f t="shared" si="15"/>
        <v>88750</v>
      </c>
      <c r="I795" s="179" t="s">
        <v>211</v>
      </c>
      <c r="J795" s="179" t="s">
        <v>4563</v>
      </c>
      <c r="K795" s="183"/>
    </row>
    <row r="796" spans="1:11" ht="15.6">
      <c r="A796" s="342">
        <v>45965</v>
      </c>
      <c r="B796" s="179" t="s">
        <v>4481</v>
      </c>
      <c r="C796" s="179" t="s">
        <v>2092</v>
      </c>
      <c r="D796" s="179" t="s">
        <v>118</v>
      </c>
      <c r="E796" s="499"/>
      <c r="F796" s="500">
        <v>10000</v>
      </c>
      <c r="G796" s="221"/>
      <c r="H796" s="163">
        <f t="shared" si="15"/>
        <v>78750</v>
      </c>
      <c r="I796" s="179" t="s">
        <v>211</v>
      </c>
      <c r="J796" s="179" t="s">
        <v>4563</v>
      </c>
      <c r="K796" s="183"/>
    </row>
    <row r="797" spans="1:11" ht="15.6">
      <c r="A797" s="342">
        <v>45965</v>
      </c>
      <c r="B797" s="179" t="s">
        <v>4482</v>
      </c>
      <c r="C797" s="179" t="s">
        <v>2092</v>
      </c>
      <c r="D797" s="179" t="s">
        <v>118</v>
      </c>
      <c r="E797" s="499"/>
      <c r="F797" s="500">
        <v>10000</v>
      </c>
      <c r="G797" s="221"/>
      <c r="H797" s="163">
        <f t="shared" si="15"/>
        <v>68750</v>
      </c>
      <c r="I797" s="179" t="s">
        <v>211</v>
      </c>
      <c r="J797" s="179" t="s">
        <v>4563</v>
      </c>
      <c r="K797" s="183"/>
    </row>
    <row r="798" spans="1:11" ht="15.6">
      <c r="A798" s="342">
        <v>45965</v>
      </c>
      <c r="B798" s="179" t="s">
        <v>4483</v>
      </c>
      <c r="C798" s="179" t="s">
        <v>2092</v>
      </c>
      <c r="D798" s="179" t="s">
        <v>118</v>
      </c>
      <c r="E798" s="499"/>
      <c r="F798" s="500">
        <v>6000</v>
      </c>
      <c r="G798" s="221"/>
      <c r="H798" s="163">
        <f t="shared" si="15"/>
        <v>62750</v>
      </c>
      <c r="I798" s="179" t="s">
        <v>211</v>
      </c>
      <c r="J798" s="179" t="s">
        <v>4564</v>
      </c>
      <c r="K798" s="183"/>
    </row>
    <row r="799" spans="1:11" ht="15.6">
      <c r="A799" s="342">
        <v>45965</v>
      </c>
      <c r="B799" s="179" t="s">
        <v>4484</v>
      </c>
      <c r="C799" s="179" t="s">
        <v>2092</v>
      </c>
      <c r="D799" s="179" t="s">
        <v>118</v>
      </c>
      <c r="E799" s="499"/>
      <c r="F799" s="500">
        <v>6000</v>
      </c>
      <c r="G799" s="221"/>
      <c r="H799" s="163">
        <f t="shared" si="15"/>
        <v>56750</v>
      </c>
      <c r="I799" s="179" t="s">
        <v>211</v>
      </c>
      <c r="J799" s="179" t="s">
        <v>4564</v>
      </c>
      <c r="K799" s="183"/>
    </row>
    <row r="800" spans="1:11" ht="15.6">
      <c r="A800" s="342">
        <v>45965</v>
      </c>
      <c r="B800" s="179" t="s">
        <v>4485</v>
      </c>
      <c r="C800" s="179" t="s">
        <v>2092</v>
      </c>
      <c r="D800" s="179" t="s">
        <v>118</v>
      </c>
      <c r="E800" s="499"/>
      <c r="F800" s="500">
        <v>6000</v>
      </c>
      <c r="G800" s="221"/>
      <c r="H800" s="163">
        <f t="shared" si="15"/>
        <v>50750</v>
      </c>
      <c r="I800" s="179" t="s">
        <v>211</v>
      </c>
      <c r="J800" s="179" t="s">
        <v>4564</v>
      </c>
      <c r="K800" s="183"/>
    </row>
    <row r="801" spans="1:11" ht="15.6">
      <c r="A801" s="342">
        <v>45965</v>
      </c>
      <c r="B801" s="179" t="s">
        <v>4486</v>
      </c>
      <c r="C801" s="179" t="s">
        <v>2092</v>
      </c>
      <c r="D801" s="179" t="s">
        <v>118</v>
      </c>
      <c r="E801" s="499"/>
      <c r="F801" s="500">
        <v>6000</v>
      </c>
      <c r="G801" s="221"/>
      <c r="H801" s="163">
        <f t="shared" si="15"/>
        <v>44750</v>
      </c>
      <c r="I801" s="179" t="s">
        <v>211</v>
      </c>
      <c r="J801" s="179" t="s">
        <v>4564</v>
      </c>
      <c r="K801" s="183"/>
    </row>
    <row r="802" spans="1:11" ht="15.6">
      <c r="A802" s="342">
        <v>45966</v>
      </c>
      <c r="B802" s="179" t="s">
        <v>4339</v>
      </c>
      <c r="C802" s="219" t="s">
        <v>263</v>
      </c>
      <c r="D802" s="219" t="s">
        <v>2417</v>
      </c>
      <c r="E802" s="499"/>
      <c r="F802" s="316">
        <v>25000</v>
      </c>
      <c r="G802" s="221"/>
      <c r="H802" s="163">
        <f t="shared" si="15"/>
        <v>19750</v>
      </c>
      <c r="I802" s="219" t="s">
        <v>211</v>
      </c>
      <c r="J802" s="179" t="s">
        <v>4565</v>
      </c>
      <c r="K802" s="183"/>
    </row>
    <row r="803" spans="1:11" ht="15.6">
      <c r="A803" s="498">
        <v>45966</v>
      </c>
      <c r="B803" s="440" t="s">
        <v>4487</v>
      </c>
      <c r="C803" s="440" t="s">
        <v>172</v>
      </c>
      <c r="D803" s="440" t="s">
        <v>118</v>
      </c>
      <c r="E803" s="499"/>
      <c r="F803" s="499">
        <v>1000</v>
      </c>
      <c r="G803" s="221"/>
      <c r="H803" s="163">
        <f t="shared" si="15"/>
        <v>18750</v>
      </c>
      <c r="I803" s="440" t="s">
        <v>211</v>
      </c>
      <c r="J803" s="440" t="s">
        <v>4559</v>
      </c>
      <c r="K803" s="183"/>
    </row>
    <row r="804" spans="1:11" ht="15.6">
      <c r="A804" s="498">
        <v>45966</v>
      </c>
      <c r="B804" s="440" t="s">
        <v>4488</v>
      </c>
      <c r="C804" s="440" t="s">
        <v>172</v>
      </c>
      <c r="D804" s="440" t="s">
        <v>118</v>
      </c>
      <c r="E804" s="499"/>
      <c r="F804" s="499">
        <v>1000</v>
      </c>
      <c r="G804" s="221"/>
      <c r="H804" s="163">
        <f t="shared" si="15"/>
        <v>17750</v>
      </c>
      <c r="I804" s="440" t="s">
        <v>211</v>
      </c>
      <c r="J804" s="440" t="s">
        <v>4559</v>
      </c>
      <c r="K804" s="183"/>
    </row>
    <row r="805" spans="1:11" ht="15.6">
      <c r="A805" s="498">
        <v>45966</v>
      </c>
      <c r="B805" s="440" t="s">
        <v>4489</v>
      </c>
      <c r="C805" s="440" t="s">
        <v>172</v>
      </c>
      <c r="D805" s="440" t="s">
        <v>118</v>
      </c>
      <c r="E805" s="499"/>
      <c r="F805" s="499">
        <v>1000</v>
      </c>
      <c r="G805" s="221"/>
      <c r="H805" s="163">
        <f t="shared" si="15"/>
        <v>16750</v>
      </c>
      <c r="I805" s="440" t="s">
        <v>211</v>
      </c>
      <c r="J805" s="440" t="s">
        <v>4559</v>
      </c>
      <c r="K805" s="183"/>
    </row>
    <row r="806" spans="1:11" ht="15.6">
      <c r="A806" s="498">
        <v>45966</v>
      </c>
      <c r="B806" s="440" t="s">
        <v>4490</v>
      </c>
      <c r="C806" s="440" t="s">
        <v>172</v>
      </c>
      <c r="D806" s="440" t="s">
        <v>118</v>
      </c>
      <c r="E806" s="499"/>
      <c r="F806" s="499">
        <v>1000</v>
      </c>
      <c r="G806" s="221"/>
      <c r="H806" s="163">
        <f t="shared" si="15"/>
        <v>15750</v>
      </c>
      <c r="I806" s="440" t="s">
        <v>211</v>
      </c>
      <c r="J806" s="440" t="s">
        <v>4559</v>
      </c>
      <c r="K806" s="183"/>
    </row>
    <row r="807" spans="1:11" ht="15.6">
      <c r="A807" s="498">
        <v>45966</v>
      </c>
      <c r="B807" s="440" t="s">
        <v>4491</v>
      </c>
      <c r="C807" s="440" t="s">
        <v>172</v>
      </c>
      <c r="D807" s="440" t="s">
        <v>118</v>
      </c>
      <c r="E807" s="499"/>
      <c r="F807" s="499">
        <v>1000</v>
      </c>
      <c r="G807" s="221"/>
      <c r="H807" s="163">
        <f t="shared" si="15"/>
        <v>14750</v>
      </c>
      <c r="I807" s="440" t="s">
        <v>211</v>
      </c>
      <c r="J807" s="440" t="s">
        <v>4559</v>
      </c>
      <c r="K807" s="183"/>
    </row>
    <row r="808" spans="1:11" ht="15.6">
      <c r="A808" s="498">
        <v>45966</v>
      </c>
      <c r="B808" s="440" t="s">
        <v>4492</v>
      </c>
      <c r="C808" s="440" t="s">
        <v>172</v>
      </c>
      <c r="D808" s="440" t="s">
        <v>118</v>
      </c>
      <c r="E808" s="499"/>
      <c r="F808" s="499">
        <v>1000</v>
      </c>
      <c r="G808" s="221"/>
      <c r="H808" s="163">
        <f t="shared" si="15"/>
        <v>13750</v>
      </c>
      <c r="I808" s="440" t="s">
        <v>211</v>
      </c>
      <c r="J808" s="440" t="s">
        <v>4559</v>
      </c>
      <c r="K808" s="183"/>
    </row>
    <row r="809" spans="1:11" ht="15.6">
      <c r="A809" s="498">
        <v>45966</v>
      </c>
      <c r="B809" s="440" t="s">
        <v>4493</v>
      </c>
      <c r="C809" s="440" t="s">
        <v>172</v>
      </c>
      <c r="D809" s="440" t="s">
        <v>118</v>
      </c>
      <c r="E809" s="499"/>
      <c r="F809" s="499">
        <v>1000</v>
      </c>
      <c r="G809" s="221"/>
      <c r="H809" s="163">
        <f t="shared" ref="H809:H872" si="16">+H808+E809-F809</f>
        <v>12750</v>
      </c>
      <c r="I809" s="440" t="s">
        <v>211</v>
      </c>
      <c r="J809" s="440" t="s">
        <v>4559</v>
      </c>
      <c r="K809" s="183"/>
    </row>
    <row r="810" spans="1:11" ht="15.6">
      <c r="A810" s="498">
        <v>45966</v>
      </c>
      <c r="B810" s="440" t="s">
        <v>3118</v>
      </c>
      <c r="C810" s="440" t="s">
        <v>172</v>
      </c>
      <c r="D810" s="440" t="s">
        <v>118</v>
      </c>
      <c r="E810" s="499"/>
      <c r="F810" s="499">
        <v>1000</v>
      </c>
      <c r="G810" s="221"/>
      <c r="H810" s="163">
        <f t="shared" si="16"/>
        <v>11750</v>
      </c>
      <c r="I810" s="440" t="s">
        <v>211</v>
      </c>
      <c r="J810" s="440" t="s">
        <v>4559</v>
      </c>
      <c r="K810" s="183"/>
    </row>
    <row r="811" spans="1:11" ht="15.6">
      <c r="A811" s="498">
        <v>45966</v>
      </c>
      <c r="B811" s="440" t="s">
        <v>4494</v>
      </c>
      <c r="C811" s="440" t="s">
        <v>172</v>
      </c>
      <c r="D811" s="440" t="s">
        <v>118</v>
      </c>
      <c r="E811" s="499"/>
      <c r="F811" s="499">
        <v>1000</v>
      </c>
      <c r="G811" s="221"/>
      <c r="H811" s="163">
        <f t="shared" si="16"/>
        <v>10750</v>
      </c>
      <c r="I811" s="440" t="s">
        <v>211</v>
      </c>
      <c r="J811" s="440" t="s">
        <v>4559</v>
      </c>
      <c r="K811" s="183"/>
    </row>
    <row r="812" spans="1:11" ht="15.6">
      <c r="A812" s="498">
        <v>45966</v>
      </c>
      <c r="B812" s="440" t="s">
        <v>3859</v>
      </c>
      <c r="C812" s="440" t="s">
        <v>172</v>
      </c>
      <c r="D812" s="440" t="s">
        <v>118</v>
      </c>
      <c r="E812" s="499"/>
      <c r="F812" s="499">
        <v>1000</v>
      </c>
      <c r="G812" s="221"/>
      <c r="H812" s="163">
        <f t="shared" si="16"/>
        <v>9750</v>
      </c>
      <c r="I812" s="440" t="s">
        <v>211</v>
      </c>
      <c r="J812" s="440" t="s">
        <v>4559</v>
      </c>
      <c r="K812" s="183"/>
    </row>
    <row r="813" spans="1:11" ht="15.6">
      <c r="A813" s="498">
        <v>45966</v>
      </c>
      <c r="B813" s="440" t="s">
        <v>3145</v>
      </c>
      <c r="C813" s="440" t="s">
        <v>172</v>
      </c>
      <c r="D813" s="440" t="s">
        <v>118</v>
      </c>
      <c r="E813" s="499"/>
      <c r="F813" s="499">
        <v>1000</v>
      </c>
      <c r="G813" s="221"/>
      <c r="H813" s="163">
        <f t="shared" si="16"/>
        <v>8750</v>
      </c>
      <c r="I813" s="440" t="s">
        <v>211</v>
      </c>
      <c r="J813" s="440" t="s">
        <v>4559</v>
      </c>
      <c r="K813" s="183"/>
    </row>
    <row r="814" spans="1:11" ht="15.6">
      <c r="A814" s="498">
        <v>45971</v>
      </c>
      <c r="B814" s="337" t="s">
        <v>4495</v>
      </c>
      <c r="C814" s="439" t="s">
        <v>150</v>
      </c>
      <c r="D814" s="440" t="s">
        <v>118</v>
      </c>
      <c r="E814" s="499">
        <v>10000</v>
      </c>
      <c r="F814" s="499"/>
      <c r="G814" s="221"/>
      <c r="H814" s="163">
        <f t="shared" si="16"/>
        <v>18750</v>
      </c>
      <c r="I814" s="440" t="s">
        <v>211</v>
      </c>
      <c r="J814" s="440" t="s">
        <v>4566</v>
      </c>
      <c r="K814" s="183"/>
    </row>
    <row r="815" spans="1:11" ht="15.6">
      <c r="A815" s="498">
        <v>45971</v>
      </c>
      <c r="B815" s="337" t="s">
        <v>4496</v>
      </c>
      <c r="C815" s="439" t="s">
        <v>150</v>
      </c>
      <c r="D815" s="440" t="s">
        <v>118</v>
      </c>
      <c r="E815" s="499"/>
      <c r="F815" s="499">
        <v>10000</v>
      </c>
      <c r="G815" s="221"/>
      <c r="H815" s="163">
        <f t="shared" si="16"/>
        <v>8750</v>
      </c>
      <c r="I815" s="440" t="s">
        <v>211</v>
      </c>
      <c r="J815" s="440" t="s">
        <v>4566</v>
      </c>
      <c r="K815" s="183"/>
    </row>
    <row r="816" spans="1:11" ht="15.6">
      <c r="A816" s="498">
        <v>45975</v>
      </c>
      <c r="B816" s="440" t="s">
        <v>4497</v>
      </c>
      <c r="C816" s="440" t="s">
        <v>172</v>
      </c>
      <c r="D816" s="440" t="s">
        <v>118</v>
      </c>
      <c r="E816" s="499"/>
      <c r="F816" s="499">
        <v>1000</v>
      </c>
      <c r="G816" s="221"/>
      <c r="H816" s="163">
        <f t="shared" si="16"/>
        <v>7750</v>
      </c>
      <c r="I816" s="440" t="s">
        <v>211</v>
      </c>
      <c r="J816" s="440" t="s">
        <v>4559</v>
      </c>
      <c r="K816" s="183"/>
    </row>
    <row r="817" spans="1:11" ht="15.6">
      <c r="A817" s="498">
        <v>45975</v>
      </c>
      <c r="B817" s="440" t="s">
        <v>4498</v>
      </c>
      <c r="C817" s="440" t="s">
        <v>172</v>
      </c>
      <c r="D817" s="440" t="s">
        <v>118</v>
      </c>
      <c r="E817" s="499"/>
      <c r="F817" s="499">
        <v>1000</v>
      </c>
      <c r="G817" s="221"/>
      <c r="H817" s="163">
        <f t="shared" si="16"/>
        <v>6750</v>
      </c>
      <c r="I817" s="440" t="s">
        <v>211</v>
      </c>
      <c r="J817" s="440" t="s">
        <v>4559</v>
      </c>
      <c r="K817" s="183"/>
    </row>
    <row r="818" spans="1:11" ht="15.6">
      <c r="A818" s="498">
        <v>45975</v>
      </c>
      <c r="B818" s="440" t="s">
        <v>4499</v>
      </c>
      <c r="C818" s="440" t="s">
        <v>172</v>
      </c>
      <c r="D818" s="440" t="s">
        <v>118</v>
      </c>
      <c r="E818" s="499"/>
      <c r="F818" s="499">
        <v>1000</v>
      </c>
      <c r="G818" s="221"/>
      <c r="H818" s="163">
        <f t="shared" si="16"/>
        <v>5750</v>
      </c>
      <c r="I818" s="440" t="s">
        <v>211</v>
      </c>
      <c r="J818" s="440" t="s">
        <v>4559</v>
      </c>
      <c r="K818" s="183"/>
    </row>
    <row r="819" spans="1:11" ht="15.6">
      <c r="A819" s="342">
        <v>45975</v>
      </c>
      <c r="B819" s="177" t="s">
        <v>4500</v>
      </c>
      <c r="C819" s="179" t="s">
        <v>2092</v>
      </c>
      <c r="D819" s="440" t="s">
        <v>118</v>
      </c>
      <c r="E819" s="316">
        <v>6000</v>
      </c>
      <c r="F819" s="499"/>
      <c r="G819" s="221"/>
      <c r="H819" s="163">
        <f t="shared" si="16"/>
        <v>11750</v>
      </c>
      <c r="I819" s="219" t="s">
        <v>211</v>
      </c>
      <c r="J819" s="179" t="s">
        <v>4567</v>
      </c>
      <c r="K819" s="183"/>
    </row>
    <row r="820" spans="1:11" ht="15.6">
      <c r="A820" s="342">
        <v>45975</v>
      </c>
      <c r="B820" s="177" t="s">
        <v>4501</v>
      </c>
      <c r="C820" s="179" t="s">
        <v>2092</v>
      </c>
      <c r="D820" s="440" t="s">
        <v>118</v>
      </c>
      <c r="E820" s="316">
        <v>6000</v>
      </c>
      <c r="F820" s="499"/>
      <c r="G820" s="221"/>
      <c r="H820" s="163">
        <f t="shared" si="16"/>
        <v>17750</v>
      </c>
      <c r="I820" s="219" t="s">
        <v>211</v>
      </c>
      <c r="J820" s="179" t="s">
        <v>4567</v>
      </c>
      <c r="K820" s="183"/>
    </row>
    <row r="821" spans="1:11" ht="15.6">
      <c r="A821" s="342">
        <v>45975</v>
      </c>
      <c r="B821" s="177" t="s">
        <v>4502</v>
      </c>
      <c r="C821" s="179" t="s">
        <v>2092</v>
      </c>
      <c r="D821" s="440" t="s">
        <v>118</v>
      </c>
      <c r="E821" s="316">
        <v>6000</v>
      </c>
      <c r="F821" s="499"/>
      <c r="G821" s="221"/>
      <c r="H821" s="163">
        <f t="shared" si="16"/>
        <v>23750</v>
      </c>
      <c r="I821" s="219" t="s">
        <v>211</v>
      </c>
      <c r="J821" s="179" t="s">
        <v>4567</v>
      </c>
      <c r="K821" s="183"/>
    </row>
    <row r="822" spans="1:11" ht="15.6">
      <c r="A822" s="342">
        <v>45975</v>
      </c>
      <c r="B822" s="177" t="s">
        <v>4503</v>
      </c>
      <c r="C822" s="179" t="s">
        <v>2092</v>
      </c>
      <c r="D822" s="440" t="s">
        <v>118</v>
      </c>
      <c r="E822" s="316">
        <v>6000</v>
      </c>
      <c r="F822" s="499"/>
      <c r="G822" s="221"/>
      <c r="H822" s="163">
        <f t="shared" si="16"/>
        <v>29750</v>
      </c>
      <c r="I822" s="219" t="s">
        <v>211</v>
      </c>
      <c r="J822" s="179" t="s">
        <v>4567</v>
      </c>
      <c r="K822" s="183"/>
    </row>
    <row r="823" spans="1:11" ht="15.6">
      <c r="A823" s="342">
        <v>45975</v>
      </c>
      <c r="B823" s="177" t="s">
        <v>4504</v>
      </c>
      <c r="C823" s="179" t="s">
        <v>2092</v>
      </c>
      <c r="D823" s="440" t="s">
        <v>118</v>
      </c>
      <c r="E823" s="316">
        <v>6000</v>
      </c>
      <c r="F823" s="499"/>
      <c r="G823" s="221"/>
      <c r="H823" s="163">
        <f t="shared" si="16"/>
        <v>35750</v>
      </c>
      <c r="I823" s="219" t="s">
        <v>211</v>
      </c>
      <c r="J823" s="179" t="s">
        <v>4567</v>
      </c>
      <c r="K823" s="183"/>
    </row>
    <row r="824" spans="1:11" ht="15.6">
      <c r="A824" s="342">
        <v>45975</v>
      </c>
      <c r="B824" s="177" t="s">
        <v>4505</v>
      </c>
      <c r="C824" s="179" t="s">
        <v>2092</v>
      </c>
      <c r="D824" s="440" t="s">
        <v>118</v>
      </c>
      <c r="E824" s="316">
        <v>6000</v>
      </c>
      <c r="F824" s="499"/>
      <c r="G824" s="221"/>
      <c r="H824" s="163">
        <f t="shared" si="16"/>
        <v>41750</v>
      </c>
      <c r="I824" s="219" t="s">
        <v>211</v>
      </c>
      <c r="J824" s="179" t="s">
        <v>4567</v>
      </c>
      <c r="K824" s="183"/>
    </row>
    <row r="825" spans="1:11" ht="15.6">
      <c r="A825" s="342">
        <v>45975</v>
      </c>
      <c r="B825" s="177" t="s">
        <v>4506</v>
      </c>
      <c r="C825" s="179" t="s">
        <v>2092</v>
      </c>
      <c r="D825" s="440" t="s">
        <v>118</v>
      </c>
      <c r="E825" s="316">
        <v>6000</v>
      </c>
      <c r="F825" s="499"/>
      <c r="G825" s="221"/>
      <c r="H825" s="163">
        <f t="shared" si="16"/>
        <v>47750</v>
      </c>
      <c r="I825" s="219" t="s">
        <v>211</v>
      </c>
      <c r="J825" s="179" t="s">
        <v>4567</v>
      </c>
      <c r="K825" s="183"/>
    </row>
    <row r="826" spans="1:11" ht="15.6">
      <c r="A826" s="342">
        <v>45975</v>
      </c>
      <c r="B826" s="177" t="s">
        <v>4507</v>
      </c>
      <c r="C826" s="179" t="s">
        <v>2092</v>
      </c>
      <c r="D826" s="440" t="s">
        <v>118</v>
      </c>
      <c r="E826" s="316">
        <v>6000</v>
      </c>
      <c r="F826" s="499"/>
      <c r="G826" s="221"/>
      <c r="H826" s="163">
        <f t="shared" si="16"/>
        <v>53750</v>
      </c>
      <c r="I826" s="219" t="s">
        <v>211</v>
      </c>
      <c r="J826" s="179" t="s">
        <v>4567</v>
      </c>
      <c r="K826" s="183"/>
    </row>
    <row r="827" spans="1:11" ht="15.6">
      <c r="A827" s="342">
        <v>45975</v>
      </c>
      <c r="B827" s="177" t="s">
        <v>4508</v>
      </c>
      <c r="C827" s="179" t="s">
        <v>2092</v>
      </c>
      <c r="D827" s="440" t="s">
        <v>118</v>
      </c>
      <c r="E827" s="316">
        <v>6000</v>
      </c>
      <c r="F827" s="499"/>
      <c r="G827" s="221"/>
      <c r="H827" s="163">
        <f t="shared" si="16"/>
        <v>59750</v>
      </c>
      <c r="I827" s="219" t="s">
        <v>211</v>
      </c>
      <c r="J827" s="179" t="s">
        <v>4567</v>
      </c>
      <c r="K827" s="183"/>
    </row>
    <row r="828" spans="1:11" ht="15.6">
      <c r="A828" s="342">
        <v>45975</v>
      </c>
      <c r="B828" s="177" t="s">
        <v>4509</v>
      </c>
      <c r="C828" s="179" t="s">
        <v>2092</v>
      </c>
      <c r="D828" s="440" t="s">
        <v>118</v>
      </c>
      <c r="E828" s="316">
        <v>6000</v>
      </c>
      <c r="F828" s="499"/>
      <c r="G828" s="221"/>
      <c r="H828" s="163">
        <f t="shared" si="16"/>
        <v>65750</v>
      </c>
      <c r="I828" s="219" t="s">
        <v>211</v>
      </c>
      <c r="J828" s="179" t="s">
        <v>4567</v>
      </c>
      <c r="K828" s="183"/>
    </row>
    <row r="829" spans="1:11" ht="15.6">
      <c r="A829" s="342">
        <v>45975</v>
      </c>
      <c r="B829" s="177" t="s">
        <v>4510</v>
      </c>
      <c r="C829" s="179" t="s">
        <v>2092</v>
      </c>
      <c r="D829" s="440" t="s">
        <v>118</v>
      </c>
      <c r="E829" s="316">
        <v>6000</v>
      </c>
      <c r="F829" s="499"/>
      <c r="G829" s="221"/>
      <c r="H829" s="163">
        <f t="shared" si="16"/>
        <v>71750</v>
      </c>
      <c r="I829" s="219" t="s">
        <v>211</v>
      </c>
      <c r="J829" s="179" t="s">
        <v>4567</v>
      </c>
      <c r="K829" s="183"/>
    </row>
    <row r="830" spans="1:11" ht="15.6">
      <c r="A830" s="342">
        <v>45975</v>
      </c>
      <c r="B830" s="177" t="s">
        <v>4511</v>
      </c>
      <c r="C830" s="179" t="s">
        <v>2092</v>
      </c>
      <c r="D830" s="440" t="s">
        <v>118</v>
      </c>
      <c r="E830" s="316">
        <v>6000</v>
      </c>
      <c r="F830" s="499"/>
      <c r="G830" s="221"/>
      <c r="H830" s="163">
        <f t="shared" si="16"/>
        <v>77750</v>
      </c>
      <c r="I830" s="219" t="s">
        <v>211</v>
      </c>
      <c r="J830" s="179" t="s">
        <v>4567</v>
      </c>
      <c r="K830" s="183"/>
    </row>
    <row r="831" spans="1:11" ht="15.6">
      <c r="A831" s="342">
        <v>45975</v>
      </c>
      <c r="B831" s="177" t="s">
        <v>4512</v>
      </c>
      <c r="C831" s="179" t="s">
        <v>2092</v>
      </c>
      <c r="D831" s="440" t="s">
        <v>118</v>
      </c>
      <c r="E831" s="316">
        <v>6000</v>
      </c>
      <c r="F831" s="499"/>
      <c r="G831" s="221"/>
      <c r="H831" s="163">
        <f t="shared" si="16"/>
        <v>83750</v>
      </c>
      <c r="I831" s="219" t="s">
        <v>211</v>
      </c>
      <c r="J831" s="179" t="s">
        <v>4567</v>
      </c>
      <c r="K831" s="183"/>
    </row>
    <row r="832" spans="1:11" ht="15.6">
      <c r="A832" s="342">
        <v>45975</v>
      </c>
      <c r="B832" s="177" t="s">
        <v>4513</v>
      </c>
      <c r="C832" s="179" t="s">
        <v>2092</v>
      </c>
      <c r="D832" s="440" t="s">
        <v>118</v>
      </c>
      <c r="E832" s="316">
        <v>6000</v>
      </c>
      <c r="F832" s="499"/>
      <c r="G832" s="221"/>
      <c r="H832" s="163">
        <f t="shared" si="16"/>
        <v>89750</v>
      </c>
      <c r="I832" s="219" t="s">
        <v>211</v>
      </c>
      <c r="J832" s="179" t="s">
        <v>4567</v>
      </c>
      <c r="K832" s="183"/>
    </row>
    <row r="833" spans="1:11" ht="15.6">
      <c r="A833" s="342">
        <v>45975</v>
      </c>
      <c r="B833" s="179" t="s">
        <v>4514</v>
      </c>
      <c r="C833" s="179" t="s">
        <v>2092</v>
      </c>
      <c r="D833" s="440" t="s">
        <v>118</v>
      </c>
      <c r="E833" s="316">
        <v>10000</v>
      </c>
      <c r="F833" s="499"/>
      <c r="G833" s="221"/>
      <c r="H833" s="163">
        <f t="shared" si="16"/>
        <v>99750</v>
      </c>
      <c r="I833" s="219" t="s">
        <v>211</v>
      </c>
      <c r="J833" s="179" t="s">
        <v>4568</v>
      </c>
      <c r="K833" s="183"/>
    </row>
    <row r="834" spans="1:11" ht="15.6">
      <c r="A834" s="342">
        <v>45975</v>
      </c>
      <c r="B834" s="179" t="s">
        <v>4515</v>
      </c>
      <c r="C834" s="179" t="s">
        <v>2092</v>
      </c>
      <c r="D834" s="440" t="s">
        <v>118</v>
      </c>
      <c r="E834" s="316">
        <v>10000</v>
      </c>
      <c r="F834" s="499"/>
      <c r="G834" s="221"/>
      <c r="H834" s="163">
        <f t="shared" si="16"/>
        <v>109750</v>
      </c>
      <c r="I834" s="219" t="s">
        <v>211</v>
      </c>
      <c r="J834" s="179" t="s">
        <v>4568</v>
      </c>
      <c r="K834" s="183"/>
    </row>
    <row r="835" spans="1:11" ht="15.6">
      <c r="A835" s="342">
        <v>45975</v>
      </c>
      <c r="B835" s="179" t="s">
        <v>4516</v>
      </c>
      <c r="C835" s="179" t="s">
        <v>2092</v>
      </c>
      <c r="D835" s="440" t="s">
        <v>118</v>
      </c>
      <c r="E835" s="316">
        <v>10000</v>
      </c>
      <c r="F835" s="499"/>
      <c r="G835" s="221"/>
      <c r="H835" s="163">
        <f t="shared" si="16"/>
        <v>119750</v>
      </c>
      <c r="I835" s="219" t="s">
        <v>211</v>
      </c>
      <c r="J835" s="179" t="s">
        <v>4568</v>
      </c>
      <c r="K835" s="183"/>
    </row>
    <row r="836" spans="1:11" ht="15.6">
      <c r="A836" s="342">
        <v>45975</v>
      </c>
      <c r="B836" s="179" t="s">
        <v>4517</v>
      </c>
      <c r="C836" s="179" t="s">
        <v>2092</v>
      </c>
      <c r="D836" s="440" t="s">
        <v>118</v>
      </c>
      <c r="E836" s="316">
        <v>10000</v>
      </c>
      <c r="F836" s="499"/>
      <c r="G836" s="221"/>
      <c r="H836" s="163">
        <f t="shared" si="16"/>
        <v>129750</v>
      </c>
      <c r="I836" s="179" t="s">
        <v>211</v>
      </c>
      <c r="J836" s="179" t="s">
        <v>4568</v>
      </c>
      <c r="K836" s="183"/>
    </row>
    <row r="837" spans="1:11" ht="15.6">
      <c r="A837" s="342">
        <v>45975</v>
      </c>
      <c r="B837" s="179" t="s">
        <v>4518</v>
      </c>
      <c r="C837" s="179" t="s">
        <v>2092</v>
      </c>
      <c r="D837" s="440" t="s">
        <v>118</v>
      </c>
      <c r="E837" s="316">
        <v>10000</v>
      </c>
      <c r="F837" s="499"/>
      <c r="G837" s="221"/>
      <c r="H837" s="163">
        <f t="shared" si="16"/>
        <v>139750</v>
      </c>
      <c r="I837" s="179" t="s">
        <v>211</v>
      </c>
      <c r="J837" s="179" t="s">
        <v>4568</v>
      </c>
      <c r="K837" s="183"/>
    </row>
    <row r="838" spans="1:11" ht="15.6">
      <c r="A838" s="342">
        <v>45975</v>
      </c>
      <c r="B838" s="179" t="s">
        <v>4519</v>
      </c>
      <c r="C838" s="179" t="s">
        <v>2092</v>
      </c>
      <c r="D838" s="440" t="s">
        <v>118</v>
      </c>
      <c r="E838" s="316">
        <v>6000</v>
      </c>
      <c r="F838" s="499"/>
      <c r="G838" s="221"/>
      <c r="H838" s="163">
        <f t="shared" si="16"/>
        <v>145750</v>
      </c>
      <c r="I838" s="179" t="s">
        <v>211</v>
      </c>
      <c r="J838" s="179" t="s">
        <v>4569</v>
      </c>
      <c r="K838" s="183"/>
    </row>
    <row r="839" spans="1:11" ht="15.6">
      <c r="A839" s="342">
        <v>45975</v>
      </c>
      <c r="B839" s="179" t="s">
        <v>4520</v>
      </c>
      <c r="C839" s="179" t="s">
        <v>2092</v>
      </c>
      <c r="D839" s="440" t="s">
        <v>118</v>
      </c>
      <c r="E839" s="316">
        <v>6000</v>
      </c>
      <c r="F839" s="499"/>
      <c r="G839" s="221"/>
      <c r="H839" s="163">
        <f t="shared" si="16"/>
        <v>151750</v>
      </c>
      <c r="I839" s="219" t="s">
        <v>211</v>
      </c>
      <c r="J839" s="179" t="s">
        <v>4569</v>
      </c>
      <c r="K839" s="183"/>
    </row>
    <row r="840" spans="1:11" ht="15.6">
      <c r="A840" s="342">
        <v>45975</v>
      </c>
      <c r="B840" s="179" t="s">
        <v>4521</v>
      </c>
      <c r="C840" s="179" t="s">
        <v>2092</v>
      </c>
      <c r="D840" s="440" t="s">
        <v>118</v>
      </c>
      <c r="E840" s="316">
        <v>6000</v>
      </c>
      <c r="F840" s="499"/>
      <c r="G840" s="221"/>
      <c r="H840" s="163">
        <f t="shared" si="16"/>
        <v>157750</v>
      </c>
      <c r="I840" s="219" t="s">
        <v>211</v>
      </c>
      <c r="J840" s="179" t="s">
        <v>4569</v>
      </c>
      <c r="K840" s="183"/>
    </row>
    <row r="841" spans="1:11" ht="15.6">
      <c r="A841" s="342">
        <v>45975</v>
      </c>
      <c r="B841" s="179" t="s">
        <v>4522</v>
      </c>
      <c r="C841" s="179" t="s">
        <v>2092</v>
      </c>
      <c r="D841" s="440" t="s">
        <v>118</v>
      </c>
      <c r="E841" s="316">
        <v>6000</v>
      </c>
      <c r="F841" s="499"/>
      <c r="G841" s="221"/>
      <c r="H841" s="163">
        <f t="shared" si="16"/>
        <v>163750</v>
      </c>
      <c r="I841" s="219" t="s">
        <v>211</v>
      </c>
      <c r="J841" s="179" t="s">
        <v>4569</v>
      </c>
      <c r="K841" s="183"/>
    </row>
    <row r="842" spans="1:11" ht="15.6">
      <c r="A842" s="342">
        <v>45975</v>
      </c>
      <c r="B842" s="177" t="s">
        <v>4500</v>
      </c>
      <c r="C842" s="179" t="s">
        <v>2092</v>
      </c>
      <c r="D842" s="440" t="s">
        <v>118</v>
      </c>
      <c r="E842" s="499"/>
      <c r="F842" s="316">
        <v>6000</v>
      </c>
      <c r="G842" s="221"/>
      <c r="H842" s="163">
        <f t="shared" si="16"/>
        <v>157750</v>
      </c>
      <c r="I842" s="219" t="s">
        <v>211</v>
      </c>
      <c r="J842" s="179" t="s">
        <v>4567</v>
      </c>
      <c r="K842" s="183"/>
    </row>
    <row r="843" spans="1:11" ht="15.6">
      <c r="A843" s="342">
        <v>45975</v>
      </c>
      <c r="B843" s="177" t="s">
        <v>4501</v>
      </c>
      <c r="C843" s="179" t="s">
        <v>2092</v>
      </c>
      <c r="D843" s="440" t="s">
        <v>118</v>
      </c>
      <c r="E843" s="499"/>
      <c r="F843" s="316">
        <v>6000</v>
      </c>
      <c r="G843" s="221"/>
      <c r="H843" s="163">
        <f t="shared" si="16"/>
        <v>151750</v>
      </c>
      <c r="I843" s="219" t="s">
        <v>211</v>
      </c>
      <c r="J843" s="179" t="s">
        <v>4567</v>
      </c>
      <c r="K843" s="183"/>
    </row>
    <row r="844" spans="1:11" ht="15.6">
      <c r="A844" s="342">
        <v>45975</v>
      </c>
      <c r="B844" s="177" t="s">
        <v>4502</v>
      </c>
      <c r="C844" s="179" t="s">
        <v>2092</v>
      </c>
      <c r="D844" s="440" t="s">
        <v>118</v>
      </c>
      <c r="E844" s="499"/>
      <c r="F844" s="316">
        <v>6000</v>
      </c>
      <c r="G844" s="221"/>
      <c r="H844" s="163">
        <f t="shared" si="16"/>
        <v>145750</v>
      </c>
      <c r="I844" s="219" t="s">
        <v>211</v>
      </c>
      <c r="J844" s="179" t="s">
        <v>4567</v>
      </c>
      <c r="K844" s="183"/>
    </row>
    <row r="845" spans="1:11" ht="15.6">
      <c r="A845" s="342">
        <v>45975</v>
      </c>
      <c r="B845" s="177" t="s">
        <v>4503</v>
      </c>
      <c r="C845" s="179" t="s">
        <v>2092</v>
      </c>
      <c r="D845" s="440" t="s">
        <v>118</v>
      </c>
      <c r="E845" s="499"/>
      <c r="F845" s="316">
        <v>6000</v>
      </c>
      <c r="G845" s="221"/>
      <c r="H845" s="163">
        <f t="shared" si="16"/>
        <v>139750</v>
      </c>
      <c r="I845" s="219" t="s">
        <v>211</v>
      </c>
      <c r="J845" s="179" t="s">
        <v>4567</v>
      </c>
      <c r="K845" s="183"/>
    </row>
    <row r="846" spans="1:11" ht="15.6">
      <c r="A846" s="342">
        <v>45975</v>
      </c>
      <c r="B846" s="177" t="s">
        <v>4504</v>
      </c>
      <c r="C846" s="179" t="s">
        <v>2092</v>
      </c>
      <c r="D846" s="440" t="s">
        <v>118</v>
      </c>
      <c r="E846" s="499"/>
      <c r="F846" s="316">
        <v>6000</v>
      </c>
      <c r="G846" s="221"/>
      <c r="H846" s="163">
        <f t="shared" si="16"/>
        <v>133750</v>
      </c>
      <c r="I846" s="219" t="s">
        <v>211</v>
      </c>
      <c r="J846" s="179" t="s">
        <v>4567</v>
      </c>
      <c r="K846" s="183"/>
    </row>
    <row r="847" spans="1:11" ht="15.6">
      <c r="A847" s="342">
        <v>45975</v>
      </c>
      <c r="B847" s="177" t="s">
        <v>4505</v>
      </c>
      <c r="C847" s="179" t="s">
        <v>2092</v>
      </c>
      <c r="D847" s="440" t="s">
        <v>118</v>
      </c>
      <c r="E847" s="499"/>
      <c r="F847" s="316">
        <v>6000</v>
      </c>
      <c r="G847" s="221"/>
      <c r="H847" s="163">
        <f t="shared" si="16"/>
        <v>127750</v>
      </c>
      <c r="I847" s="219" t="s">
        <v>211</v>
      </c>
      <c r="J847" s="179" t="s">
        <v>4567</v>
      </c>
      <c r="K847" s="183"/>
    </row>
    <row r="848" spans="1:11" ht="15.6">
      <c r="A848" s="342">
        <v>45975</v>
      </c>
      <c r="B848" s="177" t="s">
        <v>4506</v>
      </c>
      <c r="C848" s="179" t="s">
        <v>2092</v>
      </c>
      <c r="D848" s="440" t="s">
        <v>118</v>
      </c>
      <c r="E848" s="499"/>
      <c r="F848" s="316">
        <v>6000</v>
      </c>
      <c r="G848" s="221"/>
      <c r="H848" s="163">
        <f t="shared" si="16"/>
        <v>121750</v>
      </c>
      <c r="I848" s="219" t="s">
        <v>211</v>
      </c>
      <c r="J848" s="179" t="s">
        <v>4567</v>
      </c>
      <c r="K848" s="183"/>
    </row>
    <row r="849" spans="1:11" ht="15.6">
      <c r="A849" s="342">
        <v>45975</v>
      </c>
      <c r="B849" s="177" t="s">
        <v>4507</v>
      </c>
      <c r="C849" s="179" t="s">
        <v>2092</v>
      </c>
      <c r="D849" s="440" t="s">
        <v>118</v>
      </c>
      <c r="E849" s="499"/>
      <c r="F849" s="316">
        <v>6000</v>
      </c>
      <c r="G849" s="221"/>
      <c r="H849" s="163">
        <f t="shared" si="16"/>
        <v>115750</v>
      </c>
      <c r="I849" s="219" t="s">
        <v>211</v>
      </c>
      <c r="J849" s="179" t="s">
        <v>4567</v>
      </c>
      <c r="K849" s="183"/>
    </row>
    <row r="850" spans="1:11" ht="15.6">
      <c r="A850" s="342">
        <v>45975</v>
      </c>
      <c r="B850" s="177" t="s">
        <v>4508</v>
      </c>
      <c r="C850" s="179" t="s">
        <v>2092</v>
      </c>
      <c r="D850" s="440" t="s">
        <v>118</v>
      </c>
      <c r="E850" s="499"/>
      <c r="F850" s="316">
        <v>6000</v>
      </c>
      <c r="G850" s="221"/>
      <c r="H850" s="163">
        <f t="shared" si="16"/>
        <v>109750</v>
      </c>
      <c r="I850" s="219" t="s">
        <v>211</v>
      </c>
      <c r="J850" s="179" t="s">
        <v>4567</v>
      </c>
      <c r="K850" s="183"/>
    </row>
    <row r="851" spans="1:11" ht="15.6">
      <c r="A851" s="342">
        <v>45975</v>
      </c>
      <c r="B851" s="177" t="s">
        <v>4509</v>
      </c>
      <c r="C851" s="179" t="s">
        <v>2092</v>
      </c>
      <c r="D851" s="440" t="s">
        <v>118</v>
      </c>
      <c r="E851" s="499"/>
      <c r="F851" s="316">
        <v>6000</v>
      </c>
      <c r="G851" s="221"/>
      <c r="H851" s="163">
        <f t="shared" si="16"/>
        <v>103750</v>
      </c>
      <c r="I851" s="219" t="s">
        <v>211</v>
      </c>
      <c r="J851" s="179" t="s">
        <v>4567</v>
      </c>
      <c r="K851" s="183"/>
    </row>
    <row r="852" spans="1:11" ht="15.6">
      <c r="A852" s="342">
        <v>45975</v>
      </c>
      <c r="B852" s="177" t="s">
        <v>4510</v>
      </c>
      <c r="C852" s="179" t="s">
        <v>2092</v>
      </c>
      <c r="D852" s="440" t="s">
        <v>118</v>
      </c>
      <c r="E852" s="499"/>
      <c r="F852" s="316">
        <v>6000</v>
      </c>
      <c r="G852" s="221"/>
      <c r="H852" s="163">
        <f t="shared" si="16"/>
        <v>97750</v>
      </c>
      <c r="I852" s="219" t="s">
        <v>211</v>
      </c>
      <c r="J852" s="179" t="s">
        <v>4567</v>
      </c>
      <c r="K852" s="183"/>
    </row>
    <row r="853" spans="1:11" ht="15.6">
      <c r="A853" s="342">
        <v>45975</v>
      </c>
      <c r="B853" s="177" t="s">
        <v>4511</v>
      </c>
      <c r="C853" s="179" t="s">
        <v>2092</v>
      </c>
      <c r="D853" s="440" t="s">
        <v>118</v>
      </c>
      <c r="E853" s="499"/>
      <c r="F853" s="316">
        <v>6000</v>
      </c>
      <c r="G853" s="221"/>
      <c r="H853" s="163">
        <f t="shared" si="16"/>
        <v>91750</v>
      </c>
      <c r="I853" s="219" t="s">
        <v>211</v>
      </c>
      <c r="J853" s="179" t="s">
        <v>4567</v>
      </c>
      <c r="K853" s="183"/>
    </row>
    <row r="854" spans="1:11" ht="15.6">
      <c r="A854" s="342">
        <v>45975</v>
      </c>
      <c r="B854" s="177" t="s">
        <v>4512</v>
      </c>
      <c r="C854" s="179" t="s">
        <v>2092</v>
      </c>
      <c r="D854" s="440" t="s">
        <v>118</v>
      </c>
      <c r="E854" s="499"/>
      <c r="F854" s="316">
        <v>6000</v>
      </c>
      <c r="G854" s="221"/>
      <c r="H854" s="163">
        <f t="shared" si="16"/>
        <v>85750</v>
      </c>
      <c r="I854" s="219" t="s">
        <v>211</v>
      </c>
      <c r="J854" s="179" t="s">
        <v>4567</v>
      </c>
      <c r="K854" s="183"/>
    </row>
    <row r="855" spans="1:11" ht="15.6">
      <c r="A855" s="342">
        <v>45975</v>
      </c>
      <c r="B855" s="177" t="s">
        <v>4513</v>
      </c>
      <c r="C855" s="179" t="s">
        <v>2092</v>
      </c>
      <c r="D855" s="440" t="s">
        <v>118</v>
      </c>
      <c r="E855" s="499"/>
      <c r="F855" s="316">
        <v>6000</v>
      </c>
      <c r="G855" s="221"/>
      <c r="H855" s="163">
        <f t="shared" si="16"/>
        <v>79750</v>
      </c>
      <c r="I855" s="219" t="s">
        <v>211</v>
      </c>
      <c r="J855" s="179" t="s">
        <v>4567</v>
      </c>
      <c r="K855" s="183"/>
    </row>
    <row r="856" spans="1:11" ht="15.6">
      <c r="A856" s="342">
        <v>45975</v>
      </c>
      <c r="B856" s="179" t="s">
        <v>4514</v>
      </c>
      <c r="C856" s="179" t="s">
        <v>2092</v>
      </c>
      <c r="D856" s="440" t="s">
        <v>118</v>
      </c>
      <c r="E856" s="499"/>
      <c r="F856" s="316">
        <v>10000</v>
      </c>
      <c r="G856" s="221"/>
      <c r="H856" s="163">
        <f t="shared" si="16"/>
        <v>69750</v>
      </c>
      <c r="I856" s="219" t="s">
        <v>211</v>
      </c>
      <c r="J856" s="179" t="s">
        <v>4568</v>
      </c>
      <c r="K856" s="183"/>
    </row>
    <row r="857" spans="1:11" ht="15.6">
      <c r="A857" s="342">
        <v>45975</v>
      </c>
      <c r="B857" s="179" t="s">
        <v>4515</v>
      </c>
      <c r="C857" s="179" t="s">
        <v>2092</v>
      </c>
      <c r="D857" s="440" t="s">
        <v>118</v>
      </c>
      <c r="E857" s="499"/>
      <c r="F857" s="316">
        <v>10000</v>
      </c>
      <c r="G857" s="221"/>
      <c r="H857" s="163">
        <f t="shared" si="16"/>
        <v>59750</v>
      </c>
      <c r="I857" s="219" t="s">
        <v>211</v>
      </c>
      <c r="J857" s="179" t="s">
        <v>4568</v>
      </c>
      <c r="K857" s="183"/>
    </row>
    <row r="858" spans="1:11" ht="15.6">
      <c r="A858" s="342">
        <v>45975</v>
      </c>
      <c r="B858" s="179" t="s">
        <v>4516</v>
      </c>
      <c r="C858" s="179" t="s">
        <v>2092</v>
      </c>
      <c r="D858" s="440" t="s">
        <v>118</v>
      </c>
      <c r="E858" s="499"/>
      <c r="F858" s="316">
        <v>10000</v>
      </c>
      <c r="G858" s="221"/>
      <c r="H858" s="163">
        <f t="shared" si="16"/>
        <v>49750</v>
      </c>
      <c r="I858" s="219" t="s">
        <v>211</v>
      </c>
      <c r="J858" s="179" t="s">
        <v>4568</v>
      </c>
      <c r="K858" s="183"/>
    </row>
    <row r="859" spans="1:11" ht="15.6">
      <c r="A859" s="342">
        <v>45975</v>
      </c>
      <c r="B859" s="179" t="s">
        <v>4517</v>
      </c>
      <c r="C859" s="179" t="s">
        <v>2092</v>
      </c>
      <c r="D859" s="440" t="s">
        <v>118</v>
      </c>
      <c r="E859" s="499"/>
      <c r="F859" s="316">
        <v>10000</v>
      </c>
      <c r="G859" s="221"/>
      <c r="H859" s="163">
        <f t="shared" si="16"/>
        <v>39750</v>
      </c>
      <c r="I859" s="179" t="s">
        <v>211</v>
      </c>
      <c r="J859" s="179" t="s">
        <v>4568</v>
      </c>
      <c r="K859" s="183"/>
    </row>
    <row r="860" spans="1:11" ht="15.6">
      <c r="A860" s="342">
        <v>45975</v>
      </c>
      <c r="B860" s="179" t="s">
        <v>4518</v>
      </c>
      <c r="C860" s="179" t="s">
        <v>2092</v>
      </c>
      <c r="D860" s="440" t="s">
        <v>118</v>
      </c>
      <c r="E860" s="499"/>
      <c r="F860" s="316">
        <v>10000</v>
      </c>
      <c r="G860" s="221"/>
      <c r="H860" s="163">
        <f t="shared" si="16"/>
        <v>29750</v>
      </c>
      <c r="I860" s="179" t="s">
        <v>211</v>
      </c>
      <c r="J860" s="179" t="s">
        <v>4568</v>
      </c>
      <c r="K860" s="183"/>
    </row>
    <row r="861" spans="1:11" ht="15.6">
      <c r="A861" s="342">
        <v>45975</v>
      </c>
      <c r="B861" s="179" t="s">
        <v>4519</v>
      </c>
      <c r="C861" s="179" t="s">
        <v>2092</v>
      </c>
      <c r="D861" s="440" t="s">
        <v>118</v>
      </c>
      <c r="E861" s="499"/>
      <c r="F861" s="316">
        <v>6000</v>
      </c>
      <c r="G861" s="221"/>
      <c r="H861" s="163">
        <f t="shared" si="16"/>
        <v>23750</v>
      </c>
      <c r="I861" s="179" t="s">
        <v>211</v>
      </c>
      <c r="J861" s="179" t="s">
        <v>4569</v>
      </c>
      <c r="K861" s="183"/>
    </row>
    <row r="862" spans="1:11" ht="15.6">
      <c r="A862" s="342">
        <v>45975</v>
      </c>
      <c r="B862" s="179" t="s">
        <v>4520</v>
      </c>
      <c r="C862" s="179" t="s">
        <v>2092</v>
      </c>
      <c r="D862" s="440" t="s">
        <v>118</v>
      </c>
      <c r="E862" s="499"/>
      <c r="F862" s="316">
        <v>6000</v>
      </c>
      <c r="G862" s="221"/>
      <c r="H862" s="163">
        <f t="shared" si="16"/>
        <v>17750</v>
      </c>
      <c r="I862" s="219" t="s">
        <v>211</v>
      </c>
      <c r="J862" s="179" t="s">
        <v>4569</v>
      </c>
      <c r="K862" s="183"/>
    </row>
    <row r="863" spans="1:11" ht="15.6">
      <c r="A863" s="342">
        <v>45975</v>
      </c>
      <c r="B863" s="179" t="s">
        <v>4521</v>
      </c>
      <c r="C863" s="179" t="s">
        <v>2092</v>
      </c>
      <c r="D863" s="440" t="s">
        <v>118</v>
      </c>
      <c r="E863" s="499"/>
      <c r="F863" s="316">
        <v>6000</v>
      </c>
      <c r="G863" s="221"/>
      <c r="H863" s="163">
        <f t="shared" si="16"/>
        <v>11750</v>
      </c>
      <c r="I863" s="219" t="s">
        <v>211</v>
      </c>
      <c r="J863" s="179" t="s">
        <v>4569</v>
      </c>
      <c r="K863" s="183"/>
    </row>
    <row r="864" spans="1:11" ht="15.6">
      <c r="A864" s="342">
        <v>45975</v>
      </c>
      <c r="B864" s="179" t="s">
        <v>4522</v>
      </c>
      <c r="C864" s="179" t="s">
        <v>2092</v>
      </c>
      <c r="D864" s="440" t="s">
        <v>118</v>
      </c>
      <c r="E864" s="499"/>
      <c r="F864" s="316">
        <v>6000</v>
      </c>
      <c r="G864" s="221"/>
      <c r="H864" s="163">
        <f t="shared" si="16"/>
        <v>5750</v>
      </c>
      <c r="I864" s="219" t="s">
        <v>211</v>
      </c>
      <c r="J864" s="179" t="s">
        <v>4569</v>
      </c>
      <c r="K864" s="183"/>
    </row>
    <row r="865" spans="1:11" ht="15.6">
      <c r="A865" s="498">
        <v>45978</v>
      </c>
      <c r="B865" s="440" t="s">
        <v>4523</v>
      </c>
      <c r="C865" s="440" t="s">
        <v>172</v>
      </c>
      <c r="D865" s="440" t="s">
        <v>118</v>
      </c>
      <c r="E865" s="499"/>
      <c r="F865" s="499">
        <v>1000</v>
      </c>
      <c r="G865" s="221"/>
      <c r="H865" s="163">
        <f t="shared" si="16"/>
        <v>4750</v>
      </c>
      <c r="I865" s="440" t="s">
        <v>211</v>
      </c>
      <c r="J865" s="440" t="s">
        <v>4559</v>
      </c>
      <c r="K865" s="183"/>
    </row>
    <row r="866" spans="1:11" ht="15.6">
      <c r="A866" s="498">
        <v>45978</v>
      </c>
      <c r="B866" s="440" t="s">
        <v>4524</v>
      </c>
      <c r="C866" s="440" t="s">
        <v>172</v>
      </c>
      <c r="D866" s="440" t="s">
        <v>118</v>
      </c>
      <c r="E866" s="499"/>
      <c r="F866" s="499">
        <v>1000</v>
      </c>
      <c r="G866" s="221"/>
      <c r="H866" s="163">
        <f t="shared" si="16"/>
        <v>3750</v>
      </c>
      <c r="I866" s="440" t="s">
        <v>211</v>
      </c>
      <c r="J866" s="440" t="s">
        <v>4559</v>
      </c>
      <c r="K866" s="183"/>
    </row>
    <row r="867" spans="1:11" ht="15.6">
      <c r="A867" s="498">
        <v>45978</v>
      </c>
      <c r="B867" s="440" t="s">
        <v>4525</v>
      </c>
      <c r="C867" s="440" t="s">
        <v>172</v>
      </c>
      <c r="D867" s="440" t="s">
        <v>118</v>
      </c>
      <c r="E867" s="499"/>
      <c r="F867" s="499">
        <v>1000</v>
      </c>
      <c r="G867" s="221"/>
      <c r="H867" s="163">
        <f t="shared" si="16"/>
        <v>2750</v>
      </c>
      <c r="I867" s="440" t="s">
        <v>211</v>
      </c>
      <c r="J867" s="440" t="s">
        <v>4559</v>
      </c>
      <c r="K867" s="183"/>
    </row>
    <row r="868" spans="1:11" ht="15.6">
      <c r="A868" s="498">
        <v>45978</v>
      </c>
      <c r="B868" s="440" t="s">
        <v>3858</v>
      </c>
      <c r="C868" s="440" t="s">
        <v>172</v>
      </c>
      <c r="D868" s="440" t="s">
        <v>118</v>
      </c>
      <c r="E868" s="499"/>
      <c r="F868" s="499">
        <v>1000</v>
      </c>
      <c r="G868" s="221"/>
      <c r="H868" s="163">
        <f t="shared" si="16"/>
        <v>1750</v>
      </c>
      <c r="I868" s="440" t="s">
        <v>211</v>
      </c>
      <c r="J868" s="440" t="s">
        <v>4559</v>
      </c>
      <c r="K868" s="183"/>
    </row>
    <row r="869" spans="1:11" ht="15.6">
      <c r="A869" s="498">
        <v>45978</v>
      </c>
      <c r="B869" s="440" t="s">
        <v>4526</v>
      </c>
      <c r="C869" s="440" t="s">
        <v>172</v>
      </c>
      <c r="D869" s="440" t="s">
        <v>118</v>
      </c>
      <c r="E869" s="499"/>
      <c r="F869" s="499">
        <v>1000</v>
      </c>
      <c r="G869" s="221"/>
      <c r="H869" s="163">
        <f t="shared" si="16"/>
        <v>750</v>
      </c>
      <c r="I869" s="440" t="s">
        <v>211</v>
      </c>
      <c r="J869" s="440" t="s">
        <v>4559</v>
      </c>
      <c r="K869" s="183"/>
    </row>
    <row r="870" spans="1:11" ht="15.6">
      <c r="A870" s="498">
        <v>45978</v>
      </c>
      <c r="B870" s="440" t="s">
        <v>4527</v>
      </c>
      <c r="C870" s="440" t="s">
        <v>172</v>
      </c>
      <c r="D870" s="440" t="s">
        <v>118</v>
      </c>
      <c r="E870" s="499"/>
      <c r="F870" s="499">
        <v>1000</v>
      </c>
      <c r="G870" s="221"/>
      <c r="H870" s="163">
        <f t="shared" si="16"/>
        <v>-250</v>
      </c>
      <c r="I870" s="440" t="s">
        <v>211</v>
      </c>
      <c r="J870" s="440" t="s">
        <v>4559</v>
      </c>
      <c r="K870" s="183"/>
    </row>
    <row r="871" spans="1:11" ht="15.6">
      <c r="A871" s="498">
        <v>45978</v>
      </c>
      <c r="B871" s="440" t="s">
        <v>4528</v>
      </c>
      <c r="C871" s="440" t="s">
        <v>172</v>
      </c>
      <c r="D871" s="440" t="s">
        <v>118</v>
      </c>
      <c r="E871" s="499"/>
      <c r="F871" s="499">
        <v>1000</v>
      </c>
      <c r="G871" s="221"/>
      <c r="H871" s="163">
        <f t="shared" si="16"/>
        <v>-1250</v>
      </c>
      <c r="I871" s="440" t="s">
        <v>211</v>
      </c>
      <c r="J871" s="440" t="s">
        <v>4559</v>
      </c>
      <c r="K871" s="183"/>
    </row>
    <row r="872" spans="1:11" ht="15.6">
      <c r="A872" s="498">
        <v>45978</v>
      </c>
      <c r="B872" s="337" t="s">
        <v>4529</v>
      </c>
      <c r="C872" s="439" t="s">
        <v>150</v>
      </c>
      <c r="D872" s="440" t="s">
        <v>118</v>
      </c>
      <c r="E872" s="499">
        <v>10000</v>
      </c>
      <c r="F872" s="499"/>
      <c r="G872" s="221"/>
      <c r="H872" s="163">
        <f t="shared" si="16"/>
        <v>8750</v>
      </c>
      <c r="I872" s="440" t="s">
        <v>211</v>
      </c>
      <c r="J872" s="440" t="s">
        <v>4570</v>
      </c>
      <c r="K872" s="183"/>
    </row>
    <row r="873" spans="1:11" ht="15.6">
      <c r="A873" s="498">
        <v>45978</v>
      </c>
      <c r="B873" s="337" t="s">
        <v>4530</v>
      </c>
      <c r="C873" s="439" t="s">
        <v>150</v>
      </c>
      <c r="D873" s="440" t="s">
        <v>118</v>
      </c>
      <c r="E873" s="499"/>
      <c r="F873" s="499">
        <v>10000</v>
      </c>
      <c r="G873" s="221"/>
      <c r="H873" s="163">
        <f t="shared" ref="H873:H929" si="17">+H872+E873-F873</f>
        <v>-1250</v>
      </c>
      <c r="I873" s="440" t="s">
        <v>211</v>
      </c>
      <c r="J873" s="440" t="s">
        <v>4570</v>
      </c>
      <c r="K873" s="183"/>
    </row>
    <row r="874" spans="1:11" ht="15.6">
      <c r="A874" s="498">
        <v>45979</v>
      </c>
      <c r="B874" s="440" t="s">
        <v>4463</v>
      </c>
      <c r="C874" s="440" t="s">
        <v>122</v>
      </c>
      <c r="D874" s="440" t="s">
        <v>118</v>
      </c>
      <c r="E874" s="499">
        <v>10000</v>
      </c>
      <c r="F874" s="499"/>
      <c r="G874" s="221"/>
      <c r="H874" s="163">
        <f t="shared" si="17"/>
        <v>8750</v>
      </c>
      <c r="I874" s="440" t="s">
        <v>211</v>
      </c>
      <c r="J874" s="440" t="s">
        <v>4571</v>
      </c>
      <c r="K874" s="183"/>
    </row>
    <row r="875" spans="1:11" ht="15.6">
      <c r="A875" s="498">
        <v>45979</v>
      </c>
      <c r="B875" s="440" t="s">
        <v>3854</v>
      </c>
      <c r="C875" s="440" t="s">
        <v>172</v>
      </c>
      <c r="D875" s="440" t="s">
        <v>118</v>
      </c>
      <c r="E875" s="499"/>
      <c r="F875" s="499">
        <v>1000</v>
      </c>
      <c r="G875" s="221"/>
      <c r="H875" s="163">
        <f t="shared" si="17"/>
        <v>7750</v>
      </c>
      <c r="I875" s="440" t="s">
        <v>211</v>
      </c>
      <c r="J875" s="440" t="s">
        <v>4559</v>
      </c>
      <c r="K875" s="183"/>
    </row>
    <row r="876" spans="1:11" ht="15.6">
      <c r="A876" s="498">
        <v>45979</v>
      </c>
      <c r="B876" s="440" t="s">
        <v>4531</v>
      </c>
      <c r="C876" s="440" t="s">
        <v>172</v>
      </c>
      <c r="D876" s="440" t="s">
        <v>118</v>
      </c>
      <c r="E876" s="499"/>
      <c r="F876" s="499">
        <v>1000</v>
      </c>
      <c r="G876" s="221"/>
      <c r="H876" s="163">
        <f t="shared" si="17"/>
        <v>6750</v>
      </c>
      <c r="I876" s="440" t="s">
        <v>211</v>
      </c>
      <c r="J876" s="440" t="s">
        <v>4559</v>
      </c>
      <c r="K876" s="183"/>
    </row>
    <row r="877" spans="1:11" ht="15.6">
      <c r="A877" s="498">
        <v>45979</v>
      </c>
      <c r="B877" s="440" t="s">
        <v>4532</v>
      </c>
      <c r="C877" s="440" t="s">
        <v>172</v>
      </c>
      <c r="D877" s="440" t="s">
        <v>118</v>
      </c>
      <c r="E877" s="499"/>
      <c r="F877" s="499">
        <v>1000</v>
      </c>
      <c r="G877" s="221"/>
      <c r="H877" s="163">
        <f t="shared" si="17"/>
        <v>5750</v>
      </c>
      <c r="I877" s="440" t="s">
        <v>211</v>
      </c>
      <c r="J877" s="440" t="s">
        <v>4559</v>
      </c>
      <c r="K877" s="183"/>
    </row>
    <row r="878" spans="1:11" ht="15.6">
      <c r="A878" s="498">
        <v>45979</v>
      </c>
      <c r="B878" s="440" t="s">
        <v>4533</v>
      </c>
      <c r="C878" s="440" t="s">
        <v>172</v>
      </c>
      <c r="D878" s="440" t="s">
        <v>118</v>
      </c>
      <c r="E878" s="499"/>
      <c r="F878" s="499">
        <v>1000</v>
      </c>
      <c r="G878" s="221"/>
      <c r="H878" s="163">
        <f t="shared" si="17"/>
        <v>4750</v>
      </c>
      <c r="I878" s="440" t="s">
        <v>211</v>
      </c>
      <c r="J878" s="440" t="s">
        <v>4559</v>
      </c>
      <c r="K878" s="183"/>
    </row>
    <row r="879" spans="1:11" ht="15.6">
      <c r="A879" s="498">
        <v>45981</v>
      </c>
      <c r="B879" s="440" t="s">
        <v>4534</v>
      </c>
      <c r="C879" s="440" t="s">
        <v>172</v>
      </c>
      <c r="D879" s="440" t="s">
        <v>118</v>
      </c>
      <c r="E879" s="499"/>
      <c r="F879" s="499">
        <v>1000</v>
      </c>
      <c r="G879" s="221"/>
      <c r="H879" s="163">
        <f t="shared" si="17"/>
        <v>3750</v>
      </c>
      <c r="I879" s="440" t="s">
        <v>211</v>
      </c>
      <c r="J879" s="440" t="s">
        <v>4559</v>
      </c>
      <c r="K879" s="183"/>
    </row>
    <row r="880" spans="1:11" ht="15.6">
      <c r="A880" s="498">
        <v>45981</v>
      </c>
      <c r="B880" s="440" t="s">
        <v>4535</v>
      </c>
      <c r="C880" s="440" t="s">
        <v>172</v>
      </c>
      <c r="D880" s="440" t="s">
        <v>118</v>
      </c>
      <c r="E880" s="499"/>
      <c r="F880" s="499">
        <v>1000</v>
      </c>
      <c r="G880" s="221"/>
      <c r="H880" s="163">
        <f t="shared" si="17"/>
        <v>2750</v>
      </c>
      <c r="I880" s="440" t="s">
        <v>211</v>
      </c>
      <c r="J880" s="440" t="s">
        <v>4559</v>
      </c>
      <c r="K880" s="183"/>
    </row>
    <row r="881" spans="1:11" ht="15.6">
      <c r="A881" s="342">
        <v>45986</v>
      </c>
      <c r="B881" s="179" t="s">
        <v>4536</v>
      </c>
      <c r="C881" s="179" t="s">
        <v>2092</v>
      </c>
      <c r="D881" s="440" t="s">
        <v>118</v>
      </c>
      <c r="E881" s="316">
        <v>10000</v>
      </c>
      <c r="F881" s="499"/>
      <c r="G881" s="221"/>
      <c r="H881" s="163">
        <f t="shared" si="17"/>
        <v>12750</v>
      </c>
      <c r="I881" s="219" t="s">
        <v>211</v>
      </c>
      <c r="J881" s="179" t="s">
        <v>4572</v>
      </c>
      <c r="K881" s="183"/>
    </row>
    <row r="882" spans="1:11" ht="15.6">
      <c r="A882" s="342">
        <v>45986</v>
      </c>
      <c r="B882" s="179" t="s">
        <v>4537</v>
      </c>
      <c r="C882" s="179" t="s">
        <v>2092</v>
      </c>
      <c r="D882" s="440" t="s">
        <v>118</v>
      </c>
      <c r="E882" s="316">
        <v>10000</v>
      </c>
      <c r="F882" s="499"/>
      <c r="G882" s="221"/>
      <c r="H882" s="163">
        <f t="shared" si="17"/>
        <v>22750</v>
      </c>
      <c r="I882" s="219" t="s">
        <v>211</v>
      </c>
      <c r="J882" s="179" t="s">
        <v>4572</v>
      </c>
      <c r="K882" s="183"/>
    </row>
    <row r="883" spans="1:11" ht="15.6">
      <c r="A883" s="342">
        <v>45986</v>
      </c>
      <c r="B883" s="179" t="s">
        <v>4538</v>
      </c>
      <c r="C883" s="179" t="s">
        <v>2092</v>
      </c>
      <c r="D883" s="440" t="s">
        <v>118</v>
      </c>
      <c r="E883" s="316">
        <v>10000</v>
      </c>
      <c r="F883" s="499"/>
      <c r="G883" s="221"/>
      <c r="H883" s="163">
        <f t="shared" si="17"/>
        <v>32750</v>
      </c>
      <c r="I883" s="219" t="s">
        <v>211</v>
      </c>
      <c r="J883" s="179" t="s">
        <v>4572</v>
      </c>
      <c r="K883" s="183"/>
    </row>
    <row r="884" spans="1:11" ht="15.6">
      <c r="A884" s="342">
        <v>45986</v>
      </c>
      <c r="B884" s="179" t="s">
        <v>4539</v>
      </c>
      <c r="C884" s="179" t="s">
        <v>2092</v>
      </c>
      <c r="D884" s="440" t="s">
        <v>118</v>
      </c>
      <c r="E884" s="316">
        <v>10000</v>
      </c>
      <c r="F884" s="499"/>
      <c r="G884" s="221"/>
      <c r="H884" s="163">
        <f t="shared" si="17"/>
        <v>42750</v>
      </c>
      <c r="I884" s="179" t="s">
        <v>211</v>
      </c>
      <c r="J884" s="179" t="s">
        <v>4572</v>
      </c>
      <c r="K884" s="183"/>
    </row>
    <row r="885" spans="1:11" ht="15.6">
      <c r="A885" s="342">
        <v>45986</v>
      </c>
      <c r="B885" s="179" t="s">
        <v>4540</v>
      </c>
      <c r="C885" s="179" t="s">
        <v>2092</v>
      </c>
      <c r="D885" s="440" t="s">
        <v>118</v>
      </c>
      <c r="E885" s="316">
        <v>10000</v>
      </c>
      <c r="F885" s="499"/>
      <c r="G885" s="221"/>
      <c r="H885" s="163">
        <f t="shared" si="17"/>
        <v>52750</v>
      </c>
      <c r="I885" s="179" t="s">
        <v>211</v>
      </c>
      <c r="J885" s="179" t="s">
        <v>4572</v>
      </c>
      <c r="K885" s="183"/>
    </row>
    <row r="886" spans="1:11" ht="15.6">
      <c r="A886" s="342">
        <v>45986</v>
      </c>
      <c r="B886" s="177" t="s">
        <v>4541</v>
      </c>
      <c r="C886" s="179" t="s">
        <v>2092</v>
      </c>
      <c r="D886" s="440" t="s">
        <v>118</v>
      </c>
      <c r="E886" s="316">
        <v>6000</v>
      </c>
      <c r="F886" s="499"/>
      <c r="G886" s="221"/>
      <c r="H886" s="163">
        <f t="shared" si="17"/>
        <v>58750</v>
      </c>
      <c r="I886" s="219" t="s">
        <v>211</v>
      </c>
      <c r="J886" s="179" t="s">
        <v>4573</v>
      </c>
      <c r="K886" s="183"/>
    </row>
    <row r="887" spans="1:11" ht="15.6">
      <c r="A887" s="342">
        <v>45986</v>
      </c>
      <c r="B887" s="177" t="s">
        <v>4542</v>
      </c>
      <c r="C887" s="179" t="s">
        <v>2092</v>
      </c>
      <c r="D887" s="440" t="s">
        <v>118</v>
      </c>
      <c r="E887" s="316">
        <v>6000</v>
      </c>
      <c r="F887" s="499"/>
      <c r="G887" s="221"/>
      <c r="H887" s="163">
        <f t="shared" si="17"/>
        <v>64750</v>
      </c>
      <c r="I887" s="219" t="s">
        <v>211</v>
      </c>
      <c r="J887" s="179" t="s">
        <v>4573</v>
      </c>
      <c r="K887" s="183"/>
    </row>
    <row r="888" spans="1:11" ht="15.6">
      <c r="A888" s="342">
        <v>45986</v>
      </c>
      <c r="B888" s="177" t="s">
        <v>4543</v>
      </c>
      <c r="C888" s="179" t="s">
        <v>2092</v>
      </c>
      <c r="D888" s="440" t="s">
        <v>118</v>
      </c>
      <c r="E888" s="316">
        <v>6000</v>
      </c>
      <c r="F888" s="499"/>
      <c r="G888" s="221"/>
      <c r="H888" s="163">
        <f t="shared" si="17"/>
        <v>70750</v>
      </c>
      <c r="I888" s="219" t="s">
        <v>211</v>
      </c>
      <c r="J888" s="179" t="s">
        <v>4573</v>
      </c>
      <c r="K888" s="183"/>
    </row>
    <row r="889" spans="1:11" ht="15.6">
      <c r="A889" s="342">
        <v>45986</v>
      </c>
      <c r="B889" s="177" t="s">
        <v>4544</v>
      </c>
      <c r="C889" s="179" t="s">
        <v>2092</v>
      </c>
      <c r="D889" s="440" t="s">
        <v>118</v>
      </c>
      <c r="E889" s="316">
        <v>6000</v>
      </c>
      <c r="F889" s="499"/>
      <c r="G889" s="221"/>
      <c r="H889" s="163">
        <f t="shared" si="17"/>
        <v>76750</v>
      </c>
      <c r="I889" s="219" t="s">
        <v>211</v>
      </c>
      <c r="J889" s="179" t="s">
        <v>4573</v>
      </c>
      <c r="K889" s="183"/>
    </row>
    <row r="890" spans="1:11" ht="15.6">
      <c r="A890" s="342">
        <v>45986</v>
      </c>
      <c r="B890" s="177" t="s">
        <v>4545</v>
      </c>
      <c r="C890" s="179" t="s">
        <v>2092</v>
      </c>
      <c r="D890" s="440" t="s">
        <v>118</v>
      </c>
      <c r="E890" s="316">
        <v>6000</v>
      </c>
      <c r="F890" s="499"/>
      <c r="G890" s="221"/>
      <c r="H890" s="163">
        <f t="shared" si="17"/>
        <v>82750</v>
      </c>
      <c r="I890" s="219" t="s">
        <v>211</v>
      </c>
      <c r="J890" s="179" t="s">
        <v>4573</v>
      </c>
      <c r="K890" s="183"/>
    </row>
    <row r="891" spans="1:11" ht="15.6">
      <c r="A891" s="342">
        <v>45986</v>
      </c>
      <c r="B891" s="177" t="s">
        <v>4546</v>
      </c>
      <c r="C891" s="179" t="s">
        <v>2092</v>
      </c>
      <c r="D891" s="440" t="s">
        <v>118</v>
      </c>
      <c r="E891" s="316">
        <v>6000</v>
      </c>
      <c r="F891" s="499"/>
      <c r="G891" s="221"/>
      <c r="H891" s="163">
        <f t="shared" si="17"/>
        <v>88750</v>
      </c>
      <c r="I891" s="219" t="s">
        <v>211</v>
      </c>
      <c r="J891" s="179" t="s">
        <v>4573</v>
      </c>
      <c r="K891" s="183"/>
    </row>
    <row r="892" spans="1:11" ht="15.6">
      <c r="A892" s="342">
        <v>45986</v>
      </c>
      <c r="B892" s="177" t="s">
        <v>4547</v>
      </c>
      <c r="C892" s="179" t="s">
        <v>2092</v>
      </c>
      <c r="D892" s="440" t="s">
        <v>118</v>
      </c>
      <c r="E892" s="316">
        <v>6000</v>
      </c>
      <c r="F892" s="499"/>
      <c r="G892" s="221"/>
      <c r="H892" s="163">
        <f t="shared" si="17"/>
        <v>94750</v>
      </c>
      <c r="I892" s="219" t="s">
        <v>211</v>
      </c>
      <c r="J892" s="179" t="s">
        <v>4573</v>
      </c>
      <c r="K892" s="183"/>
    </row>
    <row r="893" spans="1:11" ht="15.6">
      <c r="A893" s="342">
        <v>45986</v>
      </c>
      <c r="B893" s="177" t="s">
        <v>4548</v>
      </c>
      <c r="C893" s="179" t="s">
        <v>2092</v>
      </c>
      <c r="D893" s="440" t="s">
        <v>118</v>
      </c>
      <c r="E893" s="316">
        <v>6000</v>
      </c>
      <c r="F893" s="499"/>
      <c r="G893" s="221"/>
      <c r="H893" s="163">
        <f t="shared" si="17"/>
        <v>100750</v>
      </c>
      <c r="I893" s="219" t="s">
        <v>211</v>
      </c>
      <c r="J893" s="179" t="s">
        <v>4573</v>
      </c>
      <c r="K893" s="183"/>
    </row>
    <row r="894" spans="1:11" ht="15.6">
      <c r="A894" s="342">
        <v>45986</v>
      </c>
      <c r="B894" s="177" t="s">
        <v>4549</v>
      </c>
      <c r="C894" s="179" t="s">
        <v>2092</v>
      </c>
      <c r="D894" s="440" t="s">
        <v>118</v>
      </c>
      <c r="E894" s="316">
        <v>6000</v>
      </c>
      <c r="F894" s="499"/>
      <c r="G894" s="221"/>
      <c r="H894" s="163">
        <f t="shared" si="17"/>
        <v>106750</v>
      </c>
      <c r="I894" s="219" t="s">
        <v>211</v>
      </c>
      <c r="J894" s="179" t="s">
        <v>4573</v>
      </c>
      <c r="K894" s="183"/>
    </row>
    <row r="895" spans="1:11" ht="15.6">
      <c r="A895" s="342">
        <v>45986</v>
      </c>
      <c r="B895" s="177" t="s">
        <v>4550</v>
      </c>
      <c r="C895" s="179" t="s">
        <v>2092</v>
      </c>
      <c r="D895" s="440" t="s">
        <v>118</v>
      </c>
      <c r="E895" s="316">
        <v>6000</v>
      </c>
      <c r="F895" s="499"/>
      <c r="G895" s="221"/>
      <c r="H895" s="163">
        <f t="shared" si="17"/>
        <v>112750</v>
      </c>
      <c r="I895" s="219" t="s">
        <v>211</v>
      </c>
      <c r="J895" s="179" t="s">
        <v>4573</v>
      </c>
      <c r="K895" s="183"/>
    </row>
    <row r="896" spans="1:11" ht="15.6">
      <c r="A896" s="342">
        <v>45986</v>
      </c>
      <c r="B896" s="177" t="s">
        <v>4551</v>
      </c>
      <c r="C896" s="179" t="s">
        <v>2092</v>
      </c>
      <c r="D896" s="440" t="s">
        <v>118</v>
      </c>
      <c r="E896" s="316">
        <v>6000</v>
      </c>
      <c r="F896" s="499"/>
      <c r="G896" s="221"/>
      <c r="H896" s="163">
        <f t="shared" si="17"/>
        <v>118750</v>
      </c>
      <c r="I896" s="219" t="s">
        <v>211</v>
      </c>
      <c r="J896" s="179" t="s">
        <v>4573</v>
      </c>
      <c r="K896" s="183"/>
    </row>
    <row r="897" spans="1:11" ht="15.6">
      <c r="A897" s="342">
        <v>45986</v>
      </c>
      <c r="B897" s="177" t="s">
        <v>4552</v>
      </c>
      <c r="C897" s="179" t="s">
        <v>2092</v>
      </c>
      <c r="D897" s="440" t="s">
        <v>118</v>
      </c>
      <c r="E897" s="316">
        <v>6000</v>
      </c>
      <c r="F897" s="499"/>
      <c r="G897" s="221"/>
      <c r="H897" s="163">
        <f t="shared" si="17"/>
        <v>124750</v>
      </c>
      <c r="I897" s="219" t="s">
        <v>211</v>
      </c>
      <c r="J897" s="179" t="s">
        <v>4573</v>
      </c>
      <c r="K897" s="183"/>
    </row>
    <row r="898" spans="1:11" ht="15.6">
      <c r="A898" s="342">
        <v>45986</v>
      </c>
      <c r="B898" s="179" t="s">
        <v>4536</v>
      </c>
      <c r="C898" s="179" t="s">
        <v>2092</v>
      </c>
      <c r="D898" s="440" t="s">
        <v>118</v>
      </c>
      <c r="E898" s="316"/>
      <c r="F898" s="316">
        <v>10000</v>
      </c>
      <c r="G898" s="221"/>
      <c r="H898" s="163">
        <f t="shared" si="17"/>
        <v>114750</v>
      </c>
      <c r="I898" s="219" t="s">
        <v>211</v>
      </c>
      <c r="J898" s="179" t="s">
        <v>4572</v>
      </c>
      <c r="K898" s="183"/>
    </row>
    <row r="899" spans="1:11" ht="15.6">
      <c r="A899" s="342">
        <v>45986</v>
      </c>
      <c r="B899" s="179" t="s">
        <v>4537</v>
      </c>
      <c r="C899" s="179" t="s">
        <v>2092</v>
      </c>
      <c r="D899" s="440" t="s">
        <v>118</v>
      </c>
      <c r="E899" s="316"/>
      <c r="F899" s="316">
        <v>10000</v>
      </c>
      <c r="G899" s="221"/>
      <c r="H899" s="163">
        <f t="shared" si="17"/>
        <v>104750</v>
      </c>
      <c r="I899" s="219" t="s">
        <v>211</v>
      </c>
      <c r="J899" s="179" t="s">
        <v>4572</v>
      </c>
      <c r="K899" s="183"/>
    </row>
    <row r="900" spans="1:11" ht="15.6">
      <c r="A900" s="342">
        <v>45986</v>
      </c>
      <c r="B900" s="179" t="s">
        <v>4538</v>
      </c>
      <c r="C900" s="179" t="s">
        <v>2092</v>
      </c>
      <c r="D900" s="440" t="s">
        <v>118</v>
      </c>
      <c r="E900" s="316"/>
      <c r="F900" s="316">
        <v>10000</v>
      </c>
      <c r="G900" s="221"/>
      <c r="H900" s="163">
        <f t="shared" si="17"/>
        <v>94750</v>
      </c>
      <c r="I900" s="219" t="s">
        <v>211</v>
      </c>
      <c r="J900" s="179" t="s">
        <v>4572</v>
      </c>
      <c r="K900" s="183"/>
    </row>
    <row r="901" spans="1:11" ht="15.6">
      <c r="A901" s="342">
        <v>45986</v>
      </c>
      <c r="B901" s="179" t="s">
        <v>4539</v>
      </c>
      <c r="C901" s="179" t="s">
        <v>2092</v>
      </c>
      <c r="D901" s="440" t="s">
        <v>118</v>
      </c>
      <c r="E901" s="316"/>
      <c r="F901" s="316">
        <v>10000</v>
      </c>
      <c r="G901" s="221"/>
      <c r="H901" s="163">
        <f t="shared" si="17"/>
        <v>84750</v>
      </c>
      <c r="I901" s="179" t="s">
        <v>211</v>
      </c>
      <c r="J901" s="179" t="s">
        <v>4572</v>
      </c>
      <c r="K901" s="183"/>
    </row>
    <row r="902" spans="1:11" ht="15.6">
      <c r="A902" s="342">
        <v>45986</v>
      </c>
      <c r="B902" s="179" t="s">
        <v>4540</v>
      </c>
      <c r="C902" s="179" t="s">
        <v>2092</v>
      </c>
      <c r="D902" s="440" t="s">
        <v>118</v>
      </c>
      <c r="E902" s="316"/>
      <c r="F902" s="316">
        <v>10000</v>
      </c>
      <c r="G902" s="221"/>
      <c r="H902" s="163">
        <f t="shared" si="17"/>
        <v>74750</v>
      </c>
      <c r="I902" s="179" t="s">
        <v>211</v>
      </c>
      <c r="J902" s="179" t="s">
        <v>4572</v>
      </c>
      <c r="K902" s="183"/>
    </row>
    <row r="903" spans="1:11" ht="15.6">
      <c r="A903" s="342">
        <v>45986</v>
      </c>
      <c r="B903" s="177" t="s">
        <v>4541</v>
      </c>
      <c r="C903" s="179" t="s">
        <v>2092</v>
      </c>
      <c r="D903" s="440" t="s">
        <v>118</v>
      </c>
      <c r="E903" s="316"/>
      <c r="F903" s="316">
        <v>6000</v>
      </c>
      <c r="G903" s="221"/>
      <c r="H903" s="163">
        <f t="shared" si="17"/>
        <v>68750</v>
      </c>
      <c r="I903" s="219" t="s">
        <v>211</v>
      </c>
      <c r="J903" s="179" t="s">
        <v>4573</v>
      </c>
      <c r="K903" s="183"/>
    </row>
    <row r="904" spans="1:11" ht="15.6">
      <c r="A904" s="342">
        <v>45986</v>
      </c>
      <c r="B904" s="177" t="s">
        <v>4542</v>
      </c>
      <c r="C904" s="179" t="s">
        <v>2092</v>
      </c>
      <c r="D904" s="440" t="s">
        <v>118</v>
      </c>
      <c r="E904" s="316"/>
      <c r="F904" s="316">
        <v>6000</v>
      </c>
      <c r="G904" s="221"/>
      <c r="H904" s="163">
        <f t="shared" si="17"/>
        <v>62750</v>
      </c>
      <c r="I904" s="219" t="s">
        <v>211</v>
      </c>
      <c r="J904" s="179" t="s">
        <v>4573</v>
      </c>
      <c r="K904" s="183"/>
    </row>
    <row r="905" spans="1:11" ht="15.6">
      <c r="A905" s="342">
        <v>45986</v>
      </c>
      <c r="B905" s="177" t="s">
        <v>4543</v>
      </c>
      <c r="C905" s="179" t="s">
        <v>2092</v>
      </c>
      <c r="D905" s="440" t="s">
        <v>118</v>
      </c>
      <c r="E905" s="316"/>
      <c r="F905" s="316">
        <v>6000</v>
      </c>
      <c r="G905" s="221"/>
      <c r="H905" s="163">
        <f t="shared" si="17"/>
        <v>56750</v>
      </c>
      <c r="I905" s="219" t="s">
        <v>211</v>
      </c>
      <c r="J905" s="179" t="s">
        <v>4573</v>
      </c>
      <c r="K905" s="183"/>
    </row>
    <row r="906" spans="1:11" ht="15.6">
      <c r="A906" s="342">
        <v>45986</v>
      </c>
      <c r="B906" s="177" t="s">
        <v>4544</v>
      </c>
      <c r="C906" s="179" t="s">
        <v>2092</v>
      </c>
      <c r="D906" s="440" t="s">
        <v>118</v>
      </c>
      <c r="E906" s="316"/>
      <c r="F906" s="316">
        <v>6000</v>
      </c>
      <c r="G906" s="221"/>
      <c r="H906" s="163">
        <f t="shared" si="17"/>
        <v>50750</v>
      </c>
      <c r="I906" s="219" t="s">
        <v>211</v>
      </c>
      <c r="J906" s="179" t="s">
        <v>4573</v>
      </c>
      <c r="K906" s="183"/>
    </row>
    <row r="907" spans="1:11" ht="15.6">
      <c r="A907" s="342">
        <v>45986</v>
      </c>
      <c r="B907" s="177" t="s">
        <v>4545</v>
      </c>
      <c r="C907" s="179" t="s">
        <v>2092</v>
      </c>
      <c r="D907" s="440" t="s">
        <v>118</v>
      </c>
      <c r="E907" s="316"/>
      <c r="F907" s="316">
        <v>6000</v>
      </c>
      <c r="G907" s="221"/>
      <c r="H907" s="163">
        <f t="shared" si="17"/>
        <v>44750</v>
      </c>
      <c r="I907" s="219" t="s">
        <v>211</v>
      </c>
      <c r="J907" s="179" t="s">
        <v>4573</v>
      </c>
      <c r="K907" s="183"/>
    </row>
    <row r="908" spans="1:11" ht="15.6">
      <c r="A908" s="342">
        <v>45986</v>
      </c>
      <c r="B908" s="177" t="s">
        <v>4546</v>
      </c>
      <c r="C908" s="179" t="s">
        <v>2092</v>
      </c>
      <c r="D908" s="440" t="s">
        <v>118</v>
      </c>
      <c r="E908" s="316"/>
      <c r="F908" s="316">
        <v>6000</v>
      </c>
      <c r="G908" s="221"/>
      <c r="H908" s="163">
        <f t="shared" si="17"/>
        <v>38750</v>
      </c>
      <c r="I908" s="219" t="s">
        <v>211</v>
      </c>
      <c r="J908" s="179" t="s">
        <v>4573</v>
      </c>
      <c r="K908" s="183"/>
    </row>
    <row r="909" spans="1:11" ht="15.6">
      <c r="A909" s="342">
        <v>45986</v>
      </c>
      <c r="B909" s="177" t="s">
        <v>4547</v>
      </c>
      <c r="C909" s="179" t="s">
        <v>2092</v>
      </c>
      <c r="D909" s="440" t="s">
        <v>118</v>
      </c>
      <c r="E909" s="316"/>
      <c r="F909" s="316">
        <v>6000</v>
      </c>
      <c r="G909" s="221"/>
      <c r="H909" s="163">
        <f t="shared" si="17"/>
        <v>32750</v>
      </c>
      <c r="I909" s="219" t="s">
        <v>211</v>
      </c>
      <c r="J909" s="179" t="s">
        <v>4573</v>
      </c>
      <c r="K909" s="183"/>
    </row>
    <row r="910" spans="1:11" ht="15.6">
      <c r="A910" s="342">
        <v>45986</v>
      </c>
      <c r="B910" s="177" t="s">
        <v>4548</v>
      </c>
      <c r="C910" s="179" t="s">
        <v>2092</v>
      </c>
      <c r="D910" s="440" t="s">
        <v>118</v>
      </c>
      <c r="E910" s="316"/>
      <c r="F910" s="316">
        <v>6000</v>
      </c>
      <c r="G910" s="221"/>
      <c r="H910" s="163">
        <f t="shared" si="17"/>
        <v>26750</v>
      </c>
      <c r="I910" s="219" t="s">
        <v>211</v>
      </c>
      <c r="J910" s="179" t="s">
        <v>4573</v>
      </c>
      <c r="K910" s="183"/>
    </row>
    <row r="911" spans="1:11" ht="15.6">
      <c r="A911" s="342">
        <v>45986</v>
      </c>
      <c r="B911" s="177" t="s">
        <v>4549</v>
      </c>
      <c r="C911" s="179" t="s">
        <v>2092</v>
      </c>
      <c r="D911" s="440" t="s">
        <v>118</v>
      </c>
      <c r="E911" s="316"/>
      <c r="F911" s="316">
        <v>6000</v>
      </c>
      <c r="G911" s="221"/>
      <c r="H911" s="163">
        <f t="shared" si="17"/>
        <v>20750</v>
      </c>
      <c r="I911" s="219" t="s">
        <v>211</v>
      </c>
      <c r="J911" s="179" t="s">
        <v>4573</v>
      </c>
      <c r="K911" s="183"/>
    </row>
    <row r="912" spans="1:11" ht="15.6">
      <c r="A912" s="342">
        <v>45986</v>
      </c>
      <c r="B912" s="177" t="s">
        <v>4550</v>
      </c>
      <c r="C912" s="179" t="s">
        <v>2092</v>
      </c>
      <c r="D912" s="440" t="s">
        <v>118</v>
      </c>
      <c r="E912" s="316"/>
      <c r="F912" s="316">
        <v>6000</v>
      </c>
      <c r="G912" s="221"/>
      <c r="H912" s="163">
        <f t="shared" si="17"/>
        <v>14750</v>
      </c>
      <c r="I912" s="219" t="s">
        <v>211</v>
      </c>
      <c r="J912" s="179" t="s">
        <v>4573</v>
      </c>
      <c r="K912" s="183"/>
    </row>
    <row r="913" spans="1:11" ht="15.6">
      <c r="A913" s="342">
        <v>45986</v>
      </c>
      <c r="B913" s="177" t="s">
        <v>4551</v>
      </c>
      <c r="C913" s="179" t="s">
        <v>2092</v>
      </c>
      <c r="D913" s="440" t="s">
        <v>118</v>
      </c>
      <c r="E913" s="316"/>
      <c r="F913" s="316">
        <v>6000</v>
      </c>
      <c r="G913" s="221"/>
      <c r="H913" s="163">
        <f t="shared" si="17"/>
        <v>8750</v>
      </c>
      <c r="I913" s="219" t="s">
        <v>211</v>
      </c>
      <c r="J913" s="179" t="s">
        <v>4573</v>
      </c>
      <c r="K913" s="183"/>
    </row>
    <row r="914" spans="1:11" ht="15.6">
      <c r="A914" s="342">
        <v>45986</v>
      </c>
      <c r="B914" s="177" t="s">
        <v>4552</v>
      </c>
      <c r="C914" s="179" t="s">
        <v>2092</v>
      </c>
      <c r="D914" s="440" t="s">
        <v>118</v>
      </c>
      <c r="E914" s="316"/>
      <c r="F914" s="316">
        <v>6000</v>
      </c>
      <c r="G914" s="221"/>
      <c r="H914" s="163">
        <f t="shared" si="17"/>
        <v>2750</v>
      </c>
      <c r="I914" s="219" t="s">
        <v>211</v>
      </c>
      <c r="J914" s="179" t="s">
        <v>4573</v>
      </c>
      <c r="K914" s="183"/>
    </row>
    <row r="915" spans="1:11" ht="15.6">
      <c r="A915" s="498">
        <v>45986</v>
      </c>
      <c r="B915" s="440" t="s">
        <v>3854</v>
      </c>
      <c r="C915" s="440" t="s">
        <v>172</v>
      </c>
      <c r="D915" s="440" t="s">
        <v>118</v>
      </c>
      <c r="E915" s="499"/>
      <c r="F915" s="499">
        <v>1000</v>
      </c>
      <c r="G915" s="221"/>
      <c r="H915" s="163">
        <f t="shared" si="17"/>
        <v>1750</v>
      </c>
      <c r="I915" s="440" t="s">
        <v>211</v>
      </c>
      <c r="J915" s="440" t="s">
        <v>4559</v>
      </c>
      <c r="K915" s="183"/>
    </row>
    <row r="916" spans="1:11" ht="15.6">
      <c r="A916" s="498">
        <v>45986</v>
      </c>
      <c r="B916" s="440" t="s">
        <v>2230</v>
      </c>
      <c r="C916" s="440" t="s">
        <v>172</v>
      </c>
      <c r="D916" s="440" t="s">
        <v>118</v>
      </c>
      <c r="E916" s="499"/>
      <c r="F916" s="499">
        <v>1000</v>
      </c>
      <c r="G916" s="221"/>
      <c r="H916" s="163">
        <f t="shared" si="17"/>
        <v>750</v>
      </c>
      <c r="I916" s="440" t="s">
        <v>211</v>
      </c>
      <c r="J916" s="440" t="s">
        <v>4559</v>
      </c>
      <c r="K916" s="183"/>
    </row>
    <row r="917" spans="1:11" ht="15.6">
      <c r="A917" s="498">
        <v>45986</v>
      </c>
      <c r="B917" s="440" t="s">
        <v>2231</v>
      </c>
      <c r="C917" s="440" t="s">
        <v>172</v>
      </c>
      <c r="D917" s="440" t="s">
        <v>118</v>
      </c>
      <c r="E917" s="499"/>
      <c r="F917" s="499">
        <v>1000</v>
      </c>
      <c r="G917" s="221"/>
      <c r="H917" s="163">
        <f t="shared" si="17"/>
        <v>-250</v>
      </c>
      <c r="I917" s="440" t="s">
        <v>211</v>
      </c>
      <c r="J917" s="440" t="s">
        <v>4559</v>
      </c>
      <c r="K917" s="183"/>
    </row>
    <row r="918" spans="1:11" ht="15.6">
      <c r="A918" s="498">
        <v>45986</v>
      </c>
      <c r="B918" s="440" t="s">
        <v>3119</v>
      </c>
      <c r="C918" s="440" t="s">
        <v>172</v>
      </c>
      <c r="D918" s="440" t="s">
        <v>118</v>
      </c>
      <c r="E918" s="499"/>
      <c r="F918" s="499">
        <v>1000</v>
      </c>
      <c r="G918" s="221"/>
      <c r="H918" s="163">
        <f t="shared" si="17"/>
        <v>-1250</v>
      </c>
      <c r="I918" s="440" t="s">
        <v>211</v>
      </c>
      <c r="J918" s="440" t="s">
        <v>4559</v>
      </c>
      <c r="K918" s="183"/>
    </row>
    <row r="919" spans="1:11" ht="15.6">
      <c r="A919" s="498">
        <v>45987</v>
      </c>
      <c r="B919" s="440" t="s">
        <v>4463</v>
      </c>
      <c r="C919" s="440" t="s">
        <v>122</v>
      </c>
      <c r="D919" s="440" t="s">
        <v>118</v>
      </c>
      <c r="E919" s="499">
        <v>15000</v>
      </c>
      <c r="F919" s="499"/>
      <c r="G919" s="221"/>
      <c r="H919" s="163">
        <f t="shared" si="17"/>
        <v>13750</v>
      </c>
      <c r="I919" s="440" t="s">
        <v>211</v>
      </c>
      <c r="J919" s="440" t="s">
        <v>4574</v>
      </c>
      <c r="K919" s="183"/>
    </row>
    <row r="920" spans="1:11" ht="15.6">
      <c r="A920" s="498">
        <v>45987</v>
      </c>
      <c r="B920" s="440" t="s">
        <v>2227</v>
      </c>
      <c r="C920" s="440" t="s">
        <v>172</v>
      </c>
      <c r="D920" s="440" t="s">
        <v>118</v>
      </c>
      <c r="E920" s="499"/>
      <c r="F920" s="499">
        <v>1000</v>
      </c>
      <c r="G920" s="221"/>
      <c r="H920" s="163">
        <f t="shared" si="17"/>
        <v>12750</v>
      </c>
      <c r="I920" s="440" t="s">
        <v>211</v>
      </c>
      <c r="J920" s="440" t="s">
        <v>4559</v>
      </c>
      <c r="K920" s="183"/>
    </row>
    <row r="921" spans="1:11" ht="15.6">
      <c r="A921" s="498">
        <v>45987</v>
      </c>
      <c r="B921" s="440" t="s">
        <v>3858</v>
      </c>
      <c r="C921" s="440" t="s">
        <v>172</v>
      </c>
      <c r="D921" s="440" t="s">
        <v>118</v>
      </c>
      <c r="E921" s="499"/>
      <c r="F921" s="499">
        <v>1000</v>
      </c>
      <c r="G921" s="221"/>
      <c r="H921" s="163">
        <f t="shared" si="17"/>
        <v>11750</v>
      </c>
      <c r="I921" s="440" t="s">
        <v>211</v>
      </c>
      <c r="J921" s="440" t="s">
        <v>4559</v>
      </c>
      <c r="K921" s="183"/>
    </row>
    <row r="922" spans="1:11" ht="15.6">
      <c r="A922" s="498">
        <v>45987</v>
      </c>
      <c r="B922" s="440" t="s">
        <v>4553</v>
      </c>
      <c r="C922" s="440" t="s">
        <v>172</v>
      </c>
      <c r="D922" s="440" t="s">
        <v>118</v>
      </c>
      <c r="E922" s="499"/>
      <c r="F922" s="499">
        <v>1000</v>
      </c>
      <c r="G922" s="221"/>
      <c r="H922" s="163">
        <f t="shared" si="17"/>
        <v>10750</v>
      </c>
      <c r="I922" s="440" t="s">
        <v>211</v>
      </c>
      <c r="J922" s="440" t="s">
        <v>4559</v>
      </c>
      <c r="K922" s="183"/>
    </row>
    <row r="923" spans="1:11" ht="15.6">
      <c r="A923" s="498">
        <v>45987</v>
      </c>
      <c r="B923" s="440" t="s">
        <v>4533</v>
      </c>
      <c r="C923" s="440" t="s">
        <v>172</v>
      </c>
      <c r="D923" s="440" t="s">
        <v>118</v>
      </c>
      <c r="E923" s="499"/>
      <c r="F923" s="499">
        <v>1000</v>
      </c>
      <c r="G923" s="221"/>
      <c r="H923" s="163">
        <f t="shared" si="17"/>
        <v>9750</v>
      </c>
      <c r="I923" s="440" t="s">
        <v>211</v>
      </c>
      <c r="J923" s="440" t="s">
        <v>4559</v>
      </c>
      <c r="K923" s="183"/>
    </row>
    <row r="924" spans="1:11" ht="15.6">
      <c r="A924" s="498">
        <v>45988</v>
      </c>
      <c r="B924" s="440" t="s">
        <v>4554</v>
      </c>
      <c r="C924" s="440" t="s">
        <v>172</v>
      </c>
      <c r="D924" s="440" t="s">
        <v>118</v>
      </c>
      <c r="E924" s="499"/>
      <c r="F924" s="499">
        <v>1000</v>
      </c>
      <c r="G924" s="221"/>
      <c r="H924" s="163">
        <f t="shared" si="17"/>
        <v>8750</v>
      </c>
      <c r="I924" s="440" t="s">
        <v>211</v>
      </c>
      <c r="J924" s="440" t="s">
        <v>4559</v>
      </c>
      <c r="K924" s="183"/>
    </row>
    <row r="925" spans="1:11" ht="15.6">
      <c r="A925" s="498">
        <v>45988</v>
      </c>
      <c r="B925" s="440" t="s">
        <v>4555</v>
      </c>
      <c r="C925" s="440" t="s">
        <v>175</v>
      </c>
      <c r="D925" s="440" t="s">
        <v>118</v>
      </c>
      <c r="E925" s="499"/>
      <c r="F925" s="499">
        <v>3100</v>
      </c>
      <c r="G925" s="221"/>
      <c r="H925" s="163">
        <f t="shared" si="17"/>
        <v>5650</v>
      </c>
      <c r="I925" s="440" t="s">
        <v>211</v>
      </c>
      <c r="J925" s="440" t="s">
        <v>4575</v>
      </c>
      <c r="K925" s="183"/>
    </row>
    <row r="926" spans="1:11" ht="15.6">
      <c r="A926" s="498">
        <v>45988</v>
      </c>
      <c r="B926" s="440" t="s">
        <v>4556</v>
      </c>
      <c r="C926" s="440" t="s">
        <v>172</v>
      </c>
      <c r="D926" s="440" t="s">
        <v>118</v>
      </c>
      <c r="E926" s="499"/>
      <c r="F926" s="499">
        <v>1000</v>
      </c>
      <c r="G926" s="221"/>
      <c r="H926" s="163">
        <f t="shared" si="17"/>
        <v>4650</v>
      </c>
      <c r="I926" s="440" t="s">
        <v>211</v>
      </c>
      <c r="J926" s="440" t="s">
        <v>4559</v>
      </c>
      <c r="K926" s="183"/>
    </row>
    <row r="927" spans="1:11" ht="15.6">
      <c r="A927" s="498">
        <v>45988</v>
      </c>
      <c r="B927" s="440" t="s">
        <v>4464</v>
      </c>
      <c r="C927" s="440" t="s">
        <v>172</v>
      </c>
      <c r="D927" s="440" t="s">
        <v>118</v>
      </c>
      <c r="E927" s="499"/>
      <c r="F927" s="499">
        <v>1000</v>
      </c>
      <c r="G927" s="221"/>
      <c r="H927" s="163">
        <f t="shared" si="17"/>
        <v>3650</v>
      </c>
      <c r="I927" s="440" t="s">
        <v>211</v>
      </c>
      <c r="J927" s="440" t="s">
        <v>4559</v>
      </c>
      <c r="K927" s="183"/>
    </row>
    <row r="928" spans="1:11" ht="15.6">
      <c r="A928" s="498">
        <v>45988</v>
      </c>
      <c r="B928" s="440" t="s">
        <v>4557</v>
      </c>
      <c r="C928" s="440" t="s">
        <v>172</v>
      </c>
      <c r="D928" s="440" t="s">
        <v>118</v>
      </c>
      <c r="E928" s="499"/>
      <c r="F928" s="499">
        <v>1000</v>
      </c>
      <c r="G928" s="221"/>
      <c r="H928" s="163">
        <f t="shared" si="17"/>
        <v>2650</v>
      </c>
      <c r="I928" s="440" t="s">
        <v>211</v>
      </c>
      <c r="J928" s="440" t="s">
        <v>4559</v>
      </c>
      <c r="K928" s="183"/>
    </row>
    <row r="929" spans="1:11" ht="15.6">
      <c r="A929" s="498">
        <v>45988</v>
      </c>
      <c r="B929" s="440" t="s">
        <v>4558</v>
      </c>
      <c r="C929" s="440" t="s">
        <v>172</v>
      </c>
      <c r="D929" s="440" t="s">
        <v>118</v>
      </c>
      <c r="E929" s="499"/>
      <c r="F929" s="499">
        <v>1000</v>
      </c>
      <c r="G929" s="221"/>
      <c r="H929" s="163">
        <f t="shared" si="17"/>
        <v>1650</v>
      </c>
      <c r="I929" s="440" t="s">
        <v>211</v>
      </c>
      <c r="J929" s="440" t="s">
        <v>4559</v>
      </c>
      <c r="K929" s="183"/>
    </row>
    <row r="930" spans="1:11" ht="15.6">
      <c r="A930" s="133"/>
      <c r="B930" s="134"/>
      <c r="C930" s="134"/>
      <c r="D930" s="134"/>
      <c r="E930" s="136">
        <f>SUM(E744:E929)</f>
        <v>518000</v>
      </c>
      <c r="F930" s="136">
        <f>SUM(F744:F929)</f>
        <v>527100</v>
      </c>
      <c r="G930" s="136"/>
      <c r="H930" s="137">
        <f>+E930+H744-F930</f>
        <v>1650</v>
      </c>
      <c r="I930" s="134"/>
      <c r="J930" s="134"/>
      <c r="K930" s="134"/>
    </row>
    <row r="931" spans="1:11" ht="15.6">
      <c r="A931" s="133"/>
      <c r="B931" s="134"/>
      <c r="C931" s="134"/>
      <c r="D931" s="134"/>
      <c r="E931" s="136"/>
      <c r="F931" s="136"/>
      <c r="G931" s="136"/>
      <c r="H931" s="137"/>
      <c r="I931" s="134"/>
      <c r="J931" s="134"/>
      <c r="K931" s="134"/>
    </row>
    <row r="933" spans="1:11" ht="15.6">
      <c r="A933" s="178"/>
      <c r="B933" s="644" t="s">
        <v>1825</v>
      </c>
      <c r="C933" s="644"/>
      <c r="D933" s="644"/>
      <c r="E933" s="644"/>
      <c r="F933" s="187"/>
      <c r="G933" s="187"/>
      <c r="H933" s="205"/>
      <c r="I933" s="183"/>
      <c r="J933" s="183"/>
    </row>
    <row r="934" spans="1:11" ht="15.6">
      <c r="A934" s="185"/>
      <c r="B934" s="183"/>
      <c r="C934" s="183"/>
      <c r="D934" s="183"/>
      <c r="E934" s="187"/>
      <c r="F934" s="187"/>
      <c r="G934" s="187"/>
      <c r="H934" s="188"/>
      <c r="I934" s="183"/>
      <c r="J934" s="183"/>
    </row>
    <row r="935" spans="1:11" ht="15.6">
      <c r="A935" s="189" t="s">
        <v>0</v>
      </c>
      <c r="B935" s="190" t="s">
        <v>443</v>
      </c>
      <c r="C935" s="190" t="s">
        <v>444</v>
      </c>
      <c r="D935" s="190" t="s">
        <v>445</v>
      </c>
      <c r="E935" s="191" t="s">
        <v>446</v>
      </c>
      <c r="F935" s="308" t="s">
        <v>447</v>
      </c>
      <c r="G935" s="310"/>
      <c r="H935" s="309" t="s">
        <v>30</v>
      </c>
      <c r="I935" s="190" t="s">
        <v>448</v>
      </c>
      <c r="J935" s="190" t="s">
        <v>449</v>
      </c>
    </row>
    <row r="936" spans="1:11" ht="15.6">
      <c r="A936" s="144">
        <v>45962</v>
      </c>
      <c r="B936" s="177" t="s">
        <v>4161</v>
      </c>
      <c r="C936" s="177"/>
      <c r="D936" s="177"/>
      <c r="E936" s="180"/>
      <c r="F936" s="180"/>
      <c r="G936" s="245"/>
      <c r="H936" s="176">
        <v>149747</v>
      </c>
      <c r="I936" s="177" t="s">
        <v>185</v>
      </c>
      <c r="J936" s="177"/>
    </row>
    <row r="937" spans="1:11" ht="15">
      <c r="A937" s="402">
        <v>45964</v>
      </c>
      <c r="B937" s="344" t="s">
        <v>4576</v>
      </c>
      <c r="C937" s="344" t="s">
        <v>175</v>
      </c>
      <c r="D937" s="344" t="s">
        <v>115</v>
      </c>
      <c r="E937" s="344"/>
      <c r="F937" s="344">
        <v>90000</v>
      </c>
      <c r="G937" s="76"/>
      <c r="H937" s="238">
        <f t="shared" ref="H937:H1015" si="18">H936+E937-F937</f>
        <v>59747</v>
      </c>
      <c r="I937" s="344" t="s">
        <v>185</v>
      </c>
      <c r="J937" s="344" t="s">
        <v>4630</v>
      </c>
    </row>
    <row r="938" spans="1:11" ht="15">
      <c r="A938" s="402">
        <v>45964</v>
      </c>
      <c r="B938" s="344" t="s">
        <v>4577</v>
      </c>
      <c r="C938" s="344" t="s">
        <v>172</v>
      </c>
      <c r="D938" s="344" t="s">
        <v>115</v>
      </c>
      <c r="E938" s="344"/>
      <c r="F938" s="344">
        <v>500</v>
      </c>
      <c r="G938" s="76"/>
      <c r="H938" s="238">
        <f t="shared" si="18"/>
        <v>59247</v>
      </c>
      <c r="I938" s="344" t="s">
        <v>185</v>
      </c>
      <c r="J938" s="344" t="s">
        <v>4631</v>
      </c>
    </row>
    <row r="939" spans="1:11" ht="15">
      <c r="A939" s="402">
        <v>45964</v>
      </c>
      <c r="B939" s="344" t="s">
        <v>3984</v>
      </c>
      <c r="C939" s="344" t="s">
        <v>172</v>
      </c>
      <c r="D939" s="344" t="s">
        <v>115</v>
      </c>
      <c r="E939" s="344"/>
      <c r="F939" s="344">
        <v>500</v>
      </c>
      <c r="G939" s="76"/>
      <c r="H939" s="238">
        <f t="shared" si="18"/>
        <v>58747</v>
      </c>
      <c r="I939" s="344" t="s">
        <v>185</v>
      </c>
      <c r="J939" s="344" t="s">
        <v>4631</v>
      </c>
    </row>
    <row r="940" spans="1:11" ht="15">
      <c r="A940" s="402">
        <v>45964</v>
      </c>
      <c r="B940" s="344" t="s">
        <v>4578</v>
      </c>
      <c r="C940" s="344" t="s">
        <v>150</v>
      </c>
      <c r="D940" s="344" t="s">
        <v>115</v>
      </c>
      <c r="E940" s="344">
        <v>7500</v>
      </c>
      <c r="F940" s="344"/>
      <c r="G940" s="76"/>
      <c r="H940" s="238">
        <f t="shared" si="18"/>
        <v>66247</v>
      </c>
      <c r="I940" s="344" t="s">
        <v>185</v>
      </c>
      <c r="J940" s="344" t="s">
        <v>4632</v>
      </c>
    </row>
    <row r="941" spans="1:11" ht="15">
      <c r="A941" s="402">
        <v>45964</v>
      </c>
      <c r="B941" s="344" t="s">
        <v>4578</v>
      </c>
      <c r="C941" s="344" t="s">
        <v>150</v>
      </c>
      <c r="D941" s="344" t="s">
        <v>115</v>
      </c>
      <c r="E941" s="344"/>
      <c r="F941" s="344">
        <v>7500</v>
      </c>
      <c r="G941" s="76"/>
      <c r="H941" s="238">
        <f t="shared" si="18"/>
        <v>58747</v>
      </c>
      <c r="I941" s="344" t="s">
        <v>185</v>
      </c>
      <c r="J941" s="344" t="s">
        <v>4632</v>
      </c>
    </row>
    <row r="942" spans="1:11" ht="15">
      <c r="A942" s="402">
        <v>45965</v>
      </c>
      <c r="B942" s="344" t="s">
        <v>4579</v>
      </c>
      <c r="C942" s="344" t="s">
        <v>175</v>
      </c>
      <c r="D942" s="344" t="s">
        <v>115</v>
      </c>
      <c r="E942" s="344"/>
      <c r="F942" s="344">
        <v>15000</v>
      </c>
      <c r="G942" s="76"/>
      <c r="H942" s="238">
        <f t="shared" si="18"/>
        <v>43747</v>
      </c>
      <c r="I942" s="344" t="s">
        <v>185</v>
      </c>
      <c r="J942" s="344" t="s">
        <v>4633</v>
      </c>
    </row>
    <row r="943" spans="1:11" ht="15">
      <c r="A943" s="402">
        <v>45965</v>
      </c>
      <c r="B943" s="344" t="s">
        <v>4580</v>
      </c>
      <c r="C943" s="344" t="s">
        <v>172</v>
      </c>
      <c r="D943" s="344" t="s">
        <v>115</v>
      </c>
      <c r="E943" s="344"/>
      <c r="F943" s="344">
        <v>500</v>
      </c>
      <c r="G943" s="76"/>
      <c r="H943" s="238">
        <f t="shared" si="18"/>
        <v>43247</v>
      </c>
      <c r="I943" s="344" t="s">
        <v>185</v>
      </c>
      <c r="J943" s="344" t="s">
        <v>4631</v>
      </c>
    </row>
    <row r="944" spans="1:11" ht="15">
      <c r="A944" s="402">
        <v>45965</v>
      </c>
      <c r="B944" s="344" t="s">
        <v>4581</v>
      </c>
      <c r="C944" s="344" t="s">
        <v>172</v>
      </c>
      <c r="D944" s="344" t="s">
        <v>115</v>
      </c>
      <c r="E944" s="344"/>
      <c r="F944" s="344">
        <v>500</v>
      </c>
      <c r="G944" s="76"/>
      <c r="H944" s="238">
        <f t="shared" si="18"/>
        <v>42747</v>
      </c>
      <c r="I944" s="344" t="s">
        <v>185</v>
      </c>
      <c r="J944" s="344" t="s">
        <v>4631</v>
      </c>
    </row>
    <row r="945" spans="1:10" ht="15">
      <c r="A945" s="402">
        <v>45966</v>
      </c>
      <c r="B945" s="344" t="s">
        <v>4582</v>
      </c>
      <c r="C945" s="344" t="s">
        <v>175</v>
      </c>
      <c r="D945" s="344" t="s">
        <v>115</v>
      </c>
      <c r="E945" s="344"/>
      <c r="F945" s="344">
        <v>15000</v>
      </c>
      <c r="G945" s="76"/>
      <c r="H945" s="238">
        <f t="shared" si="18"/>
        <v>27747</v>
      </c>
      <c r="I945" s="344" t="s">
        <v>185</v>
      </c>
      <c r="J945" s="344" t="s">
        <v>4634</v>
      </c>
    </row>
    <row r="946" spans="1:10" ht="15">
      <c r="A946" s="402">
        <v>45966</v>
      </c>
      <c r="B946" s="344" t="s">
        <v>4583</v>
      </c>
      <c r="C946" s="344" t="s">
        <v>172</v>
      </c>
      <c r="D946" s="344" t="s">
        <v>115</v>
      </c>
      <c r="E946" s="344"/>
      <c r="F946" s="344">
        <v>500</v>
      </c>
      <c r="G946" s="76"/>
      <c r="H946" s="238">
        <f t="shared" si="18"/>
        <v>27247</v>
      </c>
      <c r="I946" s="344" t="s">
        <v>185</v>
      </c>
      <c r="J946" s="344" t="s">
        <v>4631</v>
      </c>
    </row>
    <row r="947" spans="1:10" ht="15">
      <c r="A947" s="402">
        <v>45966</v>
      </c>
      <c r="B947" s="344" t="s">
        <v>4584</v>
      </c>
      <c r="C947" s="344" t="s">
        <v>172</v>
      </c>
      <c r="D947" s="344" t="s">
        <v>115</v>
      </c>
      <c r="E947" s="344"/>
      <c r="F947" s="344">
        <v>3000</v>
      </c>
      <c r="G947" s="76"/>
      <c r="H947" s="238">
        <f t="shared" si="18"/>
        <v>24247</v>
      </c>
      <c r="I947" s="344" t="s">
        <v>185</v>
      </c>
      <c r="J947" s="344" t="s">
        <v>4631</v>
      </c>
    </row>
    <row r="948" spans="1:10" ht="15">
      <c r="A948" s="402">
        <v>45967</v>
      </c>
      <c r="B948" s="344" t="s">
        <v>4585</v>
      </c>
      <c r="C948" s="344" t="s">
        <v>172</v>
      </c>
      <c r="D948" s="344" t="s">
        <v>115</v>
      </c>
      <c r="E948" s="344"/>
      <c r="F948" s="344">
        <v>1000</v>
      </c>
      <c r="G948" s="76"/>
      <c r="H948" s="238">
        <f t="shared" si="18"/>
        <v>23247</v>
      </c>
      <c r="I948" s="344" t="s">
        <v>185</v>
      </c>
      <c r="J948" s="344" t="s">
        <v>4631</v>
      </c>
    </row>
    <row r="949" spans="1:10" ht="15">
      <c r="A949" s="402">
        <v>45967</v>
      </c>
      <c r="B949" s="344" t="s">
        <v>4586</v>
      </c>
      <c r="C949" s="344" t="s">
        <v>172</v>
      </c>
      <c r="D949" s="344" t="s">
        <v>115</v>
      </c>
      <c r="E949" s="344"/>
      <c r="F949" s="344">
        <v>2500</v>
      </c>
      <c r="G949" s="76"/>
      <c r="H949" s="238">
        <f t="shared" si="18"/>
        <v>20747</v>
      </c>
      <c r="I949" s="344" t="s">
        <v>185</v>
      </c>
      <c r="J949" s="344" t="s">
        <v>4631</v>
      </c>
    </row>
    <row r="950" spans="1:10" ht="15">
      <c r="A950" s="402">
        <v>45968</v>
      </c>
      <c r="B950" s="344" t="s">
        <v>4587</v>
      </c>
      <c r="C950" s="344" t="s">
        <v>172</v>
      </c>
      <c r="D950" s="344" t="s">
        <v>115</v>
      </c>
      <c r="E950" s="344"/>
      <c r="F950" s="344">
        <v>1000</v>
      </c>
      <c r="G950" s="76"/>
      <c r="H950" s="238">
        <f t="shared" si="18"/>
        <v>19747</v>
      </c>
      <c r="I950" s="344" t="s">
        <v>185</v>
      </c>
      <c r="J950" s="344" t="s">
        <v>4631</v>
      </c>
    </row>
    <row r="951" spans="1:10" ht="15">
      <c r="A951" s="402">
        <v>45968</v>
      </c>
      <c r="B951" s="344" t="s">
        <v>3002</v>
      </c>
      <c r="C951" s="344" t="s">
        <v>172</v>
      </c>
      <c r="D951" s="344" t="s">
        <v>115</v>
      </c>
      <c r="E951" s="344"/>
      <c r="F951" s="344">
        <v>1000</v>
      </c>
      <c r="G951" s="76"/>
      <c r="H951" s="238">
        <f t="shared" si="18"/>
        <v>18747</v>
      </c>
      <c r="I951" s="344" t="s">
        <v>185</v>
      </c>
      <c r="J951" s="344" t="s">
        <v>4631</v>
      </c>
    </row>
    <row r="952" spans="1:10" ht="15">
      <c r="A952" s="402">
        <v>45968</v>
      </c>
      <c r="B952" s="344" t="s">
        <v>4588</v>
      </c>
      <c r="C952" s="344" t="s">
        <v>172</v>
      </c>
      <c r="D952" s="344" t="s">
        <v>115</v>
      </c>
      <c r="E952" s="344"/>
      <c r="F952" s="344">
        <v>1000</v>
      </c>
      <c r="G952" s="76"/>
      <c r="H952" s="238">
        <f t="shared" si="18"/>
        <v>17747</v>
      </c>
      <c r="I952" s="344" t="s">
        <v>185</v>
      </c>
      <c r="J952" s="344" t="s">
        <v>4631</v>
      </c>
    </row>
    <row r="953" spans="1:10" ht="15">
      <c r="A953" s="402">
        <v>45968</v>
      </c>
      <c r="B953" s="344" t="s">
        <v>4586</v>
      </c>
      <c r="C953" s="344" t="s">
        <v>172</v>
      </c>
      <c r="D953" s="344" t="s">
        <v>115</v>
      </c>
      <c r="E953" s="344"/>
      <c r="F953" s="344">
        <v>2500</v>
      </c>
      <c r="G953" s="76"/>
      <c r="H953" s="238">
        <f t="shared" si="18"/>
        <v>15247</v>
      </c>
      <c r="I953" s="344" t="s">
        <v>185</v>
      </c>
      <c r="J953" s="344" t="s">
        <v>4631</v>
      </c>
    </row>
    <row r="954" spans="1:10" ht="15">
      <c r="A954" s="342">
        <v>45971</v>
      </c>
      <c r="B954" s="344" t="s">
        <v>4589</v>
      </c>
      <c r="C954" s="401" t="s">
        <v>172</v>
      </c>
      <c r="D954" s="344" t="s">
        <v>115</v>
      </c>
      <c r="E954" s="316">
        <v>22000</v>
      </c>
      <c r="F954" s="344"/>
      <c r="G954" s="76"/>
      <c r="H954" s="238">
        <f t="shared" si="18"/>
        <v>37247</v>
      </c>
      <c r="I954" s="219" t="s">
        <v>185</v>
      </c>
      <c r="J954" s="179" t="s">
        <v>4635</v>
      </c>
    </row>
    <row r="955" spans="1:10" ht="15">
      <c r="A955" s="342">
        <v>45971</v>
      </c>
      <c r="B955" s="344" t="s">
        <v>4590</v>
      </c>
      <c r="C955" s="401" t="s">
        <v>175</v>
      </c>
      <c r="D955" s="344" t="s">
        <v>115</v>
      </c>
      <c r="E955" s="316">
        <v>50000</v>
      </c>
      <c r="F955" s="344"/>
      <c r="G955" s="76"/>
      <c r="H955" s="238">
        <f t="shared" si="18"/>
        <v>87247</v>
      </c>
      <c r="I955" s="344" t="s">
        <v>185</v>
      </c>
      <c r="J955" s="179" t="s">
        <v>4636</v>
      </c>
    </row>
    <row r="956" spans="1:10" ht="15">
      <c r="A956" s="342">
        <v>45971</v>
      </c>
      <c r="B956" s="344" t="s">
        <v>4589</v>
      </c>
      <c r="C956" s="401" t="s">
        <v>172</v>
      </c>
      <c r="D956" s="344" t="s">
        <v>115</v>
      </c>
      <c r="E956" s="316"/>
      <c r="F956" s="316">
        <v>22000</v>
      </c>
      <c r="G956" s="76"/>
      <c r="H956" s="238">
        <f t="shared" si="18"/>
        <v>65247</v>
      </c>
      <c r="I956" s="219" t="s">
        <v>185</v>
      </c>
      <c r="J956" s="179" t="s">
        <v>4635</v>
      </c>
    </row>
    <row r="957" spans="1:10" ht="15">
      <c r="A957" s="342">
        <v>45971</v>
      </c>
      <c r="B957" s="344" t="s">
        <v>4590</v>
      </c>
      <c r="C957" s="401" t="s">
        <v>175</v>
      </c>
      <c r="D957" s="344" t="s">
        <v>115</v>
      </c>
      <c r="E957" s="316"/>
      <c r="F957" s="316">
        <v>50000</v>
      </c>
      <c r="G957" s="76"/>
      <c r="H957" s="238">
        <f t="shared" si="18"/>
        <v>15247</v>
      </c>
      <c r="I957" s="344" t="s">
        <v>185</v>
      </c>
      <c r="J957" s="179" t="s">
        <v>4636</v>
      </c>
    </row>
    <row r="958" spans="1:10" ht="15">
      <c r="A958" s="402">
        <v>45971</v>
      </c>
      <c r="B958" s="344" t="s">
        <v>4591</v>
      </c>
      <c r="C958" s="344" t="s">
        <v>172</v>
      </c>
      <c r="D958" s="344" t="s">
        <v>115</v>
      </c>
      <c r="E958" s="344"/>
      <c r="F958" s="344">
        <v>1000</v>
      </c>
      <c r="G958" s="76"/>
      <c r="H958" s="238">
        <f t="shared" si="18"/>
        <v>14247</v>
      </c>
      <c r="I958" s="344" t="s">
        <v>185</v>
      </c>
      <c r="J958" s="344" t="s">
        <v>4631</v>
      </c>
    </row>
    <row r="959" spans="1:10" ht="15">
      <c r="A959" s="402">
        <v>45971</v>
      </c>
      <c r="B959" s="344" t="s">
        <v>3002</v>
      </c>
      <c r="C959" s="344" t="s">
        <v>172</v>
      </c>
      <c r="D959" s="344" t="s">
        <v>115</v>
      </c>
      <c r="E959" s="344"/>
      <c r="F959" s="344">
        <v>1000</v>
      </c>
      <c r="G959" s="76"/>
      <c r="H959" s="238">
        <f t="shared" si="18"/>
        <v>13247</v>
      </c>
      <c r="I959" s="344" t="s">
        <v>185</v>
      </c>
      <c r="J959" s="344" t="s">
        <v>4631</v>
      </c>
    </row>
    <row r="960" spans="1:10" ht="15">
      <c r="A960" s="402">
        <v>45971</v>
      </c>
      <c r="B960" s="344" t="s">
        <v>3945</v>
      </c>
      <c r="C960" s="344" t="s">
        <v>172</v>
      </c>
      <c r="D960" s="344" t="s">
        <v>115</v>
      </c>
      <c r="E960" s="344"/>
      <c r="F960" s="344">
        <v>1000</v>
      </c>
      <c r="G960" s="76"/>
      <c r="H960" s="238">
        <f t="shared" si="18"/>
        <v>12247</v>
      </c>
      <c r="I960" s="344" t="s">
        <v>185</v>
      </c>
      <c r="J960" s="344" t="s">
        <v>4631</v>
      </c>
    </row>
    <row r="961" spans="1:10" ht="15">
      <c r="A961" s="402">
        <v>45971</v>
      </c>
      <c r="B961" s="344" t="s">
        <v>4592</v>
      </c>
      <c r="C961" s="344" t="s">
        <v>172</v>
      </c>
      <c r="D961" s="344" t="s">
        <v>115</v>
      </c>
      <c r="E961" s="344"/>
      <c r="F961" s="344">
        <v>1000</v>
      </c>
      <c r="G961" s="76"/>
      <c r="H961" s="238">
        <f t="shared" si="18"/>
        <v>11247</v>
      </c>
      <c r="I961" s="344" t="s">
        <v>185</v>
      </c>
      <c r="J961" s="344" t="s">
        <v>4631</v>
      </c>
    </row>
    <row r="962" spans="1:10" ht="15">
      <c r="A962" s="402">
        <v>45971</v>
      </c>
      <c r="B962" s="344" t="s">
        <v>4593</v>
      </c>
      <c r="C962" s="344" t="s">
        <v>172</v>
      </c>
      <c r="D962" s="344" t="s">
        <v>115</v>
      </c>
      <c r="E962" s="344"/>
      <c r="F962" s="344">
        <v>1000</v>
      </c>
      <c r="G962" s="76"/>
      <c r="H962" s="238">
        <f t="shared" si="18"/>
        <v>10247</v>
      </c>
      <c r="I962" s="344" t="s">
        <v>185</v>
      </c>
      <c r="J962" s="344" t="s">
        <v>4631</v>
      </c>
    </row>
    <row r="963" spans="1:10" ht="15">
      <c r="A963" s="402">
        <v>45971</v>
      </c>
      <c r="B963" s="344" t="s">
        <v>4594</v>
      </c>
      <c r="C963" s="344" t="s">
        <v>172</v>
      </c>
      <c r="D963" s="344" t="s">
        <v>115</v>
      </c>
      <c r="E963" s="344"/>
      <c r="F963" s="344">
        <v>1000</v>
      </c>
      <c r="G963" s="76"/>
      <c r="H963" s="238">
        <f t="shared" si="18"/>
        <v>9247</v>
      </c>
      <c r="I963" s="344" t="s">
        <v>185</v>
      </c>
      <c r="J963" s="344" t="s">
        <v>4631</v>
      </c>
    </row>
    <row r="964" spans="1:10" ht="15">
      <c r="A964" s="402">
        <v>45971</v>
      </c>
      <c r="B964" s="344" t="s">
        <v>4595</v>
      </c>
      <c r="C964" s="344" t="s">
        <v>150</v>
      </c>
      <c r="D964" s="344" t="s">
        <v>115</v>
      </c>
      <c r="E964" s="344">
        <v>7500</v>
      </c>
      <c r="F964" s="344"/>
      <c r="G964" s="76"/>
      <c r="H964" s="238">
        <f t="shared" si="18"/>
        <v>16747</v>
      </c>
      <c r="I964" s="344" t="s">
        <v>185</v>
      </c>
      <c r="J964" s="344" t="s">
        <v>4637</v>
      </c>
    </row>
    <row r="965" spans="1:10" ht="15">
      <c r="A965" s="402">
        <v>45971</v>
      </c>
      <c r="B965" s="344" t="s">
        <v>4595</v>
      </c>
      <c r="C965" s="344" t="s">
        <v>150</v>
      </c>
      <c r="D965" s="344" t="s">
        <v>115</v>
      </c>
      <c r="E965" s="344"/>
      <c r="F965" s="344">
        <v>7500</v>
      </c>
      <c r="G965" s="76"/>
      <c r="H965" s="238">
        <f t="shared" si="18"/>
        <v>9247</v>
      </c>
      <c r="I965" s="344" t="s">
        <v>185</v>
      </c>
      <c r="J965" s="344" t="s">
        <v>4637</v>
      </c>
    </row>
    <row r="966" spans="1:10" ht="15">
      <c r="A966" s="342">
        <v>45972</v>
      </c>
      <c r="B966" s="344" t="s">
        <v>4596</v>
      </c>
      <c r="C966" s="344" t="s">
        <v>124</v>
      </c>
      <c r="D966" s="344" t="s">
        <v>116</v>
      </c>
      <c r="E966" s="316">
        <v>31187</v>
      </c>
      <c r="F966" s="344"/>
      <c r="G966" s="76"/>
      <c r="H966" s="238">
        <f t="shared" si="18"/>
        <v>40434</v>
      </c>
      <c r="I966" s="219" t="s">
        <v>185</v>
      </c>
      <c r="J966" s="179" t="s">
        <v>4638</v>
      </c>
    </row>
    <row r="967" spans="1:10" ht="15">
      <c r="A967" s="342">
        <v>45972</v>
      </c>
      <c r="B967" s="344" t="s">
        <v>4596</v>
      </c>
      <c r="C967" s="344" t="s">
        <v>124</v>
      </c>
      <c r="D967" s="344" t="s">
        <v>116</v>
      </c>
      <c r="E967" s="316"/>
      <c r="F967" s="316">
        <v>31187</v>
      </c>
      <c r="G967" s="76"/>
      <c r="H967" s="238">
        <f t="shared" si="18"/>
        <v>9247</v>
      </c>
      <c r="I967" s="219" t="s">
        <v>185</v>
      </c>
      <c r="J967" s="179" t="s">
        <v>4638</v>
      </c>
    </row>
    <row r="968" spans="1:10" ht="15">
      <c r="A968" s="402">
        <v>45972</v>
      </c>
      <c r="B968" s="344" t="s">
        <v>4597</v>
      </c>
      <c r="C968" s="344" t="s">
        <v>172</v>
      </c>
      <c r="D968" s="344" t="s">
        <v>115</v>
      </c>
      <c r="E968" s="344"/>
      <c r="F968" s="344">
        <v>1000</v>
      </c>
      <c r="G968" s="76"/>
      <c r="H968" s="238">
        <f t="shared" si="18"/>
        <v>8247</v>
      </c>
      <c r="I968" s="344" t="s">
        <v>185</v>
      </c>
      <c r="J968" s="344" t="s">
        <v>4631</v>
      </c>
    </row>
    <row r="969" spans="1:10" ht="15">
      <c r="A969" s="402">
        <v>45972</v>
      </c>
      <c r="B969" s="344" t="s">
        <v>3002</v>
      </c>
      <c r="C969" s="344" t="s">
        <v>172</v>
      </c>
      <c r="D969" s="344" t="s">
        <v>115</v>
      </c>
      <c r="E969" s="344"/>
      <c r="F969" s="344">
        <v>1000</v>
      </c>
      <c r="G969" s="76"/>
      <c r="H969" s="238">
        <f t="shared" si="18"/>
        <v>7247</v>
      </c>
      <c r="I969" s="344" t="s">
        <v>185</v>
      </c>
      <c r="J969" s="344" t="s">
        <v>4631</v>
      </c>
    </row>
    <row r="970" spans="1:10" ht="15">
      <c r="A970" s="402">
        <v>45972</v>
      </c>
      <c r="B970" s="344" t="s">
        <v>4598</v>
      </c>
      <c r="C970" s="344" t="s">
        <v>172</v>
      </c>
      <c r="D970" s="344" t="s">
        <v>115</v>
      </c>
      <c r="E970" s="344"/>
      <c r="F970" s="344">
        <v>1000</v>
      </c>
      <c r="G970" s="76"/>
      <c r="H970" s="238">
        <f t="shared" si="18"/>
        <v>6247</v>
      </c>
      <c r="I970" s="344" t="s">
        <v>185</v>
      </c>
      <c r="J970" s="344" t="s">
        <v>4631</v>
      </c>
    </row>
    <row r="971" spans="1:10" ht="15">
      <c r="A971" s="402">
        <v>45972</v>
      </c>
      <c r="B971" s="344" t="s">
        <v>4599</v>
      </c>
      <c r="C971" s="344" t="s">
        <v>172</v>
      </c>
      <c r="D971" s="344" t="s">
        <v>115</v>
      </c>
      <c r="E971" s="344"/>
      <c r="F971" s="344">
        <v>1000</v>
      </c>
      <c r="G971" s="76"/>
      <c r="H971" s="238">
        <f t="shared" si="18"/>
        <v>5247</v>
      </c>
      <c r="I971" s="344" t="s">
        <v>185</v>
      </c>
      <c r="J971" s="344" t="s">
        <v>4631</v>
      </c>
    </row>
    <row r="972" spans="1:10" ht="15">
      <c r="A972" s="402">
        <v>45973</v>
      </c>
      <c r="B972" s="344" t="s">
        <v>4600</v>
      </c>
      <c r="C972" s="344" t="s">
        <v>172</v>
      </c>
      <c r="D972" s="344" t="s">
        <v>115</v>
      </c>
      <c r="E972" s="344"/>
      <c r="F972" s="344">
        <v>1000</v>
      </c>
      <c r="G972" s="76"/>
      <c r="H972" s="238">
        <f t="shared" si="18"/>
        <v>4247</v>
      </c>
      <c r="I972" s="344" t="s">
        <v>185</v>
      </c>
      <c r="J972" s="344" t="s">
        <v>4631</v>
      </c>
    </row>
    <row r="973" spans="1:10" ht="15">
      <c r="A973" s="402">
        <v>45973</v>
      </c>
      <c r="B973" s="344" t="s">
        <v>4601</v>
      </c>
      <c r="C973" s="344" t="s">
        <v>172</v>
      </c>
      <c r="D973" s="344" t="s">
        <v>115</v>
      </c>
      <c r="E973" s="344"/>
      <c r="F973" s="344">
        <v>1000</v>
      </c>
      <c r="G973" s="76"/>
      <c r="H973" s="238">
        <f t="shared" si="18"/>
        <v>3247</v>
      </c>
      <c r="I973" s="344" t="s">
        <v>185</v>
      </c>
      <c r="J973" s="344" t="s">
        <v>4631</v>
      </c>
    </row>
    <row r="974" spans="1:10" ht="15">
      <c r="A974" s="402">
        <v>45974</v>
      </c>
      <c r="B974" s="344" t="s">
        <v>4602</v>
      </c>
      <c r="C974" s="344" t="s">
        <v>172</v>
      </c>
      <c r="D974" s="344" t="s">
        <v>115</v>
      </c>
      <c r="E974" s="344"/>
      <c r="F974" s="344">
        <v>1000</v>
      </c>
      <c r="G974" s="76"/>
      <c r="H974" s="238">
        <f t="shared" si="18"/>
        <v>2247</v>
      </c>
      <c r="I974" s="344" t="s">
        <v>185</v>
      </c>
      <c r="J974" s="344" t="s">
        <v>4631</v>
      </c>
    </row>
    <row r="975" spans="1:10" ht="15">
      <c r="A975" s="402">
        <v>45974</v>
      </c>
      <c r="B975" s="344" t="s">
        <v>4603</v>
      </c>
      <c r="C975" s="344" t="s">
        <v>172</v>
      </c>
      <c r="D975" s="344" t="s">
        <v>115</v>
      </c>
      <c r="E975" s="344"/>
      <c r="F975" s="344">
        <v>1000</v>
      </c>
      <c r="G975" s="76"/>
      <c r="H975" s="238">
        <f t="shared" si="18"/>
        <v>1247</v>
      </c>
      <c r="I975" s="344" t="s">
        <v>185</v>
      </c>
      <c r="J975" s="344" t="s">
        <v>4631</v>
      </c>
    </row>
    <row r="976" spans="1:10" ht="15">
      <c r="A976" s="402">
        <v>45974</v>
      </c>
      <c r="B976" s="344" t="s">
        <v>4604</v>
      </c>
      <c r="C976" s="344" t="s">
        <v>122</v>
      </c>
      <c r="D976" s="344" t="s">
        <v>115</v>
      </c>
      <c r="E976" s="344">
        <v>20000</v>
      </c>
      <c r="F976" s="344"/>
      <c r="G976" s="76"/>
      <c r="H976" s="238">
        <f t="shared" si="18"/>
        <v>21247</v>
      </c>
      <c r="I976" s="344" t="s">
        <v>185</v>
      </c>
      <c r="J976" s="344" t="s">
        <v>4639</v>
      </c>
    </row>
    <row r="977" spans="1:10" ht="15">
      <c r="A977" s="402">
        <v>45978</v>
      </c>
      <c r="B977" s="344" t="s">
        <v>4593</v>
      </c>
      <c r="C977" s="344" t="s">
        <v>172</v>
      </c>
      <c r="D977" s="344" t="s">
        <v>115</v>
      </c>
      <c r="E977" s="344"/>
      <c r="F977" s="344">
        <v>1000</v>
      </c>
      <c r="G977" s="76"/>
      <c r="H977" s="238">
        <f t="shared" si="18"/>
        <v>20247</v>
      </c>
      <c r="I977" s="344" t="s">
        <v>185</v>
      </c>
      <c r="J977" s="344" t="s">
        <v>4631</v>
      </c>
    </row>
    <row r="978" spans="1:10" ht="15">
      <c r="A978" s="402">
        <v>45978</v>
      </c>
      <c r="B978" s="344" t="s">
        <v>4605</v>
      </c>
      <c r="C978" s="344" t="s">
        <v>172</v>
      </c>
      <c r="D978" s="344" t="s">
        <v>115</v>
      </c>
      <c r="E978" s="344"/>
      <c r="F978" s="344">
        <v>1500</v>
      </c>
      <c r="G978" s="76"/>
      <c r="H978" s="238">
        <f t="shared" si="18"/>
        <v>18747</v>
      </c>
      <c r="I978" s="344" t="s">
        <v>185</v>
      </c>
      <c r="J978" s="344" t="s">
        <v>4631</v>
      </c>
    </row>
    <row r="979" spans="1:10" ht="15">
      <c r="A979" s="402">
        <v>45978</v>
      </c>
      <c r="B979" s="344" t="s">
        <v>3002</v>
      </c>
      <c r="C979" s="344" t="s">
        <v>172</v>
      </c>
      <c r="D979" s="344" t="s">
        <v>115</v>
      </c>
      <c r="E979" s="344"/>
      <c r="F979" s="344">
        <v>1000</v>
      </c>
      <c r="G979" s="76"/>
      <c r="H979" s="238">
        <f t="shared" si="18"/>
        <v>17747</v>
      </c>
      <c r="I979" s="344" t="s">
        <v>185</v>
      </c>
      <c r="J979" s="344" t="s">
        <v>4631</v>
      </c>
    </row>
    <row r="980" spans="1:10" ht="15">
      <c r="A980" s="402">
        <v>45978</v>
      </c>
      <c r="B980" s="344" t="s">
        <v>4606</v>
      </c>
      <c r="C980" s="344" t="s">
        <v>150</v>
      </c>
      <c r="D980" s="344" t="s">
        <v>115</v>
      </c>
      <c r="E980" s="344">
        <v>7500</v>
      </c>
      <c r="F980" s="344"/>
      <c r="G980" s="76"/>
      <c r="H980" s="238">
        <f t="shared" si="18"/>
        <v>25247</v>
      </c>
      <c r="I980" s="344" t="s">
        <v>185</v>
      </c>
      <c r="J980" s="344" t="s">
        <v>4640</v>
      </c>
    </row>
    <row r="981" spans="1:10" ht="15">
      <c r="A981" s="402">
        <v>45978</v>
      </c>
      <c r="B981" s="344" t="s">
        <v>4606</v>
      </c>
      <c r="C981" s="344" t="s">
        <v>150</v>
      </c>
      <c r="D981" s="344" t="s">
        <v>115</v>
      </c>
      <c r="E981" s="344"/>
      <c r="F981" s="344">
        <v>7500</v>
      </c>
      <c r="G981" s="76"/>
      <c r="H981" s="238">
        <f t="shared" si="18"/>
        <v>17747</v>
      </c>
      <c r="I981" s="344" t="s">
        <v>185</v>
      </c>
      <c r="J981" s="344" t="s">
        <v>4640</v>
      </c>
    </row>
    <row r="982" spans="1:10" ht="15">
      <c r="A982" s="342">
        <v>45979</v>
      </c>
      <c r="B982" s="401" t="s">
        <v>2368</v>
      </c>
      <c r="C982" s="344" t="s">
        <v>170</v>
      </c>
      <c r="D982" s="344" t="s">
        <v>116</v>
      </c>
      <c r="E982" s="316">
        <v>25000</v>
      </c>
      <c r="F982" s="344"/>
      <c r="G982" s="76"/>
      <c r="H982" s="238">
        <f t="shared" si="18"/>
        <v>42747</v>
      </c>
      <c r="I982" s="401" t="s">
        <v>185</v>
      </c>
      <c r="J982" s="179" t="s">
        <v>4641</v>
      </c>
    </row>
    <row r="983" spans="1:10" ht="15">
      <c r="A983" s="342">
        <v>45979</v>
      </c>
      <c r="B983" s="344" t="s">
        <v>4607</v>
      </c>
      <c r="C983" s="401" t="s">
        <v>172</v>
      </c>
      <c r="D983" s="344" t="s">
        <v>115</v>
      </c>
      <c r="E983" s="487">
        <v>20000</v>
      </c>
      <c r="F983" s="344"/>
      <c r="G983" s="76"/>
      <c r="H983" s="238">
        <f t="shared" si="18"/>
        <v>62747</v>
      </c>
      <c r="I983" s="344" t="s">
        <v>185</v>
      </c>
      <c r="J983" s="179" t="s">
        <v>4642</v>
      </c>
    </row>
    <row r="984" spans="1:10" ht="15">
      <c r="A984" s="342">
        <v>45979</v>
      </c>
      <c r="B984" s="344" t="s">
        <v>4608</v>
      </c>
      <c r="C984" s="401" t="s">
        <v>175</v>
      </c>
      <c r="D984" s="344" t="s">
        <v>115</v>
      </c>
      <c r="E984" s="316">
        <v>50000</v>
      </c>
      <c r="F984" s="344"/>
      <c r="G984" s="76"/>
      <c r="H984" s="238">
        <f t="shared" si="18"/>
        <v>112747</v>
      </c>
      <c r="I984" s="219" t="s">
        <v>185</v>
      </c>
      <c r="J984" s="179" t="s">
        <v>4643</v>
      </c>
    </row>
    <row r="985" spans="1:10" ht="15">
      <c r="A985" s="342">
        <v>45979</v>
      </c>
      <c r="B985" s="401" t="s">
        <v>2368</v>
      </c>
      <c r="C985" s="344" t="s">
        <v>170</v>
      </c>
      <c r="D985" s="344" t="s">
        <v>116</v>
      </c>
      <c r="E985" s="316"/>
      <c r="F985" s="316">
        <v>25000</v>
      </c>
      <c r="G985" s="76"/>
      <c r="H985" s="238">
        <f t="shared" si="18"/>
        <v>87747</v>
      </c>
      <c r="I985" s="401" t="s">
        <v>185</v>
      </c>
      <c r="J985" s="179" t="s">
        <v>4641</v>
      </c>
    </row>
    <row r="986" spans="1:10" ht="15">
      <c r="A986" s="342">
        <v>45979</v>
      </c>
      <c r="B986" s="344" t="s">
        <v>4607</v>
      </c>
      <c r="C986" s="401" t="s">
        <v>172</v>
      </c>
      <c r="D986" s="344" t="s">
        <v>115</v>
      </c>
      <c r="E986" s="487"/>
      <c r="F986" s="487">
        <v>20000</v>
      </c>
      <c r="G986" s="76"/>
      <c r="H986" s="238">
        <f t="shared" si="18"/>
        <v>67747</v>
      </c>
      <c r="I986" s="344" t="s">
        <v>185</v>
      </c>
      <c r="J986" s="179" t="s">
        <v>4642</v>
      </c>
    </row>
    <row r="987" spans="1:10" ht="15">
      <c r="A987" s="342">
        <v>45979</v>
      </c>
      <c r="B987" s="344" t="s">
        <v>4608</v>
      </c>
      <c r="C987" s="401" t="s">
        <v>175</v>
      </c>
      <c r="D987" s="344" t="s">
        <v>115</v>
      </c>
      <c r="E987" s="316"/>
      <c r="F987" s="316">
        <v>50000</v>
      </c>
      <c r="G987" s="76"/>
      <c r="H987" s="238">
        <f t="shared" si="18"/>
        <v>17747</v>
      </c>
      <c r="I987" s="219" t="s">
        <v>185</v>
      </c>
      <c r="J987" s="179" t="s">
        <v>4643</v>
      </c>
    </row>
    <row r="988" spans="1:10" ht="15">
      <c r="A988" s="402">
        <v>45979</v>
      </c>
      <c r="B988" s="344" t="s">
        <v>3943</v>
      </c>
      <c r="C988" s="344" t="s">
        <v>122</v>
      </c>
      <c r="D988" s="344" t="s">
        <v>115</v>
      </c>
      <c r="E988" s="344">
        <v>71000</v>
      </c>
      <c r="F988" s="344"/>
      <c r="G988" s="76"/>
      <c r="H988" s="238">
        <f t="shared" si="18"/>
        <v>88747</v>
      </c>
      <c r="I988" s="344" t="s">
        <v>185</v>
      </c>
      <c r="J988" s="344" t="s">
        <v>4644</v>
      </c>
    </row>
    <row r="989" spans="1:10" ht="15">
      <c r="A989" s="402">
        <v>45979</v>
      </c>
      <c r="B989" s="344" t="s">
        <v>3945</v>
      </c>
      <c r="C989" s="344" t="s">
        <v>172</v>
      </c>
      <c r="D989" s="344" t="s">
        <v>115</v>
      </c>
      <c r="E989" s="344"/>
      <c r="F989" s="344">
        <v>1000</v>
      </c>
      <c r="G989" s="76"/>
      <c r="H989" s="238">
        <f t="shared" si="18"/>
        <v>87747</v>
      </c>
      <c r="I989" s="344" t="s">
        <v>185</v>
      </c>
      <c r="J989" s="344" t="s">
        <v>4631</v>
      </c>
    </row>
    <row r="990" spans="1:10" ht="15">
      <c r="A990" s="402">
        <v>45979</v>
      </c>
      <c r="B990" s="344" t="s">
        <v>4609</v>
      </c>
      <c r="C990" s="344" t="s">
        <v>172</v>
      </c>
      <c r="D990" s="344" t="s">
        <v>115</v>
      </c>
      <c r="E990" s="344"/>
      <c r="F990" s="344">
        <v>7000</v>
      </c>
      <c r="G990" s="76"/>
      <c r="H990" s="238">
        <f t="shared" si="18"/>
        <v>80747</v>
      </c>
      <c r="I990" s="344" t="s">
        <v>185</v>
      </c>
      <c r="J990" s="344" t="s">
        <v>4645</v>
      </c>
    </row>
    <row r="991" spans="1:10" ht="15">
      <c r="A991" s="402">
        <v>45979</v>
      </c>
      <c r="B991" s="344" t="s">
        <v>4592</v>
      </c>
      <c r="C991" s="344" t="s">
        <v>172</v>
      </c>
      <c r="D991" s="344" t="s">
        <v>115</v>
      </c>
      <c r="E991" s="344"/>
      <c r="F991" s="344">
        <v>1000</v>
      </c>
      <c r="G991" s="76"/>
      <c r="H991" s="238">
        <f t="shared" si="18"/>
        <v>79747</v>
      </c>
      <c r="I991" s="344" t="s">
        <v>185</v>
      </c>
      <c r="J991" s="344" t="s">
        <v>4631</v>
      </c>
    </row>
    <row r="992" spans="1:10" ht="15">
      <c r="A992" s="402">
        <v>45979</v>
      </c>
      <c r="B992" s="344" t="s">
        <v>4610</v>
      </c>
      <c r="C992" s="344" t="s">
        <v>172</v>
      </c>
      <c r="D992" s="344" t="s">
        <v>115</v>
      </c>
      <c r="E992" s="344"/>
      <c r="F992" s="344">
        <v>1000</v>
      </c>
      <c r="G992" s="76"/>
      <c r="H992" s="238">
        <f t="shared" si="18"/>
        <v>78747</v>
      </c>
      <c r="I992" s="344" t="s">
        <v>185</v>
      </c>
      <c r="J992" s="344" t="s">
        <v>4631</v>
      </c>
    </row>
    <row r="993" spans="1:10" ht="15">
      <c r="A993" s="402">
        <v>45979</v>
      </c>
      <c r="B993" s="344" t="s">
        <v>4611</v>
      </c>
      <c r="C993" s="344" t="s">
        <v>172</v>
      </c>
      <c r="D993" s="344" t="s">
        <v>115</v>
      </c>
      <c r="E993" s="344"/>
      <c r="F993" s="344">
        <v>1000</v>
      </c>
      <c r="G993" s="76"/>
      <c r="H993" s="238">
        <f t="shared" si="18"/>
        <v>77747</v>
      </c>
      <c r="I993" s="344" t="s">
        <v>185</v>
      </c>
      <c r="J993" s="344" t="s">
        <v>4631</v>
      </c>
    </row>
    <row r="994" spans="1:10" ht="15">
      <c r="A994" s="402">
        <v>45980</v>
      </c>
      <c r="B994" s="344" t="s">
        <v>4612</v>
      </c>
      <c r="C994" s="344" t="s">
        <v>172</v>
      </c>
      <c r="D994" s="344" t="s">
        <v>115</v>
      </c>
      <c r="E994" s="344"/>
      <c r="F994" s="344">
        <v>2500</v>
      </c>
      <c r="G994" s="76"/>
      <c r="H994" s="238">
        <f t="shared" si="18"/>
        <v>75247</v>
      </c>
      <c r="I994" s="344" t="s">
        <v>185</v>
      </c>
      <c r="J994" s="344" t="s">
        <v>4631</v>
      </c>
    </row>
    <row r="995" spans="1:10" ht="15">
      <c r="A995" s="402">
        <v>45980</v>
      </c>
      <c r="B995" s="344" t="s">
        <v>4613</v>
      </c>
      <c r="C995" s="344" t="s">
        <v>172</v>
      </c>
      <c r="D995" s="344" t="s">
        <v>115</v>
      </c>
      <c r="E995" s="344"/>
      <c r="F995" s="344">
        <v>500</v>
      </c>
      <c r="G995" s="76"/>
      <c r="H995" s="238">
        <f t="shared" si="18"/>
        <v>74747</v>
      </c>
      <c r="I995" s="344" t="s">
        <v>185</v>
      </c>
      <c r="J995" s="344" t="s">
        <v>4631</v>
      </c>
    </row>
    <row r="996" spans="1:10" ht="15">
      <c r="A996" s="402">
        <v>45980</v>
      </c>
      <c r="B996" s="344" t="s">
        <v>4614</v>
      </c>
      <c r="C996" s="344" t="s">
        <v>175</v>
      </c>
      <c r="D996" s="344" t="s">
        <v>115</v>
      </c>
      <c r="E996" s="344"/>
      <c r="F996" s="344">
        <v>20000</v>
      </c>
      <c r="G996" s="76"/>
      <c r="H996" s="238">
        <f t="shared" si="18"/>
        <v>54747</v>
      </c>
      <c r="I996" s="344" t="s">
        <v>185</v>
      </c>
      <c r="J996" s="344" t="s">
        <v>4646</v>
      </c>
    </row>
    <row r="997" spans="1:10" ht="15">
      <c r="A997" s="402">
        <v>45980</v>
      </c>
      <c r="B997" s="344" t="s">
        <v>4615</v>
      </c>
      <c r="C997" s="344" t="s">
        <v>172</v>
      </c>
      <c r="D997" s="344" t="s">
        <v>115</v>
      </c>
      <c r="E997" s="344"/>
      <c r="F997" s="344">
        <v>500</v>
      </c>
      <c r="G997" s="76"/>
      <c r="H997" s="238">
        <f t="shared" si="18"/>
        <v>54247</v>
      </c>
      <c r="I997" s="344" t="s">
        <v>185</v>
      </c>
      <c r="J997" s="344" t="s">
        <v>4631</v>
      </c>
    </row>
    <row r="998" spans="1:10" ht="15">
      <c r="A998" s="402">
        <v>45980</v>
      </c>
      <c r="B998" s="519" t="s">
        <v>4726</v>
      </c>
      <c r="C998" s="344" t="s">
        <v>4616</v>
      </c>
      <c r="D998" s="344" t="s">
        <v>115</v>
      </c>
      <c r="E998" s="344"/>
      <c r="F998" s="344">
        <v>1500</v>
      </c>
      <c r="G998" s="76"/>
      <c r="H998" s="238">
        <f t="shared" si="18"/>
        <v>52747</v>
      </c>
      <c r="I998" s="344" t="s">
        <v>185</v>
      </c>
      <c r="J998" s="344" t="s">
        <v>4647</v>
      </c>
    </row>
    <row r="999" spans="1:10" ht="15">
      <c r="A999" s="402">
        <v>45980</v>
      </c>
      <c r="B999" s="344" t="s">
        <v>4617</v>
      </c>
      <c r="C999" s="344" t="s">
        <v>172</v>
      </c>
      <c r="D999" s="344" t="s">
        <v>115</v>
      </c>
      <c r="E999" s="344"/>
      <c r="F999" s="344">
        <v>500</v>
      </c>
      <c r="G999" s="76"/>
      <c r="H999" s="238">
        <f t="shared" si="18"/>
        <v>52247</v>
      </c>
      <c r="I999" s="344" t="s">
        <v>185</v>
      </c>
      <c r="J999" s="344" t="s">
        <v>4631</v>
      </c>
    </row>
    <row r="1000" spans="1:10" ht="15">
      <c r="A1000" s="402">
        <v>45980</v>
      </c>
      <c r="B1000" s="344" t="s">
        <v>4618</v>
      </c>
      <c r="C1000" s="344" t="s">
        <v>172</v>
      </c>
      <c r="D1000" s="344" t="s">
        <v>115</v>
      </c>
      <c r="E1000" s="344"/>
      <c r="F1000" s="344">
        <v>500</v>
      </c>
      <c r="G1000" s="76"/>
      <c r="H1000" s="238">
        <f t="shared" si="18"/>
        <v>51747</v>
      </c>
      <c r="I1000" s="344" t="s">
        <v>185</v>
      </c>
      <c r="J1000" s="344" t="s">
        <v>4631</v>
      </c>
    </row>
    <row r="1001" spans="1:10" ht="15">
      <c r="A1001" s="402">
        <v>45981</v>
      </c>
      <c r="B1001" s="344" t="s">
        <v>4619</v>
      </c>
      <c r="C1001" s="344" t="s">
        <v>172</v>
      </c>
      <c r="D1001" s="344" t="s">
        <v>115</v>
      </c>
      <c r="E1001" s="344"/>
      <c r="F1001" s="344">
        <v>500</v>
      </c>
      <c r="G1001" s="76"/>
      <c r="H1001" s="238">
        <f t="shared" si="18"/>
        <v>51247</v>
      </c>
      <c r="I1001" s="344" t="s">
        <v>185</v>
      </c>
      <c r="J1001" s="344" t="s">
        <v>4631</v>
      </c>
    </row>
    <row r="1002" spans="1:10" ht="15">
      <c r="A1002" s="402">
        <v>45981</v>
      </c>
      <c r="B1002" s="344" t="s">
        <v>4620</v>
      </c>
      <c r="C1002" s="344" t="s">
        <v>311</v>
      </c>
      <c r="D1002" s="344" t="s">
        <v>115</v>
      </c>
      <c r="E1002" s="344"/>
      <c r="F1002" s="344">
        <v>1500</v>
      </c>
      <c r="G1002" s="76"/>
      <c r="H1002" s="238">
        <f t="shared" si="18"/>
        <v>49747</v>
      </c>
      <c r="I1002" s="344" t="s">
        <v>185</v>
      </c>
      <c r="J1002" s="344" t="s">
        <v>4647</v>
      </c>
    </row>
    <row r="1003" spans="1:10" ht="15">
      <c r="A1003" s="402">
        <v>45981</v>
      </c>
      <c r="B1003" s="519" t="s">
        <v>4727</v>
      </c>
      <c r="C1003" s="344" t="s">
        <v>172</v>
      </c>
      <c r="D1003" s="344" t="s">
        <v>115</v>
      </c>
      <c r="E1003" s="344"/>
      <c r="F1003" s="344">
        <v>500</v>
      </c>
      <c r="G1003" s="76"/>
      <c r="H1003" s="238">
        <f t="shared" si="18"/>
        <v>49247</v>
      </c>
      <c r="I1003" s="344" t="s">
        <v>185</v>
      </c>
      <c r="J1003" s="344" t="s">
        <v>4631</v>
      </c>
    </row>
    <row r="1004" spans="1:10" ht="15">
      <c r="A1004" s="402">
        <v>45981</v>
      </c>
      <c r="B1004" s="344" t="s">
        <v>4622</v>
      </c>
      <c r="C1004" s="344" t="s">
        <v>172</v>
      </c>
      <c r="D1004" s="344" t="s">
        <v>115</v>
      </c>
      <c r="E1004" s="344"/>
      <c r="F1004" s="344">
        <v>500</v>
      </c>
      <c r="G1004" s="76"/>
      <c r="H1004" s="238">
        <f t="shared" si="18"/>
        <v>48747</v>
      </c>
      <c r="I1004" s="344" t="s">
        <v>185</v>
      </c>
      <c r="J1004" s="344" t="s">
        <v>4631</v>
      </c>
    </row>
    <row r="1005" spans="1:10" ht="15">
      <c r="A1005" s="402">
        <v>45981</v>
      </c>
      <c r="B1005" s="344" t="s">
        <v>4623</v>
      </c>
      <c r="C1005" s="344" t="s">
        <v>172</v>
      </c>
      <c r="D1005" s="344" t="s">
        <v>115</v>
      </c>
      <c r="E1005" s="344"/>
      <c r="F1005" s="344">
        <v>7000</v>
      </c>
      <c r="G1005" s="76"/>
      <c r="H1005" s="238">
        <f t="shared" si="18"/>
        <v>41747</v>
      </c>
      <c r="I1005" s="344" t="s">
        <v>185</v>
      </c>
      <c r="J1005" s="344" t="s">
        <v>4648</v>
      </c>
    </row>
    <row r="1006" spans="1:10" ht="15">
      <c r="A1006" s="402">
        <v>45981</v>
      </c>
      <c r="B1006" s="344" t="s">
        <v>4613</v>
      </c>
      <c r="C1006" s="344" t="s">
        <v>172</v>
      </c>
      <c r="D1006" s="344" t="s">
        <v>115</v>
      </c>
      <c r="E1006" s="344"/>
      <c r="F1006" s="344">
        <v>500</v>
      </c>
      <c r="G1006" s="76"/>
      <c r="H1006" s="238">
        <f t="shared" si="18"/>
        <v>41247</v>
      </c>
      <c r="I1006" s="344" t="s">
        <v>185</v>
      </c>
      <c r="J1006" s="344" t="s">
        <v>4631</v>
      </c>
    </row>
    <row r="1007" spans="1:10" ht="15">
      <c r="A1007" s="402">
        <v>45981</v>
      </c>
      <c r="B1007" s="344" t="s">
        <v>4615</v>
      </c>
      <c r="C1007" s="344" t="s">
        <v>172</v>
      </c>
      <c r="D1007" s="344" t="s">
        <v>115</v>
      </c>
      <c r="E1007" s="344"/>
      <c r="F1007" s="344">
        <v>500</v>
      </c>
      <c r="G1007" s="76"/>
      <c r="H1007" s="238">
        <f t="shared" si="18"/>
        <v>40747</v>
      </c>
      <c r="I1007" s="344" t="s">
        <v>185</v>
      </c>
      <c r="J1007" s="344" t="s">
        <v>4631</v>
      </c>
    </row>
    <row r="1008" spans="1:10" ht="15">
      <c r="A1008" s="402">
        <v>45981</v>
      </c>
      <c r="B1008" s="519" t="s">
        <v>4726</v>
      </c>
      <c r="C1008" s="344" t="s">
        <v>4616</v>
      </c>
      <c r="D1008" s="344" t="s">
        <v>115</v>
      </c>
      <c r="E1008" s="344"/>
      <c r="F1008" s="344">
        <v>1500</v>
      </c>
      <c r="G1008" s="76"/>
      <c r="H1008" s="238">
        <f t="shared" si="18"/>
        <v>39247</v>
      </c>
      <c r="I1008" s="344" t="s">
        <v>185</v>
      </c>
      <c r="J1008" s="344" t="s">
        <v>4647</v>
      </c>
    </row>
    <row r="1009" spans="1:10" ht="15">
      <c r="A1009" s="402">
        <v>45981</v>
      </c>
      <c r="B1009" s="344" t="s">
        <v>4624</v>
      </c>
      <c r="C1009" s="344" t="s">
        <v>172</v>
      </c>
      <c r="D1009" s="344" t="s">
        <v>115</v>
      </c>
      <c r="E1009" s="344"/>
      <c r="F1009" s="344">
        <v>500</v>
      </c>
      <c r="G1009" s="76"/>
      <c r="H1009" s="238">
        <f t="shared" si="18"/>
        <v>38747</v>
      </c>
      <c r="I1009" s="344" t="s">
        <v>185</v>
      </c>
      <c r="J1009" s="344" t="s">
        <v>4631</v>
      </c>
    </row>
    <row r="1010" spans="1:10" ht="15">
      <c r="A1010" s="402">
        <v>45981</v>
      </c>
      <c r="B1010" s="344" t="s">
        <v>4618</v>
      </c>
      <c r="C1010" s="344" t="s">
        <v>172</v>
      </c>
      <c r="D1010" s="344" t="s">
        <v>115</v>
      </c>
      <c r="E1010" s="344"/>
      <c r="F1010" s="344">
        <v>500</v>
      </c>
      <c r="G1010" s="76"/>
      <c r="H1010" s="238">
        <f t="shared" si="18"/>
        <v>38247</v>
      </c>
      <c r="I1010" s="344" t="s">
        <v>185</v>
      </c>
      <c r="J1010" s="344" t="s">
        <v>4631</v>
      </c>
    </row>
    <row r="1011" spans="1:10" ht="15">
      <c r="A1011" s="402">
        <v>45982</v>
      </c>
      <c r="B1011" s="344" t="s">
        <v>4625</v>
      </c>
      <c r="C1011" s="344" t="s">
        <v>175</v>
      </c>
      <c r="D1011" s="344" t="s">
        <v>115</v>
      </c>
      <c r="E1011" s="344"/>
      <c r="F1011" s="344">
        <v>30000</v>
      </c>
      <c r="G1011" s="76"/>
      <c r="H1011" s="238">
        <f t="shared" si="18"/>
        <v>8247</v>
      </c>
      <c r="I1011" s="344" t="s">
        <v>185</v>
      </c>
      <c r="J1011" s="344" t="s">
        <v>4649</v>
      </c>
    </row>
    <row r="1012" spans="1:10" ht="15">
      <c r="A1012" s="402">
        <v>45982</v>
      </c>
      <c r="B1012" s="344" t="s">
        <v>4626</v>
      </c>
      <c r="C1012" s="344" t="s">
        <v>172</v>
      </c>
      <c r="D1012" s="344" t="s">
        <v>115</v>
      </c>
      <c r="E1012" s="344"/>
      <c r="F1012" s="344">
        <v>500</v>
      </c>
      <c r="G1012" s="76"/>
      <c r="H1012" s="238">
        <f t="shared" si="18"/>
        <v>7747</v>
      </c>
      <c r="I1012" s="344" t="s">
        <v>185</v>
      </c>
      <c r="J1012" s="344" t="s">
        <v>4631</v>
      </c>
    </row>
    <row r="1013" spans="1:10" ht="15">
      <c r="A1013" s="402">
        <v>45982</v>
      </c>
      <c r="B1013" s="344" t="s">
        <v>4627</v>
      </c>
      <c r="C1013" s="344" t="s">
        <v>172</v>
      </c>
      <c r="D1013" s="344" t="s">
        <v>115</v>
      </c>
      <c r="E1013" s="344"/>
      <c r="F1013" s="344">
        <v>2500</v>
      </c>
      <c r="G1013" s="76"/>
      <c r="H1013" s="238">
        <f t="shared" si="18"/>
        <v>5247</v>
      </c>
      <c r="I1013" s="344" t="s">
        <v>185</v>
      </c>
      <c r="J1013" s="344" t="s">
        <v>4631</v>
      </c>
    </row>
    <row r="1014" spans="1:10" ht="15">
      <c r="A1014" s="402">
        <v>45986</v>
      </c>
      <c r="B1014" s="344" t="s">
        <v>4628</v>
      </c>
      <c r="C1014" s="344" t="s">
        <v>172</v>
      </c>
      <c r="D1014" s="344" t="s">
        <v>115</v>
      </c>
      <c r="E1014" s="344"/>
      <c r="F1014" s="344">
        <v>1000</v>
      </c>
      <c r="G1014" s="76"/>
      <c r="H1014" s="238">
        <f t="shared" si="18"/>
        <v>4247</v>
      </c>
      <c r="I1014" s="344" t="s">
        <v>185</v>
      </c>
      <c r="J1014" s="344" t="s">
        <v>4631</v>
      </c>
    </row>
    <row r="1015" spans="1:10" ht="15">
      <c r="A1015" s="402">
        <v>45986</v>
      </c>
      <c r="B1015" s="344" t="s">
        <v>4629</v>
      </c>
      <c r="C1015" s="344" t="s">
        <v>172</v>
      </c>
      <c r="D1015" s="344" t="s">
        <v>115</v>
      </c>
      <c r="E1015" s="344"/>
      <c r="F1015" s="344">
        <v>1000</v>
      </c>
      <c r="G1015" s="76"/>
      <c r="H1015" s="238">
        <f t="shared" si="18"/>
        <v>3247</v>
      </c>
      <c r="I1015" s="344" t="s">
        <v>185</v>
      </c>
      <c r="J1015" s="344" t="s">
        <v>4631</v>
      </c>
    </row>
    <row r="1016" spans="1:10">
      <c r="E1016" s="71">
        <f>SUM(E936:E1015)</f>
        <v>311687</v>
      </c>
      <c r="F1016" s="71">
        <f>SUM(F936:F1015)</f>
        <v>458187</v>
      </c>
      <c r="H1016" s="71">
        <f>+E1016-F1016+H936</f>
        <v>3247</v>
      </c>
    </row>
  </sheetData>
  <mergeCells count="3">
    <mergeCell ref="A99:D99"/>
    <mergeCell ref="B631:E631"/>
    <mergeCell ref="B933:E933"/>
  </mergeCells>
  <phoneticPr fontId="28" type="noConversion"/>
  <dataValidations count="1">
    <dataValidation type="list" allowBlank="1" showInputMessage="1" showErrorMessage="1" sqref="C687 C972:C973 C986:C987 C940:C941" xr:uid="{00000000-0002-0000-0200-000000000000}"/>
  </dataValidations>
  <pageMargins left="0.7" right="0.7" top="0.78740157499999996" bottom="0.78740157499999996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Feuil4"/>
  <dimension ref="B2:C16"/>
  <sheetViews>
    <sheetView zoomScaleNormal="100" workbookViewId="0">
      <selection activeCell="B9" sqref="B9"/>
    </sheetView>
  </sheetViews>
  <sheetFormatPr baseColWidth="10" defaultColWidth="8.69921875" defaultRowHeight="13.8"/>
  <cols>
    <col min="1" max="1" width="5.69921875" customWidth="1"/>
    <col min="2" max="2" width="20.3984375" bestFit="1" customWidth="1"/>
    <col min="3" max="3" width="22.8984375" bestFit="1" customWidth="1"/>
    <col min="4" max="38" width="5.69921875" customWidth="1"/>
    <col min="39" max="63" width="6.69921875" customWidth="1"/>
    <col min="64" max="64" width="7.69921875" customWidth="1"/>
    <col min="65" max="65" width="5.3984375" customWidth="1"/>
    <col min="66" max="66" width="11.69921875" bestFit="1" customWidth="1"/>
  </cols>
  <sheetData>
    <row r="2" spans="2:3">
      <c r="B2" s="168" t="s">
        <v>460</v>
      </c>
      <c r="C2" t="s">
        <v>462</v>
      </c>
    </row>
    <row r="3" spans="2:3">
      <c r="B3" s="145" t="s">
        <v>188</v>
      </c>
      <c r="C3" s="313">
        <v>363330</v>
      </c>
    </row>
    <row r="4" spans="2:3">
      <c r="B4" s="145" t="s">
        <v>146</v>
      </c>
      <c r="C4" s="313">
        <v>1610000</v>
      </c>
    </row>
    <row r="5" spans="2:3">
      <c r="B5" s="145" t="s">
        <v>198</v>
      </c>
      <c r="C5" s="313">
        <v>266500</v>
      </c>
    </row>
    <row r="6" spans="2:3">
      <c r="B6" s="145" t="s">
        <v>435</v>
      </c>
      <c r="C6" s="313">
        <v>574000</v>
      </c>
    </row>
    <row r="7" spans="2:3">
      <c r="B7" s="145" t="s">
        <v>151</v>
      </c>
      <c r="C7" s="313">
        <v>436750</v>
      </c>
    </row>
    <row r="8" spans="2:3">
      <c r="B8" s="145" t="s">
        <v>211</v>
      </c>
      <c r="C8" s="313">
        <v>527100</v>
      </c>
    </row>
    <row r="9" spans="2:3">
      <c r="B9" s="145" t="s">
        <v>581</v>
      </c>
      <c r="C9" s="313">
        <v>538455</v>
      </c>
    </row>
    <row r="10" spans="2:3">
      <c r="B10" s="145" t="s">
        <v>191</v>
      </c>
      <c r="C10" s="313">
        <v>272500</v>
      </c>
    </row>
    <row r="11" spans="2:3">
      <c r="B11" s="145" t="s">
        <v>185</v>
      </c>
      <c r="C11" s="313">
        <v>458187</v>
      </c>
    </row>
    <row r="12" spans="2:3">
      <c r="B12" s="145" t="s">
        <v>182</v>
      </c>
      <c r="C12" s="313">
        <v>467200</v>
      </c>
    </row>
    <row r="13" spans="2:3">
      <c r="B13" s="145" t="s">
        <v>173</v>
      </c>
      <c r="C13" s="313">
        <v>243000</v>
      </c>
    </row>
    <row r="14" spans="2:3">
      <c r="B14" s="145" t="s">
        <v>315</v>
      </c>
      <c r="C14" s="313">
        <v>477200</v>
      </c>
    </row>
    <row r="15" spans="2:3">
      <c r="B15" s="145" t="s">
        <v>321</v>
      </c>
      <c r="C15" s="313">
        <v>320500</v>
      </c>
    </row>
    <row r="16" spans="2:3">
      <c r="B16" s="145" t="s">
        <v>461</v>
      </c>
      <c r="C16" s="313">
        <v>6554722</v>
      </c>
    </row>
  </sheetData>
  <pageMargins left="0.7" right="0.7" top="0.78740157499999996" bottom="0.78740157499999996" header="0.3" footer="0.3"/>
  <pageSetup paperSize="9" orientation="portrait"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Feuil5"/>
  <dimension ref="B2:D18"/>
  <sheetViews>
    <sheetView zoomScaleNormal="100" workbookViewId="0">
      <selection activeCell="C12" sqref="C12"/>
    </sheetView>
  </sheetViews>
  <sheetFormatPr baseColWidth="10" defaultColWidth="11.3984375" defaultRowHeight="13.8"/>
  <cols>
    <col min="2" max="2" width="20.3984375" bestFit="1" customWidth="1"/>
    <col min="3" max="3" width="16.59765625" bestFit="1" customWidth="1"/>
    <col min="4" max="4" width="19.19921875" bestFit="1" customWidth="1"/>
  </cols>
  <sheetData>
    <row r="2" spans="2:4">
      <c r="B2" s="168" t="s">
        <v>460</v>
      </c>
      <c r="C2" t="s">
        <v>463</v>
      </c>
      <c r="D2" t="s">
        <v>464</v>
      </c>
    </row>
    <row r="3" spans="2:4">
      <c r="B3" s="145" t="s">
        <v>188</v>
      </c>
      <c r="C3" s="313">
        <v>337830</v>
      </c>
      <c r="D3" s="313"/>
    </row>
    <row r="4" spans="2:4">
      <c r="B4" s="145" t="s">
        <v>146</v>
      </c>
      <c r="C4" s="313"/>
      <c r="D4" s="313">
        <v>4050000</v>
      </c>
    </row>
    <row r="5" spans="2:4">
      <c r="B5" s="145" t="s">
        <v>195</v>
      </c>
      <c r="C5" s="313">
        <v>535000</v>
      </c>
      <c r="D5" s="313"/>
    </row>
    <row r="6" spans="2:4">
      <c r="B6" s="145" t="s">
        <v>151</v>
      </c>
      <c r="C6" s="313">
        <v>390000</v>
      </c>
      <c r="D6" s="313"/>
    </row>
    <row r="7" spans="2:4">
      <c r="B7" s="145" t="s">
        <v>211</v>
      </c>
      <c r="C7" s="313">
        <v>488000</v>
      </c>
      <c r="D7" s="313"/>
    </row>
    <row r="8" spans="2:4">
      <c r="B8" s="145" t="s">
        <v>321</v>
      </c>
      <c r="C8" s="313">
        <v>234000</v>
      </c>
      <c r="D8" s="313"/>
    </row>
    <row r="9" spans="2:4">
      <c r="B9" s="145" t="s">
        <v>315</v>
      </c>
      <c r="C9" s="313">
        <v>395000</v>
      </c>
      <c r="D9" s="313"/>
    </row>
    <row r="10" spans="2:4">
      <c r="B10" s="145" t="s">
        <v>182</v>
      </c>
      <c r="C10" s="313">
        <v>400000</v>
      </c>
      <c r="D10" s="313"/>
    </row>
    <row r="11" spans="2:4">
      <c r="B11" s="145" t="s">
        <v>4660</v>
      </c>
      <c r="C11" s="313">
        <v>337500</v>
      </c>
      <c r="D11" s="313"/>
    </row>
    <row r="12" spans="2:4">
      <c r="B12" s="145" t="s">
        <v>191</v>
      </c>
      <c r="C12" s="313">
        <v>157000</v>
      </c>
      <c r="D12" s="313"/>
    </row>
    <row r="13" spans="2:4">
      <c r="B13" s="145" t="s">
        <v>185</v>
      </c>
      <c r="C13" s="313">
        <v>289187</v>
      </c>
      <c r="D13" s="313"/>
    </row>
    <row r="14" spans="2:4">
      <c r="B14" s="145" t="s">
        <v>173</v>
      </c>
      <c r="C14" s="313">
        <v>218000</v>
      </c>
      <c r="D14" s="313"/>
    </row>
    <row r="15" spans="2:4">
      <c r="B15" s="145" t="s">
        <v>1898</v>
      </c>
      <c r="C15" s="313"/>
      <c r="D15" s="313"/>
    </row>
    <row r="16" spans="2:4">
      <c r="B16" s="145" t="s">
        <v>198</v>
      </c>
      <c r="C16" s="313">
        <v>142000</v>
      </c>
      <c r="D16" s="313"/>
    </row>
    <row r="17" spans="2:4">
      <c r="B17" s="145" t="s">
        <v>581</v>
      </c>
      <c r="C17" s="313">
        <v>517955</v>
      </c>
      <c r="D17" s="313"/>
    </row>
    <row r="18" spans="2:4">
      <c r="B18" s="145" t="s">
        <v>461</v>
      </c>
      <c r="C18" s="313">
        <v>4441472</v>
      </c>
      <c r="D18" s="313">
        <v>4050000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Feuil6"/>
  <dimension ref="B2:R10"/>
  <sheetViews>
    <sheetView workbookViewId="0">
      <selection activeCell="F24" sqref="F24"/>
    </sheetView>
  </sheetViews>
  <sheetFormatPr baseColWidth="10" defaultColWidth="8.69921875" defaultRowHeight="13.8"/>
  <cols>
    <col min="1" max="1" width="13.09765625" bestFit="1" customWidth="1"/>
    <col min="2" max="2" width="22.8984375" bestFit="1" customWidth="1"/>
    <col min="3" max="3" width="23.19921875" bestFit="1" customWidth="1"/>
    <col min="4" max="4" width="7.69921875" bestFit="1" customWidth="1"/>
    <col min="5" max="5" width="12.19921875" bestFit="1" customWidth="1"/>
    <col min="6" max="6" width="14.59765625" bestFit="1" customWidth="1"/>
    <col min="7" max="7" width="9.69921875" bestFit="1" customWidth="1"/>
    <col min="8" max="8" width="13.8984375" bestFit="1" customWidth="1"/>
    <col min="9" max="9" width="8.59765625" bestFit="1" customWidth="1"/>
    <col min="10" max="10" width="10.19921875" bestFit="1" customWidth="1"/>
    <col min="11" max="11" width="13.09765625" bestFit="1" customWidth="1"/>
    <col min="12" max="12" width="9.19921875" bestFit="1" customWidth="1"/>
    <col min="13" max="13" width="9.69921875" bestFit="1" customWidth="1"/>
    <col min="14" max="14" width="17.59765625" bestFit="1" customWidth="1"/>
    <col min="15" max="15" width="12.8984375" bestFit="1" customWidth="1"/>
    <col min="16" max="16" width="6.8984375" bestFit="1" customWidth="1"/>
    <col min="17" max="17" width="9.09765625" bestFit="1" customWidth="1"/>
    <col min="18" max="20" width="12.09765625" bestFit="1" customWidth="1"/>
    <col min="21" max="21" width="13.69921875" bestFit="1" customWidth="1"/>
    <col min="22" max="22" width="9.59765625" bestFit="1" customWidth="1"/>
    <col min="23" max="23" width="11.59765625" bestFit="1" customWidth="1"/>
    <col min="24" max="24" width="18.19921875" bestFit="1" customWidth="1"/>
    <col min="25" max="25" width="14.5" bestFit="1" customWidth="1"/>
    <col min="26" max="26" width="12.09765625" bestFit="1" customWidth="1"/>
  </cols>
  <sheetData>
    <row r="2" spans="2:18">
      <c r="B2" s="168" t="s">
        <v>462</v>
      </c>
      <c r="C2" s="168" t="s">
        <v>1900</v>
      </c>
    </row>
    <row r="3" spans="2:18">
      <c r="B3" s="168" t="s">
        <v>460</v>
      </c>
      <c r="C3" t="s">
        <v>2092</v>
      </c>
      <c r="D3" t="s">
        <v>624</v>
      </c>
      <c r="E3" t="s">
        <v>121</v>
      </c>
      <c r="F3" t="s">
        <v>170</v>
      </c>
      <c r="G3" t="s">
        <v>125</v>
      </c>
      <c r="H3" t="s">
        <v>124</v>
      </c>
      <c r="I3" t="s">
        <v>302</v>
      </c>
      <c r="J3" t="s">
        <v>150</v>
      </c>
      <c r="K3" t="s">
        <v>180</v>
      </c>
      <c r="L3" t="s">
        <v>172</v>
      </c>
      <c r="M3" t="s">
        <v>194</v>
      </c>
      <c r="N3" t="s">
        <v>2394</v>
      </c>
      <c r="O3" t="s">
        <v>366</v>
      </c>
      <c r="P3" t="s">
        <v>263</v>
      </c>
      <c r="Q3" t="s">
        <v>3317</v>
      </c>
      <c r="R3" t="s">
        <v>461</v>
      </c>
    </row>
    <row r="4" spans="2:18">
      <c r="B4" s="145" t="s">
        <v>119</v>
      </c>
      <c r="C4" s="313"/>
      <c r="D4" s="313"/>
      <c r="E4" s="313"/>
      <c r="F4" s="313"/>
      <c r="G4" s="313"/>
      <c r="H4" s="313"/>
      <c r="I4" s="313"/>
      <c r="J4" s="313">
        <v>120000</v>
      </c>
      <c r="K4" s="313"/>
      <c r="L4" s="313">
        <v>391800</v>
      </c>
      <c r="M4" s="313"/>
      <c r="N4" s="313">
        <v>935000</v>
      </c>
      <c r="O4" s="313">
        <v>61100</v>
      </c>
      <c r="P4" s="313"/>
      <c r="Q4" s="313"/>
      <c r="R4" s="313">
        <v>1507900</v>
      </c>
    </row>
    <row r="5" spans="2:18">
      <c r="B5" s="145" t="s">
        <v>115</v>
      </c>
      <c r="C5" s="313"/>
      <c r="D5" s="313"/>
      <c r="E5" s="313">
        <v>965000</v>
      </c>
      <c r="F5" s="313"/>
      <c r="G5" s="313"/>
      <c r="H5" s="313"/>
      <c r="I5" s="313"/>
      <c r="J5" s="313">
        <v>127500</v>
      </c>
      <c r="K5" s="313"/>
      <c r="L5" s="313">
        <v>285500</v>
      </c>
      <c r="M5" s="313">
        <v>94000</v>
      </c>
      <c r="N5" s="313">
        <v>1150000</v>
      </c>
      <c r="O5" s="313"/>
      <c r="P5" s="313"/>
      <c r="Q5" s="313">
        <v>34500</v>
      </c>
      <c r="R5" s="313">
        <v>2656500</v>
      </c>
    </row>
    <row r="6" spans="2:18">
      <c r="B6" s="145" t="s">
        <v>117</v>
      </c>
      <c r="C6" s="313"/>
      <c r="D6" s="313"/>
      <c r="E6" s="313"/>
      <c r="F6" s="313"/>
      <c r="G6" s="313">
        <v>349250</v>
      </c>
      <c r="H6" s="313"/>
      <c r="I6" s="313"/>
      <c r="J6" s="313">
        <v>60000</v>
      </c>
      <c r="K6" s="313"/>
      <c r="L6" s="313">
        <v>50000</v>
      </c>
      <c r="M6" s="313"/>
      <c r="N6" s="313"/>
      <c r="O6" s="313"/>
      <c r="P6" s="313"/>
      <c r="Q6" s="313"/>
      <c r="R6" s="313">
        <v>459250</v>
      </c>
    </row>
    <row r="7" spans="2:18">
      <c r="B7" s="145" t="s">
        <v>118</v>
      </c>
      <c r="C7" s="313">
        <v>418000</v>
      </c>
      <c r="D7" s="313"/>
      <c r="E7" s="313"/>
      <c r="F7" s="313"/>
      <c r="G7" s="313"/>
      <c r="H7" s="313"/>
      <c r="I7" s="313"/>
      <c r="J7" s="313">
        <v>30000</v>
      </c>
      <c r="K7" s="313"/>
      <c r="L7" s="313">
        <v>51000</v>
      </c>
      <c r="M7" s="313"/>
      <c r="N7" s="313">
        <v>3100</v>
      </c>
      <c r="O7" s="313"/>
      <c r="P7" s="313"/>
      <c r="Q7" s="313"/>
      <c r="R7" s="313">
        <v>502100</v>
      </c>
    </row>
    <row r="8" spans="2:18">
      <c r="B8" s="145" t="s">
        <v>116</v>
      </c>
      <c r="C8" s="313"/>
      <c r="D8" s="313">
        <v>45050</v>
      </c>
      <c r="E8" s="313"/>
      <c r="F8" s="313">
        <v>292900</v>
      </c>
      <c r="G8" s="313"/>
      <c r="H8" s="313">
        <v>539187</v>
      </c>
      <c r="I8" s="313">
        <v>380000</v>
      </c>
      <c r="J8" s="313"/>
      <c r="K8" s="313">
        <v>33835</v>
      </c>
      <c r="L8" s="313">
        <v>33000</v>
      </c>
      <c r="M8" s="313"/>
      <c r="N8" s="313"/>
      <c r="O8" s="313"/>
      <c r="P8" s="313"/>
      <c r="Q8" s="313"/>
      <c r="R8" s="313">
        <v>1323972</v>
      </c>
    </row>
    <row r="9" spans="2:18">
      <c r="B9" s="145" t="s">
        <v>2417</v>
      </c>
      <c r="C9" s="313"/>
      <c r="D9" s="313"/>
      <c r="E9" s="313"/>
      <c r="F9" s="313"/>
      <c r="G9" s="313"/>
      <c r="H9" s="313"/>
      <c r="I9" s="313"/>
      <c r="J9" s="313"/>
      <c r="K9" s="313"/>
      <c r="L9" s="313"/>
      <c r="M9" s="313"/>
      <c r="N9" s="313"/>
      <c r="O9" s="313"/>
      <c r="P9" s="313">
        <v>105000</v>
      </c>
      <c r="Q9" s="313"/>
      <c r="R9" s="313">
        <v>105000</v>
      </c>
    </row>
    <row r="10" spans="2:18">
      <c r="B10" s="145" t="s">
        <v>461</v>
      </c>
      <c r="C10" s="313">
        <v>418000</v>
      </c>
      <c r="D10" s="313">
        <v>45050</v>
      </c>
      <c r="E10" s="313">
        <v>965000</v>
      </c>
      <c r="F10" s="313">
        <v>292900</v>
      </c>
      <c r="G10" s="313">
        <v>349250</v>
      </c>
      <c r="H10" s="313">
        <v>539187</v>
      </c>
      <c r="I10" s="313">
        <v>380000</v>
      </c>
      <c r="J10" s="313">
        <v>337500</v>
      </c>
      <c r="K10" s="313">
        <v>33835</v>
      </c>
      <c r="L10" s="313">
        <v>811300</v>
      </c>
      <c r="M10" s="313">
        <v>94000</v>
      </c>
      <c r="N10" s="313">
        <v>2088100</v>
      </c>
      <c r="O10" s="313">
        <v>61100</v>
      </c>
      <c r="P10" s="313">
        <v>105000</v>
      </c>
      <c r="Q10" s="313">
        <v>34500</v>
      </c>
      <c r="R10" s="313">
        <v>6554722</v>
      </c>
    </row>
  </sheetData>
  <pageMargins left="0.7" right="0.7" top="0.78740157499999996" bottom="0.78740157499999996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Feuil7" filterMode="1"/>
  <dimension ref="A1:J13"/>
  <sheetViews>
    <sheetView workbookViewId="0">
      <selection activeCell="B6" sqref="B6"/>
    </sheetView>
  </sheetViews>
  <sheetFormatPr baseColWidth="10" defaultColWidth="8.69921875" defaultRowHeight="13.8"/>
  <cols>
    <col min="1" max="1" width="16.09765625" style="69" customWidth="1"/>
    <col min="2" max="2" width="68.59765625" customWidth="1"/>
    <col min="3" max="3" width="15.69921875" customWidth="1"/>
    <col min="4" max="4" width="17.09765625" customWidth="1"/>
    <col min="5" max="7" width="17.09765625" style="71" customWidth="1"/>
    <col min="8" max="8" width="7.09765625" customWidth="1"/>
    <col min="9" max="9" width="17.09765625" customWidth="1"/>
    <col min="10" max="10" width="20.69921875" customWidth="1"/>
  </cols>
  <sheetData>
    <row r="1" spans="1:10" ht="14.4">
      <c r="A1" s="73" t="s">
        <v>0</v>
      </c>
      <c r="B1" s="74" t="s">
        <v>1</v>
      </c>
      <c r="C1" s="74" t="s">
        <v>120</v>
      </c>
      <c r="D1" s="74" t="s">
        <v>3</v>
      </c>
      <c r="E1" s="86" t="s">
        <v>29</v>
      </c>
      <c r="F1" s="87" t="s">
        <v>12</v>
      </c>
      <c r="G1" s="87" t="s">
        <v>30</v>
      </c>
      <c r="H1" s="75" t="s">
        <v>10</v>
      </c>
      <c r="I1" s="75" t="s">
        <v>6</v>
      </c>
      <c r="J1" s="99" t="s">
        <v>70</v>
      </c>
    </row>
    <row r="2" spans="1:10" ht="15.6">
      <c r="A2" s="314">
        <v>45962</v>
      </c>
      <c r="B2" s="224" t="s">
        <v>4723</v>
      </c>
      <c r="C2" s="119"/>
      <c r="D2" s="119"/>
      <c r="E2" s="121"/>
      <c r="F2" s="120"/>
      <c r="G2" s="315">
        <v>9830380</v>
      </c>
      <c r="H2" s="76" t="s">
        <v>146</v>
      </c>
      <c r="I2" s="76"/>
      <c r="J2" s="76"/>
    </row>
    <row r="3" spans="1:10" ht="15.6" hidden="1">
      <c r="A3" s="347">
        <v>45964</v>
      </c>
      <c r="B3" s="224" t="s">
        <v>4650</v>
      </c>
      <c r="C3" s="165" t="s">
        <v>122</v>
      </c>
      <c r="D3" s="166"/>
      <c r="E3" s="121">
        <v>2000000</v>
      </c>
      <c r="F3" s="120"/>
      <c r="G3" s="95">
        <f t="shared" ref="G3:G13" si="0">G2-E3+F3</f>
        <v>7830380</v>
      </c>
      <c r="H3" s="76" t="s">
        <v>146</v>
      </c>
      <c r="I3" s="76" t="s">
        <v>4707</v>
      </c>
      <c r="J3" s="76"/>
    </row>
    <row r="4" spans="1:10" ht="14.4">
      <c r="A4" s="348">
        <v>45964</v>
      </c>
      <c r="B4" s="539" t="s">
        <v>4056</v>
      </c>
      <c r="C4" s="236" t="s">
        <v>121</v>
      </c>
      <c r="D4" s="236" t="s">
        <v>115</v>
      </c>
      <c r="E4" s="349">
        <v>200000</v>
      </c>
      <c r="F4" s="317"/>
      <c r="G4" s="95">
        <f t="shared" si="0"/>
        <v>7630380</v>
      </c>
      <c r="H4" s="125" t="s">
        <v>146</v>
      </c>
      <c r="I4" s="125" t="s">
        <v>4708</v>
      </c>
      <c r="J4" s="76"/>
    </row>
    <row r="5" spans="1:10" ht="14.4">
      <c r="A5" s="348">
        <v>45965</v>
      </c>
      <c r="B5" s="164" t="s">
        <v>4057</v>
      </c>
      <c r="C5" s="442" t="s">
        <v>124</v>
      </c>
      <c r="D5" s="124" t="s">
        <v>116</v>
      </c>
      <c r="E5" s="349">
        <v>500000</v>
      </c>
      <c r="F5" s="317"/>
      <c r="G5" s="95">
        <f t="shared" si="0"/>
        <v>7130380</v>
      </c>
      <c r="H5" s="125" t="s">
        <v>146</v>
      </c>
      <c r="I5" s="125" t="s">
        <v>4709</v>
      </c>
      <c r="J5" s="76"/>
    </row>
    <row r="6" spans="1:10" ht="14.4">
      <c r="A6" s="347">
        <v>45966</v>
      </c>
      <c r="B6" s="442" t="s">
        <v>4702</v>
      </c>
      <c r="C6" s="236" t="s">
        <v>302</v>
      </c>
      <c r="D6" s="166" t="s">
        <v>116</v>
      </c>
      <c r="E6" s="349">
        <v>260000</v>
      </c>
      <c r="F6" s="349"/>
      <c r="G6" s="95">
        <f t="shared" si="0"/>
        <v>6870380</v>
      </c>
      <c r="H6" s="76" t="s">
        <v>146</v>
      </c>
      <c r="I6" s="125" t="s">
        <v>4710</v>
      </c>
      <c r="J6" s="76"/>
    </row>
    <row r="7" spans="1:10" ht="14.4">
      <c r="A7" s="347">
        <v>45974</v>
      </c>
      <c r="B7" s="164" t="s">
        <v>4703</v>
      </c>
      <c r="C7" s="166" t="s">
        <v>121</v>
      </c>
      <c r="D7" s="350" t="s">
        <v>115</v>
      </c>
      <c r="E7" s="121">
        <v>150000</v>
      </c>
      <c r="F7" s="121"/>
      <c r="G7" s="95">
        <f t="shared" si="0"/>
        <v>6720380</v>
      </c>
      <c r="H7" s="76" t="s">
        <v>146</v>
      </c>
      <c r="I7" s="125" t="s">
        <v>4711</v>
      </c>
      <c r="J7" s="76"/>
    </row>
    <row r="8" spans="1:10" ht="15.6" hidden="1">
      <c r="A8" s="347">
        <v>45978</v>
      </c>
      <c r="B8" s="224" t="s">
        <v>4653</v>
      </c>
      <c r="C8" s="118" t="s">
        <v>122</v>
      </c>
      <c r="D8" s="124"/>
      <c r="E8" s="444">
        <v>350000</v>
      </c>
      <c r="F8" s="120"/>
      <c r="G8" s="95">
        <f t="shared" si="0"/>
        <v>6370380</v>
      </c>
      <c r="H8" s="76" t="s">
        <v>146</v>
      </c>
      <c r="I8" s="76" t="s">
        <v>4712</v>
      </c>
      <c r="J8" s="76"/>
    </row>
    <row r="9" spans="1:10" ht="15.6" hidden="1">
      <c r="A9" s="347">
        <v>45979</v>
      </c>
      <c r="B9" s="224" t="s">
        <v>4655</v>
      </c>
      <c r="C9" s="165" t="s">
        <v>122</v>
      </c>
      <c r="D9" s="443"/>
      <c r="E9" s="349">
        <v>1000000</v>
      </c>
      <c r="F9" s="317"/>
      <c r="G9" s="95">
        <f t="shared" si="0"/>
        <v>5370380</v>
      </c>
      <c r="H9" s="76" t="s">
        <v>146</v>
      </c>
      <c r="I9" s="76" t="s">
        <v>4713</v>
      </c>
      <c r="J9" s="76"/>
    </row>
    <row r="10" spans="1:10" ht="14.4">
      <c r="A10" s="347">
        <v>45985</v>
      </c>
      <c r="B10" s="540" t="s">
        <v>4704</v>
      </c>
      <c r="C10" s="165" t="s">
        <v>121</v>
      </c>
      <c r="D10" s="165" t="s">
        <v>115</v>
      </c>
      <c r="E10" s="349">
        <v>200000</v>
      </c>
      <c r="F10" s="317"/>
      <c r="G10" s="95">
        <f t="shared" si="0"/>
        <v>5170380</v>
      </c>
      <c r="H10" s="76" t="s">
        <v>146</v>
      </c>
      <c r="I10" s="125" t="s">
        <v>4714</v>
      </c>
      <c r="J10" s="76"/>
    </row>
    <row r="11" spans="1:10" ht="14.4">
      <c r="A11" s="347">
        <v>45985</v>
      </c>
      <c r="B11" s="540" t="s">
        <v>4705</v>
      </c>
      <c r="C11" s="165" t="s">
        <v>121</v>
      </c>
      <c r="D11" s="118" t="s">
        <v>115</v>
      </c>
      <c r="E11" s="349">
        <v>300000</v>
      </c>
      <c r="F11" s="317"/>
      <c r="G11" s="95">
        <f t="shared" si="0"/>
        <v>4870380</v>
      </c>
      <c r="H11" s="76" t="s">
        <v>146</v>
      </c>
      <c r="I11" s="125" t="s">
        <v>4715</v>
      </c>
      <c r="J11" s="76"/>
    </row>
    <row r="12" spans="1:10" ht="15.6" hidden="1">
      <c r="A12" s="347">
        <v>45986</v>
      </c>
      <c r="B12" s="224" t="s">
        <v>4656</v>
      </c>
      <c r="C12" s="165" t="s">
        <v>122</v>
      </c>
      <c r="D12" s="443"/>
      <c r="E12" s="349">
        <v>700000</v>
      </c>
      <c r="F12" s="317"/>
      <c r="G12" s="95">
        <f t="shared" si="0"/>
        <v>4170380</v>
      </c>
      <c r="H12" s="76" t="s">
        <v>146</v>
      </c>
      <c r="I12" s="76" t="s">
        <v>4716</v>
      </c>
      <c r="J12" s="76"/>
    </row>
    <row r="13" spans="1:10" ht="14.4">
      <c r="A13" s="347">
        <v>45988</v>
      </c>
      <c r="B13" s="446" t="s">
        <v>4706</v>
      </c>
      <c r="C13" s="445" t="s">
        <v>124</v>
      </c>
      <c r="D13" s="447" t="s">
        <v>116</v>
      </c>
      <c r="E13" s="121">
        <v>500000</v>
      </c>
      <c r="F13" s="120"/>
      <c r="G13" s="95">
        <f t="shared" si="0"/>
        <v>3670380</v>
      </c>
      <c r="H13" s="76" t="s">
        <v>146</v>
      </c>
      <c r="I13" s="125" t="s">
        <v>4717</v>
      </c>
      <c r="J13" s="76"/>
    </row>
  </sheetData>
  <autoFilter ref="A1:I13" xr:uid="{00000000-0009-0000-0000-000006000000}">
    <filterColumn colId="2">
      <filters blank="1">
        <filter val="Lawyer Fees"/>
        <filter val="Rent &amp; Utilities"/>
        <filter val="Services"/>
      </filters>
    </filterColumn>
    <sortState xmlns:xlrd2="http://schemas.microsoft.com/office/spreadsheetml/2017/richdata2" ref="A2:I13">
      <sortCondition ref="A1:A13"/>
    </sortState>
  </autoFilter>
  <pageMargins left="0.7" right="0.7" top="0.78740157499999996" bottom="0.78740157499999996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Feuil8">
    <pageSetUpPr fitToPage="1"/>
  </sheetPr>
  <dimension ref="A1:E68"/>
  <sheetViews>
    <sheetView topLeftCell="B42" zoomScaleNormal="100" workbookViewId="0">
      <selection activeCell="F23" sqref="F23"/>
    </sheetView>
  </sheetViews>
  <sheetFormatPr baseColWidth="10" defaultColWidth="8.69921875" defaultRowHeight="13.8"/>
  <cols>
    <col min="1" max="1" width="13.3984375" customWidth="1"/>
    <col min="2" max="2" width="9.69921875" customWidth="1"/>
    <col min="3" max="3" width="105.69921875" customWidth="1"/>
    <col min="4" max="4" width="29" customWidth="1"/>
    <col min="5" max="5" width="14.19921875" customWidth="1"/>
  </cols>
  <sheetData>
    <row r="1" spans="1:5" ht="15.6">
      <c r="A1" s="565" t="s">
        <v>32</v>
      </c>
      <c r="B1" s="566"/>
      <c r="C1" s="566"/>
      <c r="D1" s="566"/>
      <c r="E1" s="566"/>
    </row>
    <row r="2" spans="1:5" ht="15.6">
      <c r="A2" s="567" t="s">
        <v>33</v>
      </c>
      <c r="B2" s="567" t="s">
        <v>96</v>
      </c>
      <c r="C2" s="567"/>
      <c r="D2" s="568"/>
      <c r="E2" s="567"/>
    </row>
    <row r="3" spans="1:5" ht="15.6">
      <c r="A3" s="567" t="s">
        <v>34</v>
      </c>
      <c r="B3" s="569">
        <v>45962</v>
      </c>
      <c r="C3" s="570"/>
      <c r="D3" s="567"/>
      <c r="E3" s="567"/>
    </row>
    <row r="4" spans="1:5" ht="15.6">
      <c r="A4" s="567"/>
      <c r="B4" s="567"/>
      <c r="C4" s="567"/>
      <c r="D4" s="567"/>
      <c r="E4" s="567"/>
    </row>
    <row r="5" spans="1:5" ht="15.6">
      <c r="A5" s="567" t="s">
        <v>35</v>
      </c>
      <c r="B5" s="567"/>
      <c r="C5" s="567"/>
      <c r="D5" s="567"/>
      <c r="E5" s="567"/>
    </row>
    <row r="6" spans="1:5" ht="16.2" thickBot="1">
      <c r="A6" s="571" t="s">
        <v>51</v>
      </c>
      <c r="B6" s="571"/>
      <c r="C6" s="571"/>
      <c r="D6" s="571"/>
      <c r="E6" s="571"/>
    </row>
    <row r="7" spans="1:5" ht="16.2" thickBot="1">
      <c r="A7" s="645" t="s">
        <v>36</v>
      </c>
      <c r="B7" s="646"/>
      <c r="C7" s="646"/>
      <c r="D7" s="646"/>
      <c r="E7" s="647"/>
    </row>
    <row r="8" spans="1:5" ht="16.2" thickBot="1">
      <c r="A8" s="572"/>
      <c r="B8" s="573"/>
      <c r="C8" s="574"/>
      <c r="D8" s="575"/>
      <c r="E8" s="576"/>
    </row>
    <row r="9" spans="1:5" ht="15.6">
      <c r="A9" s="577" t="s">
        <v>0</v>
      </c>
      <c r="B9" s="578" t="s">
        <v>37</v>
      </c>
      <c r="C9" s="579" t="s">
        <v>38</v>
      </c>
      <c r="D9" s="579" t="s">
        <v>39</v>
      </c>
      <c r="E9" s="579" t="s">
        <v>40</v>
      </c>
    </row>
    <row r="10" spans="1:5" ht="15.6">
      <c r="A10" s="580">
        <v>45962</v>
      </c>
      <c r="B10" s="581"/>
      <c r="C10" s="224" t="s">
        <v>4723</v>
      </c>
      <c r="D10" s="582">
        <f>'Bank journal  '!G2</f>
        <v>9830380</v>
      </c>
      <c r="E10" s="583"/>
    </row>
    <row r="11" spans="1:5" ht="15.6">
      <c r="A11" s="584">
        <v>45964</v>
      </c>
      <c r="B11" s="585"/>
      <c r="C11" s="224" t="s">
        <v>4650</v>
      </c>
      <c r="D11" s="586"/>
      <c r="E11" s="583">
        <v>2000000</v>
      </c>
    </row>
    <row r="12" spans="1:5" ht="15.6">
      <c r="A12" s="587">
        <v>45964</v>
      </c>
      <c r="B12" s="585"/>
      <c r="C12" s="320" t="s">
        <v>4056</v>
      </c>
      <c r="D12" s="324"/>
      <c r="E12" s="324">
        <v>200000</v>
      </c>
    </row>
    <row r="13" spans="1:5" ht="15.6">
      <c r="A13" s="587">
        <v>45965</v>
      </c>
      <c r="B13" s="585"/>
      <c r="C13" s="320" t="s">
        <v>4057</v>
      </c>
      <c r="D13" s="583"/>
      <c r="E13" s="324">
        <v>500000</v>
      </c>
    </row>
    <row r="14" spans="1:5" s="325" customFormat="1" ht="15.6">
      <c r="A14" s="584">
        <v>45966</v>
      </c>
      <c r="B14" s="588"/>
      <c r="C14" s="177" t="s">
        <v>4702</v>
      </c>
      <c r="D14" s="586"/>
      <c r="E14" s="324">
        <v>260000</v>
      </c>
    </row>
    <row r="15" spans="1:5" s="325" customFormat="1" ht="15.6">
      <c r="A15" s="584">
        <v>45974</v>
      </c>
      <c r="B15" s="588"/>
      <c r="C15" s="320" t="s">
        <v>4703</v>
      </c>
      <c r="D15" s="351"/>
      <c r="E15" s="583">
        <v>150000</v>
      </c>
    </row>
    <row r="16" spans="1:5" s="325" customFormat="1" ht="15.6">
      <c r="A16" s="584">
        <v>45978</v>
      </c>
      <c r="B16" s="585"/>
      <c r="C16" s="224" t="s">
        <v>4653</v>
      </c>
      <c r="D16" s="351"/>
      <c r="E16" s="583">
        <v>350000</v>
      </c>
    </row>
    <row r="17" spans="1:5" s="325" customFormat="1" ht="15.6">
      <c r="A17" s="584">
        <v>45979</v>
      </c>
      <c r="B17" s="585"/>
      <c r="C17" s="224" t="s">
        <v>4655</v>
      </c>
      <c r="D17" s="586"/>
      <c r="E17" s="324">
        <v>1000000</v>
      </c>
    </row>
    <row r="18" spans="1:5" s="325" customFormat="1" ht="15.6">
      <c r="A18" s="584">
        <v>45985</v>
      </c>
      <c r="B18" s="585"/>
      <c r="C18" s="589" t="s">
        <v>4704</v>
      </c>
      <c r="D18" s="351"/>
      <c r="E18" s="324">
        <v>200000</v>
      </c>
    </row>
    <row r="19" spans="1:5" s="325" customFormat="1" ht="15.6">
      <c r="A19" s="584">
        <v>45985</v>
      </c>
      <c r="B19" s="585"/>
      <c r="C19" s="589" t="s">
        <v>4705</v>
      </c>
      <c r="D19" s="351"/>
      <c r="E19" s="324">
        <v>300000</v>
      </c>
    </row>
    <row r="20" spans="1:5" s="325" customFormat="1" ht="15.6">
      <c r="A20" s="584">
        <v>45986</v>
      </c>
      <c r="B20" s="585"/>
      <c r="C20" s="224" t="s">
        <v>4656</v>
      </c>
      <c r="D20" s="351"/>
      <c r="E20" s="324">
        <v>700000</v>
      </c>
    </row>
    <row r="21" spans="1:5" s="325" customFormat="1" ht="15.6">
      <c r="A21" s="584">
        <v>45988</v>
      </c>
      <c r="B21" s="585"/>
      <c r="C21" s="590" t="s">
        <v>4706</v>
      </c>
      <c r="D21" s="351"/>
      <c r="E21" s="583">
        <v>500000</v>
      </c>
    </row>
    <row r="22" spans="1:5" ht="15.6">
      <c r="A22" s="584"/>
      <c r="B22" s="591"/>
      <c r="C22" s="589"/>
      <c r="D22" s="586"/>
      <c r="E22" s="583"/>
    </row>
    <row r="23" spans="1:5" ht="15.6">
      <c r="A23" s="584"/>
      <c r="B23" s="591"/>
      <c r="C23" s="589"/>
      <c r="D23" s="586"/>
      <c r="E23" s="583"/>
    </row>
    <row r="24" spans="1:5" ht="16.2" thickBot="1">
      <c r="A24" s="584"/>
      <c r="B24" s="591"/>
      <c r="C24" s="319"/>
      <c r="D24" s="586"/>
      <c r="E24" s="583"/>
    </row>
    <row r="25" spans="1:5" ht="16.2" thickBot="1">
      <c r="A25" s="592"/>
      <c r="B25" s="593"/>
      <c r="C25" s="594" t="s">
        <v>41</v>
      </c>
      <c r="D25" s="595">
        <f>SUM(D10:D24)-SUM(E10:E24)</f>
        <v>3670380</v>
      </c>
      <c r="E25" s="596"/>
    </row>
    <row r="26" spans="1:5" ht="15.6" thickBot="1">
      <c r="A26" s="597"/>
      <c r="B26" s="598"/>
      <c r="C26" s="130"/>
      <c r="D26" s="599"/>
      <c r="E26" s="599"/>
    </row>
    <row r="27" spans="1:5" ht="15.6">
      <c r="A27" s="600"/>
      <c r="B27" s="567"/>
      <c r="C27" s="601" t="s">
        <v>42</v>
      </c>
      <c r="D27" s="586"/>
      <c r="E27" s="602"/>
    </row>
    <row r="28" spans="1:5" ht="15.6">
      <c r="A28" s="600"/>
      <c r="B28" s="567"/>
      <c r="C28" s="601"/>
      <c r="D28" s="586"/>
      <c r="E28" s="599">
        <f>+D24-E24</f>
        <v>0</v>
      </c>
    </row>
    <row r="29" spans="1:5" ht="15.6">
      <c r="A29" s="603"/>
      <c r="B29" s="603"/>
      <c r="C29" s="604"/>
      <c r="D29" s="586"/>
      <c r="E29" s="605"/>
    </row>
    <row r="30" spans="1:5" ht="15.6">
      <c r="A30" s="606"/>
      <c r="B30" s="606"/>
      <c r="C30" s="607" t="s">
        <v>55</v>
      </c>
      <c r="D30" s="586"/>
      <c r="E30" s="608"/>
    </row>
    <row r="31" spans="1:5" ht="15.6">
      <c r="A31" s="606"/>
      <c r="B31" s="606"/>
      <c r="C31" s="609"/>
      <c r="D31" s="608"/>
      <c r="E31" s="608"/>
    </row>
    <row r="32" spans="1:5" ht="15.6">
      <c r="A32" s="606"/>
      <c r="B32" s="606"/>
      <c r="C32" s="648" t="s">
        <v>43</v>
      </c>
      <c r="D32" s="648"/>
      <c r="E32" s="648"/>
    </row>
    <row r="33" spans="1:5" ht="15">
      <c r="A33" s="606"/>
      <c r="B33" s="606"/>
      <c r="C33" s="610" t="s">
        <v>94</v>
      </c>
      <c r="D33" s="649"/>
      <c r="E33" s="649"/>
    </row>
    <row r="34" spans="1:5" ht="15">
      <c r="A34" s="611"/>
      <c r="B34" s="606"/>
      <c r="C34" s="602"/>
      <c r="D34" s="650"/>
      <c r="E34" s="650"/>
    </row>
    <row r="35" spans="1:5" ht="15">
      <c r="A35" s="606"/>
      <c r="B35" s="606"/>
      <c r="C35" s="610" t="s">
        <v>95</v>
      </c>
      <c r="D35" s="651"/>
      <c r="E35" s="651"/>
    </row>
    <row r="36" spans="1:5" ht="22.5" customHeight="1" thickBot="1">
      <c r="A36" s="606"/>
      <c r="B36" s="606"/>
      <c r="C36" s="219"/>
      <c r="D36" s="582"/>
      <c r="E36" s="582"/>
    </row>
    <row r="37" spans="1:5" ht="15.6">
      <c r="A37" s="612" t="s">
        <v>0</v>
      </c>
      <c r="B37" s="612" t="s">
        <v>44</v>
      </c>
      <c r="C37" s="607" t="s">
        <v>1</v>
      </c>
      <c r="D37" s="582" t="s">
        <v>45</v>
      </c>
      <c r="E37" s="582"/>
    </row>
    <row r="38" spans="1:5" ht="15">
      <c r="A38" s="219"/>
      <c r="B38" s="613"/>
      <c r="C38" s="219"/>
      <c r="D38" s="608"/>
      <c r="E38" s="608"/>
    </row>
    <row r="39" spans="1:5" ht="15.6">
      <c r="A39" s="219"/>
      <c r="B39" s="613"/>
      <c r="C39" s="607" t="s">
        <v>52</v>
      </c>
      <c r="D39" s="608">
        <f>D25</f>
        <v>3670380</v>
      </c>
      <c r="E39" s="608"/>
    </row>
    <row r="40" spans="1:5" ht="15">
      <c r="A40" s="219"/>
      <c r="B40" s="613"/>
      <c r="C40" s="219"/>
      <c r="D40" s="608"/>
      <c r="E40" s="608"/>
    </row>
    <row r="41" spans="1:5" ht="15">
      <c r="A41" s="219"/>
      <c r="B41" s="613"/>
      <c r="C41" s="219" t="s">
        <v>46</v>
      </c>
      <c r="D41" s="608"/>
      <c r="E41" s="608"/>
    </row>
    <row r="42" spans="1:5" ht="15.6">
      <c r="A42" s="219"/>
      <c r="B42" s="613"/>
      <c r="C42" s="607" t="s">
        <v>47</v>
      </c>
      <c r="D42" s="608"/>
      <c r="E42" s="608"/>
    </row>
    <row r="43" spans="1:5" ht="15.6">
      <c r="A43" s="584">
        <v>45988</v>
      </c>
      <c r="B43" s="591">
        <v>3655356</v>
      </c>
      <c r="C43" s="614" t="s">
        <v>4706</v>
      </c>
      <c r="D43" s="615">
        <v>500000</v>
      </c>
      <c r="E43" s="583"/>
    </row>
    <row r="44" spans="1:5" ht="15.6">
      <c r="A44" s="584"/>
      <c r="B44" s="591"/>
      <c r="C44" s="320"/>
      <c r="D44" s="586"/>
      <c r="E44" s="583"/>
    </row>
    <row r="45" spans="1:5" ht="15.6">
      <c r="A45" s="219"/>
      <c r="B45" s="616"/>
      <c r="C45" s="219"/>
      <c r="D45" s="608"/>
      <c r="E45" s="608"/>
    </row>
    <row r="46" spans="1:5" ht="15.6">
      <c r="A46" s="219"/>
      <c r="B46" s="613"/>
      <c r="C46" s="607" t="s">
        <v>4103</v>
      </c>
      <c r="D46" s="608"/>
      <c r="E46" s="608"/>
    </row>
    <row r="47" spans="1:5" ht="15.6">
      <c r="A47" s="584"/>
      <c r="B47" s="591"/>
      <c r="C47" s="589"/>
      <c r="D47" s="617"/>
      <c r="E47" s="608"/>
    </row>
    <row r="48" spans="1:5" ht="15">
      <c r="A48" s="322"/>
      <c r="B48" s="618"/>
      <c r="C48" s="219"/>
      <c r="D48" s="608"/>
      <c r="E48" s="608"/>
    </row>
    <row r="49" spans="1:5" ht="15">
      <c r="A49" s="322"/>
      <c r="B49" s="618"/>
      <c r="C49" s="219"/>
      <c r="D49" s="608"/>
      <c r="E49" s="608"/>
    </row>
    <row r="50" spans="1:5" ht="15">
      <c r="A50" s="619"/>
      <c r="B50" s="620"/>
      <c r="C50" s="219"/>
      <c r="D50" s="608"/>
      <c r="E50" s="608"/>
    </row>
    <row r="51" spans="1:5" ht="15.6" thickBot="1">
      <c r="A51" s="621"/>
      <c r="B51" s="622"/>
      <c r="C51" s="219"/>
      <c r="D51" s="608"/>
      <c r="E51" s="608"/>
    </row>
    <row r="52" spans="1:5" ht="16.2" thickBot="1">
      <c r="A52" s="623">
        <v>45991</v>
      </c>
      <c r="B52" s="624"/>
      <c r="C52" s="607" t="s">
        <v>4738</v>
      </c>
      <c r="D52" s="582">
        <f>SUM(D39:D51)</f>
        <v>4170380</v>
      </c>
      <c r="E52" s="625"/>
    </row>
    <row r="53" spans="1:5" ht="15.6">
      <c r="A53" s="606"/>
      <c r="B53" s="606"/>
      <c r="C53" s="219" t="s">
        <v>48</v>
      </c>
      <c r="D53" s="582">
        <v>4170380</v>
      </c>
      <c r="E53" s="626"/>
    </row>
    <row r="54" spans="1:5" ht="15">
      <c r="A54" s="606"/>
      <c r="B54" s="606"/>
      <c r="C54" s="219"/>
      <c r="D54" s="608"/>
      <c r="E54" s="608"/>
    </row>
    <row r="55" spans="1:5" ht="15.6">
      <c r="A55" s="606"/>
      <c r="B55" s="606"/>
      <c r="C55" s="607" t="s">
        <v>49</v>
      </c>
      <c r="D55" s="608">
        <f>D52-D53</f>
        <v>0</v>
      </c>
      <c r="E55" s="608"/>
    </row>
    <row r="56" spans="1:5" ht="15">
      <c r="A56" s="606"/>
      <c r="B56" s="606"/>
      <c r="C56" s="606" t="s">
        <v>50</v>
      </c>
      <c r="D56" s="627"/>
      <c r="E56" s="627"/>
    </row>
    <row r="57" spans="1:5" ht="15.6">
      <c r="A57" s="628" t="s">
        <v>53</v>
      </c>
      <c r="B57" s="628"/>
      <c r="C57" s="628"/>
      <c r="D57" s="628" t="s">
        <v>54</v>
      </c>
      <c r="E57" s="323"/>
    </row>
    <row r="58" spans="1:5" ht="15">
      <c r="A58" s="323"/>
      <c r="B58" s="323"/>
      <c r="C58" s="323"/>
      <c r="D58" s="323"/>
      <c r="E58" s="323"/>
    </row>
    <row r="59" spans="1:5" ht="17.399999999999999">
      <c r="A59" s="436"/>
      <c r="B59" s="436"/>
      <c r="C59" s="436"/>
      <c r="D59" s="436"/>
      <c r="E59" s="436"/>
    </row>
    <row r="60" spans="1:5" ht="17.399999999999999">
      <c r="A60" s="436"/>
      <c r="B60" s="436"/>
      <c r="C60" s="436"/>
      <c r="D60" s="436"/>
      <c r="E60" s="436"/>
    </row>
    <row r="61" spans="1:5" ht="17.399999999999999">
      <c r="A61" s="436"/>
      <c r="B61" s="436"/>
      <c r="C61" s="436"/>
      <c r="D61" s="436"/>
      <c r="E61" s="436"/>
    </row>
    <row r="62" spans="1:5" ht="18">
      <c r="A62" s="436"/>
      <c r="B62" s="436"/>
      <c r="C62" s="436"/>
      <c r="D62" s="436"/>
      <c r="E62" s="437"/>
    </row>
    <row r="63" spans="1:5" ht="14.4">
      <c r="E63" s="157"/>
    </row>
    <row r="64" spans="1:5" ht="14.4">
      <c r="E64" s="157"/>
    </row>
    <row r="65" spans="5:5" ht="14.4">
      <c r="E65" s="157"/>
    </row>
    <row r="66" spans="5:5" ht="14.4">
      <c r="E66" s="157"/>
    </row>
    <row r="67" spans="5:5" ht="14.4">
      <c r="E67" s="157"/>
    </row>
    <row r="68" spans="5:5">
      <c r="E68" s="158"/>
    </row>
  </sheetData>
  <autoFilter ref="A9:E23" xr:uid="{00000000-0009-0000-0000-000007000000}">
    <sortState xmlns:xlrd2="http://schemas.microsoft.com/office/spreadsheetml/2017/richdata2" ref="A10:E21">
      <sortCondition ref="A9:A21"/>
    </sortState>
  </autoFilter>
  <mergeCells count="5">
    <mergeCell ref="A7:E7"/>
    <mergeCell ref="C32:E32"/>
    <mergeCell ref="D33:E33"/>
    <mergeCell ref="D34:E34"/>
    <mergeCell ref="D35:E35"/>
  </mergeCells>
  <pageMargins left="0.7" right="0.7" top="0.78740157499999996" bottom="0.78740157499999996" header="0.3" footer="0.3"/>
  <pageSetup paperSize="9" scale="43" orientation="portrait" horizontalDpi="360" verticalDpi="36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Feuil9" filterMode="1"/>
  <dimension ref="A1:J160"/>
  <sheetViews>
    <sheetView topLeftCell="A104" zoomScale="90" zoomScaleNormal="90" workbookViewId="0">
      <selection activeCell="E160" sqref="E160"/>
    </sheetView>
  </sheetViews>
  <sheetFormatPr baseColWidth="10" defaultColWidth="8.69921875" defaultRowHeight="13.8"/>
  <cols>
    <col min="1" max="1" width="16.09765625" customWidth="1"/>
    <col min="2" max="2" width="77.09765625" customWidth="1"/>
    <col min="3" max="3" width="20.69921875" customWidth="1"/>
    <col min="4" max="4" width="19.3984375" customWidth="1"/>
    <col min="5" max="7" width="17.09765625" style="71" customWidth="1"/>
    <col min="8" max="9" width="17.09765625" customWidth="1"/>
    <col min="10" max="10" width="23.3984375" customWidth="1"/>
  </cols>
  <sheetData>
    <row r="1" spans="1:10" ht="14.4">
      <c r="A1" s="66" t="s">
        <v>0</v>
      </c>
      <c r="B1" s="67" t="s">
        <v>1</v>
      </c>
      <c r="C1" s="1" t="s">
        <v>2</v>
      </c>
      <c r="D1" s="1" t="s">
        <v>3</v>
      </c>
      <c r="E1" s="88" t="s">
        <v>29</v>
      </c>
      <c r="F1" s="89" t="s">
        <v>12</v>
      </c>
      <c r="G1" s="89" t="s">
        <v>30</v>
      </c>
      <c r="H1" s="68" t="s">
        <v>10</v>
      </c>
      <c r="I1" s="68" t="s">
        <v>6</v>
      </c>
      <c r="J1" s="98" t="s">
        <v>70</v>
      </c>
    </row>
    <row r="2" spans="1:10">
      <c r="A2" s="126">
        <v>45971</v>
      </c>
      <c r="B2" s="127" t="s">
        <v>4724</v>
      </c>
      <c r="C2" s="127"/>
      <c r="D2" s="127"/>
      <c r="E2" s="222"/>
      <c r="F2" s="223"/>
      <c r="G2" s="223">
        <v>396225</v>
      </c>
      <c r="H2" s="127"/>
      <c r="I2" s="127"/>
    </row>
    <row r="3" spans="1:10">
      <c r="A3" s="126">
        <v>45964</v>
      </c>
      <c r="B3" s="76" t="s">
        <v>198</v>
      </c>
      <c r="C3" s="125" t="s">
        <v>122</v>
      </c>
      <c r="D3" s="125"/>
      <c r="E3" s="215">
        <v>112000</v>
      </c>
      <c r="F3" s="441"/>
      <c r="G3" s="223">
        <f t="shared" ref="G3:G66" si="0">G2+F3-E3</f>
        <v>284225</v>
      </c>
      <c r="H3" s="403" t="s">
        <v>198</v>
      </c>
      <c r="I3" s="127" t="s">
        <v>4657</v>
      </c>
    </row>
    <row r="4" spans="1:10">
      <c r="A4" s="126">
        <v>45964</v>
      </c>
      <c r="B4" s="76" t="s">
        <v>191</v>
      </c>
      <c r="C4" s="125" t="s">
        <v>122</v>
      </c>
      <c r="D4" s="76"/>
      <c r="E4" s="215">
        <v>112000</v>
      </c>
      <c r="F4" s="216"/>
      <c r="G4" s="223">
        <f t="shared" si="0"/>
        <v>172225</v>
      </c>
      <c r="H4" s="91" t="s">
        <v>191</v>
      </c>
      <c r="I4" s="127" t="s">
        <v>4658</v>
      </c>
    </row>
    <row r="5" spans="1:10" hidden="1">
      <c r="A5" s="126">
        <v>45964</v>
      </c>
      <c r="B5" s="76" t="s">
        <v>4333</v>
      </c>
      <c r="C5" s="125" t="s">
        <v>172</v>
      </c>
      <c r="D5" s="76" t="s">
        <v>115</v>
      </c>
      <c r="E5" s="215">
        <v>12000</v>
      </c>
      <c r="F5" s="216"/>
      <c r="G5" s="223">
        <f t="shared" si="0"/>
        <v>160225</v>
      </c>
      <c r="H5" s="404" t="s">
        <v>188</v>
      </c>
      <c r="I5" s="127" t="s">
        <v>4360</v>
      </c>
    </row>
    <row r="6" spans="1:10" hidden="1">
      <c r="A6" s="126">
        <v>45964</v>
      </c>
      <c r="B6" s="76" t="s">
        <v>4334</v>
      </c>
      <c r="C6" s="125" t="s">
        <v>175</v>
      </c>
      <c r="D6" s="76" t="s">
        <v>115</v>
      </c>
      <c r="E6" s="215">
        <v>100000</v>
      </c>
      <c r="F6" s="216"/>
      <c r="G6" s="223">
        <f t="shared" si="0"/>
        <v>60225</v>
      </c>
      <c r="H6" s="91" t="s">
        <v>188</v>
      </c>
      <c r="I6" s="127" t="s">
        <v>4361</v>
      </c>
    </row>
    <row r="7" spans="1:10" hidden="1">
      <c r="A7" s="126">
        <v>45964</v>
      </c>
      <c r="B7" s="125" t="s">
        <v>4335</v>
      </c>
      <c r="C7" s="76" t="s">
        <v>180</v>
      </c>
      <c r="D7" s="76" t="s">
        <v>116</v>
      </c>
      <c r="E7" s="215">
        <v>10080</v>
      </c>
      <c r="F7" s="216"/>
      <c r="G7" s="223">
        <f t="shared" si="0"/>
        <v>50145</v>
      </c>
      <c r="H7" s="91" t="s">
        <v>188</v>
      </c>
      <c r="I7" s="127" t="s">
        <v>4362</v>
      </c>
    </row>
    <row r="8" spans="1:10" ht="15.6">
      <c r="A8" s="126">
        <v>45964</v>
      </c>
      <c r="B8" s="76" t="s">
        <v>4650</v>
      </c>
      <c r="C8" s="76" t="s">
        <v>122</v>
      </c>
      <c r="D8" s="319"/>
      <c r="E8" s="215"/>
      <c r="F8" s="216">
        <v>2000000</v>
      </c>
      <c r="G8" s="223">
        <f t="shared" si="0"/>
        <v>2050145</v>
      </c>
      <c r="H8" s="125" t="s">
        <v>146</v>
      </c>
      <c r="I8" s="127" t="s">
        <v>4659</v>
      </c>
    </row>
    <row r="9" spans="1:10" hidden="1">
      <c r="A9" s="126">
        <v>45964</v>
      </c>
      <c r="B9" s="76" t="s">
        <v>4651</v>
      </c>
      <c r="C9" s="125" t="s">
        <v>150</v>
      </c>
      <c r="D9" s="125" t="s">
        <v>116</v>
      </c>
      <c r="E9" s="215">
        <v>112500</v>
      </c>
      <c r="F9" s="216"/>
      <c r="G9" s="223">
        <f t="shared" si="0"/>
        <v>1937645</v>
      </c>
      <c r="H9" s="91" t="s">
        <v>4660</v>
      </c>
      <c r="I9" s="125" t="s">
        <v>1537</v>
      </c>
    </row>
    <row r="10" spans="1:10" hidden="1">
      <c r="A10" s="126">
        <v>45965</v>
      </c>
      <c r="B10" s="76" t="s">
        <v>3007</v>
      </c>
      <c r="C10" s="76" t="s">
        <v>170</v>
      </c>
      <c r="D10" s="76" t="s">
        <v>116</v>
      </c>
      <c r="E10" s="215">
        <v>62500</v>
      </c>
      <c r="F10" s="216"/>
      <c r="G10" s="223">
        <f t="shared" si="0"/>
        <v>1875145</v>
      </c>
      <c r="H10" s="76" t="s">
        <v>188</v>
      </c>
      <c r="I10" s="127" t="s">
        <v>4364</v>
      </c>
    </row>
    <row r="11" spans="1:10" hidden="1">
      <c r="A11" s="126">
        <v>45965</v>
      </c>
      <c r="B11" s="76" t="s">
        <v>816</v>
      </c>
      <c r="C11" s="125" t="s">
        <v>170</v>
      </c>
      <c r="D11" s="76" t="s">
        <v>116</v>
      </c>
      <c r="E11" s="215">
        <v>27000</v>
      </c>
      <c r="F11" s="216"/>
      <c r="G11" s="223">
        <f t="shared" si="0"/>
        <v>1848145</v>
      </c>
      <c r="H11" s="404" t="s">
        <v>581</v>
      </c>
      <c r="I11" s="127" t="s">
        <v>4215</v>
      </c>
    </row>
    <row r="12" spans="1:10" ht="15.6" hidden="1">
      <c r="A12" s="126">
        <v>45965</v>
      </c>
      <c r="B12" s="177" t="s">
        <v>4466</v>
      </c>
      <c r="C12" s="125" t="s">
        <v>2092</v>
      </c>
      <c r="D12" s="125" t="s">
        <v>118</v>
      </c>
      <c r="E12" s="216">
        <v>6000</v>
      </c>
      <c r="F12" s="216"/>
      <c r="G12" s="223">
        <f t="shared" si="0"/>
        <v>1842145</v>
      </c>
      <c r="H12" s="403" t="s">
        <v>211</v>
      </c>
      <c r="I12" s="125" t="s">
        <v>4562</v>
      </c>
    </row>
    <row r="13" spans="1:10" ht="15.6" hidden="1">
      <c r="A13" s="126">
        <v>45965</v>
      </c>
      <c r="B13" s="177" t="s">
        <v>4467</v>
      </c>
      <c r="C13" s="125" t="s">
        <v>2092</v>
      </c>
      <c r="D13" s="125" t="s">
        <v>118</v>
      </c>
      <c r="E13" s="216">
        <v>6000</v>
      </c>
      <c r="F13" s="216"/>
      <c r="G13" s="223">
        <f t="shared" si="0"/>
        <v>1836145</v>
      </c>
      <c r="H13" s="403" t="s">
        <v>211</v>
      </c>
      <c r="I13" s="125" t="s">
        <v>4562</v>
      </c>
    </row>
    <row r="14" spans="1:10" ht="15.6" hidden="1">
      <c r="A14" s="126">
        <v>45965</v>
      </c>
      <c r="B14" s="177" t="s">
        <v>4468</v>
      </c>
      <c r="C14" s="125" t="s">
        <v>2092</v>
      </c>
      <c r="D14" s="125" t="s">
        <v>118</v>
      </c>
      <c r="E14" s="216">
        <v>6000</v>
      </c>
      <c r="F14" s="216"/>
      <c r="G14" s="223">
        <f t="shared" si="0"/>
        <v>1830145</v>
      </c>
      <c r="H14" s="403" t="s">
        <v>211</v>
      </c>
      <c r="I14" s="125" t="s">
        <v>4562</v>
      </c>
    </row>
    <row r="15" spans="1:10" ht="15.6" hidden="1">
      <c r="A15" s="126">
        <v>45965</v>
      </c>
      <c r="B15" s="177" t="s">
        <v>4469</v>
      </c>
      <c r="C15" s="125" t="s">
        <v>2092</v>
      </c>
      <c r="D15" s="125" t="s">
        <v>118</v>
      </c>
      <c r="E15" s="216">
        <v>6000</v>
      </c>
      <c r="F15" s="216"/>
      <c r="G15" s="223">
        <f t="shared" si="0"/>
        <v>1824145</v>
      </c>
      <c r="H15" s="403" t="s">
        <v>211</v>
      </c>
      <c r="I15" s="125" t="s">
        <v>4562</v>
      </c>
    </row>
    <row r="16" spans="1:10" ht="15.6" hidden="1">
      <c r="A16" s="126">
        <v>45965</v>
      </c>
      <c r="B16" s="177" t="s">
        <v>4470</v>
      </c>
      <c r="C16" s="125" t="s">
        <v>2092</v>
      </c>
      <c r="D16" s="125" t="s">
        <v>118</v>
      </c>
      <c r="E16" s="216">
        <v>6000</v>
      </c>
      <c r="F16" s="216"/>
      <c r="G16" s="223">
        <f t="shared" si="0"/>
        <v>1818145</v>
      </c>
      <c r="H16" s="403" t="s">
        <v>211</v>
      </c>
      <c r="I16" s="125" t="s">
        <v>4562</v>
      </c>
    </row>
    <row r="17" spans="1:9" ht="15.6" hidden="1">
      <c r="A17" s="126">
        <v>45965</v>
      </c>
      <c r="B17" s="177" t="s">
        <v>4471</v>
      </c>
      <c r="C17" s="125" t="s">
        <v>2092</v>
      </c>
      <c r="D17" s="125" t="s">
        <v>118</v>
      </c>
      <c r="E17" s="216">
        <v>6000</v>
      </c>
      <c r="F17" s="216"/>
      <c r="G17" s="223">
        <f t="shared" si="0"/>
        <v>1812145</v>
      </c>
      <c r="H17" s="403" t="s">
        <v>211</v>
      </c>
      <c r="I17" s="125" t="s">
        <v>4562</v>
      </c>
    </row>
    <row r="18" spans="1:9" ht="15.6" hidden="1">
      <c r="A18" s="126">
        <v>45965</v>
      </c>
      <c r="B18" s="177" t="s">
        <v>4472</v>
      </c>
      <c r="C18" s="125" t="s">
        <v>2092</v>
      </c>
      <c r="D18" s="125" t="s">
        <v>118</v>
      </c>
      <c r="E18" s="216">
        <v>6000</v>
      </c>
      <c r="F18" s="216"/>
      <c r="G18" s="223">
        <f t="shared" si="0"/>
        <v>1806145</v>
      </c>
      <c r="H18" s="403" t="s">
        <v>211</v>
      </c>
      <c r="I18" s="125" t="s">
        <v>4562</v>
      </c>
    </row>
    <row r="19" spans="1:9" ht="15.6" hidden="1">
      <c r="A19" s="126">
        <v>45965</v>
      </c>
      <c r="B19" s="177" t="s">
        <v>4473</v>
      </c>
      <c r="C19" s="125" t="s">
        <v>2092</v>
      </c>
      <c r="D19" s="125" t="s">
        <v>118</v>
      </c>
      <c r="E19" s="216">
        <v>6000</v>
      </c>
      <c r="F19" s="216"/>
      <c r="G19" s="223">
        <f t="shared" si="0"/>
        <v>1800145</v>
      </c>
      <c r="H19" s="403" t="s">
        <v>211</v>
      </c>
      <c r="I19" s="125" t="s">
        <v>4562</v>
      </c>
    </row>
    <row r="20" spans="1:9" ht="15.6" hidden="1">
      <c r="A20" s="126">
        <v>45965</v>
      </c>
      <c r="B20" s="177" t="s">
        <v>4474</v>
      </c>
      <c r="C20" s="125" t="s">
        <v>2092</v>
      </c>
      <c r="D20" s="125" t="s">
        <v>118</v>
      </c>
      <c r="E20" s="216">
        <v>6000</v>
      </c>
      <c r="F20" s="216"/>
      <c r="G20" s="223">
        <f t="shared" si="0"/>
        <v>1794145</v>
      </c>
      <c r="H20" s="403" t="s">
        <v>211</v>
      </c>
      <c r="I20" s="125" t="s">
        <v>4562</v>
      </c>
    </row>
    <row r="21" spans="1:9" ht="15.6" hidden="1">
      <c r="A21" s="126">
        <v>45965</v>
      </c>
      <c r="B21" s="177" t="s">
        <v>4475</v>
      </c>
      <c r="C21" s="125" t="s">
        <v>2092</v>
      </c>
      <c r="D21" s="125" t="s">
        <v>118</v>
      </c>
      <c r="E21" s="216">
        <v>6000</v>
      </c>
      <c r="F21" s="216"/>
      <c r="G21" s="223">
        <f t="shared" si="0"/>
        <v>1788145</v>
      </c>
      <c r="H21" s="403" t="s">
        <v>211</v>
      </c>
      <c r="I21" s="125" t="s">
        <v>4562</v>
      </c>
    </row>
    <row r="22" spans="1:9" ht="15.6" hidden="1">
      <c r="A22" s="126">
        <v>45965</v>
      </c>
      <c r="B22" s="177" t="s">
        <v>4476</v>
      </c>
      <c r="C22" s="125" t="s">
        <v>2092</v>
      </c>
      <c r="D22" s="125" t="s">
        <v>118</v>
      </c>
      <c r="E22" s="216">
        <v>6000</v>
      </c>
      <c r="F22" s="216"/>
      <c r="G22" s="223">
        <f t="shared" si="0"/>
        <v>1782145</v>
      </c>
      <c r="H22" s="403" t="s">
        <v>211</v>
      </c>
      <c r="I22" s="125" t="s">
        <v>4562</v>
      </c>
    </row>
    <row r="23" spans="1:9" ht="15.6" hidden="1">
      <c r="A23" s="126">
        <v>45965</v>
      </c>
      <c r="B23" s="177" t="s">
        <v>4477</v>
      </c>
      <c r="C23" s="125" t="s">
        <v>2092</v>
      </c>
      <c r="D23" s="125" t="s">
        <v>118</v>
      </c>
      <c r="E23" s="216">
        <v>6000</v>
      </c>
      <c r="F23" s="216"/>
      <c r="G23" s="223">
        <f t="shared" si="0"/>
        <v>1776145</v>
      </c>
      <c r="H23" s="403" t="s">
        <v>211</v>
      </c>
      <c r="I23" s="125" t="s">
        <v>4562</v>
      </c>
    </row>
    <row r="24" spans="1:9" ht="15.6" hidden="1">
      <c r="A24" s="126">
        <v>45965</v>
      </c>
      <c r="B24" s="177" t="s">
        <v>4478</v>
      </c>
      <c r="C24" s="125" t="s">
        <v>2092</v>
      </c>
      <c r="D24" s="125" t="s">
        <v>118</v>
      </c>
      <c r="E24" s="216">
        <v>6000</v>
      </c>
      <c r="F24" s="216"/>
      <c r="G24" s="223">
        <f t="shared" si="0"/>
        <v>1770145</v>
      </c>
      <c r="H24" s="403" t="s">
        <v>211</v>
      </c>
      <c r="I24" s="125" t="s">
        <v>4562</v>
      </c>
    </row>
    <row r="25" spans="1:9" ht="15.6" hidden="1">
      <c r="A25" s="126">
        <v>45965</v>
      </c>
      <c r="B25" s="177" t="s">
        <v>4479</v>
      </c>
      <c r="C25" s="125" t="s">
        <v>2092</v>
      </c>
      <c r="D25" s="125" t="s">
        <v>118</v>
      </c>
      <c r="E25" s="216">
        <v>6000</v>
      </c>
      <c r="F25" s="216"/>
      <c r="G25" s="223">
        <f t="shared" si="0"/>
        <v>1764145</v>
      </c>
      <c r="H25" s="403" t="s">
        <v>211</v>
      </c>
      <c r="I25" s="125" t="s">
        <v>4562</v>
      </c>
    </row>
    <row r="26" spans="1:9" hidden="1">
      <c r="A26" s="126">
        <v>45965</v>
      </c>
      <c r="B26" s="125" t="s">
        <v>4480</v>
      </c>
      <c r="C26" s="125" t="s">
        <v>2092</v>
      </c>
      <c r="D26" s="125" t="s">
        <v>118</v>
      </c>
      <c r="E26" s="216">
        <v>10000</v>
      </c>
      <c r="F26" s="216"/>
      <c r="G26" s="223">
        <f t="shared" si="0"/>
        <v>1754145</v>
      </c>
      <c r="H26" s="403" t="s">
        <v>211</v>
      </c>
      <c r="I26" s="125" t="s">
        <v>4563</v>
      </c>
    </row>
    <row r="27" spans="1:9" hidden="1">
      <c r="A27" s="126">
        <v>45965</v>
      </c>
      <c r="B27" s="125" t="s">
        <v>4481</v>
      </c>
      <c r="C27" s="125" t="s">
        <v>2092</v>
      </c>
      <c r="D27" s="125" t="s">
        <v>118</v>
      </c>
      <c r="E27" s="216">
        <v>10000</v>
      </c>
      <c r="F27" s="216"/>
      <c r="G27" s="223">
        <f t="shared" si="0"/>
        <v>1744145</v>
      </c>
      <c r="H27" s="403" t="s">
        <v>211</v>
      </c>
      <c r="I27" s="125" t="s">
        <v>4563</v>
      </c>
    </row>
    <row r="28" spans="1:9" hidden="1">
      <c r="A28" s="126">
        <v>45965</v>
      </c>
      <c r="B28" s="125" t="s">
        <v>4482</v>
      </c>
      <c r="C28" s="125" t="s">
        <v>2092</v>
      </c>
      <c r="D28" s="125" t="s">
        <v>118</v>
      </c>
      <c r="E28" s="216">
        <v>10000</v>
      </c>
      <c r="F28" s="216"/>
      <c r="G28" s="223">
        <f t="shared" si="0"/>
        <v>1734145</v>
      </c>
      <c r="H28" s="403" t="s">
        <v>211</v>
      </c>
      <c r="I28" s="125" t="s">
        <v>4563</v>
      </c>
    </row>
    <row r="29" spans="1:9" hidden="1">
      <c r="A29" s="126">
        <v>45965</v>
      </c>
      <c r="B29" s="125" t="s">
        <v>4483</v>
      </c>
      <c r="C29" s="125" t="s">
        <v>2092</v>
      </c>
      <c r="D29" s="125" t="s">
        <v>118</v>
      </c>
      <c r="E29" s="216">
        <v>6000</v>
      </c>
      <c r="F29" s="216"/>
      <c r="G29" s="223">
        <f t="shared" si="0"/>
        <v>1728145</v>
      </c>
      <c r="H29" s="403" t="s">
        <v>211</v>
      </c>
      <c r="I29" s="125" t="s">
        <v>4564</v>
      </c>
    </row>
    <row r="30" spans="1:9" hidden="1">
      <c r="A30" s="126">
        <v>45965</v>
      </c>
      <c r="B30" s="125" t="s">
        <v>4484</v>
      </c>
      <c r="C30" s="125" t="s">
        <v>2092</v>
      </c>
      <c r="D30" s="125" t="s">
        <v>118</v>
      </c>
      <c r="E30" s="216">
        <v>6000</v>
      </c>
      <c r="F30" s="216"/>
      <c r="G30" s="223">
        <f t="shared" si="0"/>
        <v>1722145</v>
      </c>
      <c r="H30" s="403" t="s">
        <v>211</v>
      </c>
      <c r="I30" s="125" t="s">
        <v>4564</v>
      </c>
    </row>
    <row r="31" spans="1:9" hidden="1">
      <c r="A31" s="126">
        <v>45965</v>
      </c>
      <c r="B31" s="125" t="s">
        <v>4485</v>
      </c>
      <c r="C31" s="125" t="s">
        <v>2092</v>
      </c>
      <c r="D31" s="125" t="s">
        <v>118</v>
      </c>
      <c r="E31" s="216">
        <v>6000</v>
      </c>
      <c r="F31" s="216"/>
      <c r="G31" s="223">
        <f t="shared" si="0"/>
        <v>1716145</v>
      </c>
      <c r="H31" s="403" t="s">
        <v>211</v>
      </c>
      <c r="I31" s="125" t="s">
        <v>4564</v>
      </c>
    </row>
    <row r="32" spans="1:9" hidden="1">
      <c r="A32" s="126">
        <v>45965</v>
      </c>
      <c r="B32" s="125" t="s">
        <v>4486</v>
      </c>
      <c r="C32" s="125" t="s">
        <v>2092</v>
      </c>
      <c r="D32" s="125" t="s">
        <v>118</v>
      </c>
      <c r="E32" s="216">
        <v>6000</v>
      </c>
      <c r="F32" s="216"/>
      <c r="G32" s="223">
        <f t="shared" si="0"/>
        <v>1710145</v>
      </c>
      <c r="H32" s="403" t="s">
        <v>211</v>
      </c>
      <c r="I32" s="125" t="s">
        <v>4564</v>
      </c>
    </row>
    <row r="33" spans="1:9">
      <c r="A33" s="126">
        <v>45965</v>
      </c>
      <c r="B33" s="76" t="s">
        <v>211</v>
      </c>
      <c r="C33" s="76" t="s">
        <v>122</v>
      </c>
      <c r="D33" s="76"/>
      <c r="E33" s="215">
        <v>20000</v>
      </c>
      <c r="F33" s="216"/>
      <c r="G33" s="223">
        <f t="shared" si="0"/>
        <v>1690145</v>
      </c>
      <c r="H33" s="76" t="s">
        <v>211</v>
      </c>
      <c r="I33" s="127" t="s">
        <v>4661</v>
      </c>
    </row>
    <row r="34" spans="1:9">
      <c r="A34" s="126">
        <v>45965</v>
      </c>
      <c r="B34" s="125" t="s">
        <v>151</v>
      </c>
      <c r="C34" s="125" t="s">
        <v>122</v>
      </c>
      <c r="D34" s="125"/>
      <c r="E34" s="215">
        <v>175000</v>
      </c>
      <c r="F34" s="216"/>
      <c r="G34" s="223">
        <f t="shared" si="0"/>
        <v>1515145</v>
      </c>
      <c r="H34" s="76" t="s">
        <v>151</v>
      </c>
      <c r="I34" s="127" t="s">
        <v>4662</v>
      </c>
    </row>
    <row r="35" spans="1:9" hidden="1">
      <c r="A35" s="126">
        <v>45966</v>
      </c>
      <c r="B35" s="125" t="s">
        <v>4165</v>
      </c>
      <c r="C35" s="125" t="s">
        <v>170</v>
      </c>
      <c r="D35" s="125" t="s">
        <v>116</v>
      </c>
      <c r="E35" s="215">
        <v>25000</v>
      </c>
      <c r="F35" s="216"/>
      <c r="G35" s="223">
        <f t="shared" si="0"/>
        <v>1490145</v>
      </c>
      <c r="H35" s="125" t="s">
        <v>581</v>
      </c>
      <c r="I35" s="127" t="s">
        <v>4216</v>
      </c>
    </row>
    <row r="36" spans="1:9" hidden="1">
      <c r="A36" s="126">
        <v>45966</v>
      </c>
      <c r="B36" s="125" t="s">
        <v>4166</v>
      </c>
      <c r="C36" s="125" t="s">
        <v>170</v>
      </c>
      <c r="D36" s="125" t="s">
        <v>116</v>
      </c>
      <c r="E36" s="215">
        <v>3500</v>
      </c>
      <c r="F36" s="216"/>
      <c r="G36" s="223">
        <f t="shared" si="0"/>
        <v>1486645</v>
      </c>
      <c r="H36" s="125" t="s">
        <v>581</v>
      </c>
      <c r="I36" s="127" t="s">
        <v>4216</v>
      </c>
    </row>
    <row r="37" spans="1:9" hidden="1">
      <c r="A37" s="126">
        <v>45966</v>
      </c>
      <c r="B37" s="125" t="s">
        <v>4167</v>
      </c>
      <c r="C37" s="125" t="s">
        <v>170</v>
      </c>
      <c r="D37" s="125" t="s">
        <v>116</v>
      </c>
      <c r="E37" s="215">
        <v>34000</v>
      </c>
      <c r="F37" s="216"/>
      <c r="G37" s="223">
        <f t="shared" si="0"/>
        <v>1452645</v>
      </c>
      <c r="H37" s="125" t="s">
        <v>581</v>
      </c>
      <c r="I37" s="127" t="s">
        <v>4216</v>
      </c>
    </row>
    <row r="38" spans="1:9" hidden="1">
      <c r="A38" s="126">
        <v>45966</v>
      </c>
      <c r="B38" s="125" t="s">
        <v>4168</v>
      </c>
      <c r="C38" s="125" t="s">
        <v>170</v>
      </c>
      <c r="D38" s="125" t="s">
        <v>116</v>
      </c>
      <c r="E38" s="215">
        <v>7500</v>
      </c>
      <c r="F38" s="216"/>
      <c r="G38" s="223">
        <f t="shared" si="0"/>
        <v>1445145</v>
      </c>
      <c r="H38" s="125" t="s">
        <v>581</v>
      </c>
      <c r="I38" s="127" t="s">
        <v>4216</v>
      </c>
    </row>
    <row r="39" spans="1:9" hidden="1">
      <c r="A39" s="126">
        <v>45966</v>
      </c>
      <c r="B39" s="125" t="s">
        <v>4169</v>
      </c>
      <c r="C39" s="125" t="s">
        <v>170</v>
      </c>
      <c r="D39" s="125" t="s">
        <v>116</v>
      </c>
      <c r="E39" s="215">
        <v>1000</v>
      </c>
      <c r="F39" s="216"/>
      <c r="G39" s="223">
        <f t="shared" si="0"/>
        <v>1444145</v>
      </c>
      <c r="H39" s="125" t="s">
        <v>581</v>
      </c>
      <c r="I39" s="127" t="s">
        <v>4216</v>
      </c>
    </row>
    <row r="40" spans="1:9" hidden="1">
      <c r="A40" s="126">
        <v>45966</v>
      </c>
      <c r="B40" s="125" t="s">
        <v>4170</v>
      </c>
      <c r="C40" s="125" t="s">
        <v>170</v>
      </c>
      <c r="D40" s="125" t="s">
        <v>116</v>
      </c>
      <c r="E40" s="215">
        <v>5000</v>
      </c>
      <c r="F40" s="216"/>
      <c r="G40" s="223">
        <f t="shared" si="0"/>
        <v>1439145</v>
      </c>
      <c r="H40" s="125" t="s">
        <v>581</v>
      </c>
      <c r="I40" s="127" t="s">
        <v>4216</v>
      </c>
    </row>
    <row r="41" spans="1:9" hidden="1">
      <c r="A41" s="126">
        <v>45966</v>
      </c>
      <c r="B41" s="125" t="s">
        <v>4171</v>
      </c>
      <c r="C41" s="125" t="s">
        <v>170</v>
      </c>
      <c r="D41" s="125" t="s">
        <v>116</v>
      </c>
      <c r="E41" s="215">
        <v>5000</v>
      </c>
      <c r="F41" s="216"/>
      <c r="G41" s="223">
        <f t="shared" si="0"/>
        <v>1434145</v>
      </c>
      <c r="H41" s="125" t="s">
        <v>581</v>
      </c>
      <c r="I41" s="127" t="s">
        <v>4216</v>
      </c>
    </row>
    <row r="42" spans="1:9" hidden="1">
      <c r="A42" s="126">
        <v>45966</v>
      </c>
      <c r="B42" s="125" t="s">
        <v>4172</v>
      </c>
      <c r="C42" s="125" t="s">
        <v>170</v>
      </c>
      <c r="D42" s="125" t="s">
        <v>116</v>
      </c>
      <c r="E42" s="215">
        <v>1000</v>
      </c>
      <c r="F42" s="216"/>
      <c r="G42" s="223">
        <f t="shared" si="0"/>
        <v>1433145</v>
      </c>
      <c r="H42" s="125" t="s">
        <v>581</v>
      </c>
      <c r="I42" s="127" t="s">
        <v>4216</v>
      </c>
    </row>
    <row r="43" spans="1:9" hidden="1">
      <c r="A43" s="126">
        <v>45966</v>
      </c>
      <c r="B43" s="125" t="s">
        <v>4173</v>
      </c>
      <c r="C43" s="125" t="s">
        <v>170</v>
      </c>
      <c r="D43" s="125" t="s">
        <v>116</v>
      </c>
      <c r="E43" s="215">
        <v>3500</v>
      </c>
      <c r="F43" s="216"/>
      <c r="G43" s="223">
        <f t="shared" si="0"/>
        <v>1429645</v>
      </c>
      <c r="H43" s="125" t="s">
        <v>581</v>
      </c>
      <c r="I43" s="127" t="s">
        <v>4216</v>
      </c>
    </row>
    <row r="44" spans="1:9" hidden="1">
      <c r="A44" s="126">
        <v>45966</v>
      </c>
      <c r="B44" s="125" t="s">
        <v>4339</v>
      </c>
      <c r="C44" s="76" t="s">
        <v>263</v>
      </c>
      <c r="D44" s="76" t="s">
        <v>2417</v>
      </c>
      <c r="E44" s="215">
        <v>25000</v>
      </c>
      <c r="F44" s="216"/>
      <c r="G44" s="223">
        <f t="shared" si="0"/>
        <v>1404645</v>
      </c>
      <c r="H44" s="76" t="s">
        <v>211</v>
      </c>
      <c r="I44" s="125" t="s">
        <v>4565</v>
      </c>
    </row>
    <row r="45" spans="1:9" hidden="1">
      <c r="A45" s="126">
        <v>45966</v>
      </c>
      <c r="B45" s="125" t="s">
        <v>4339</v>
      </c>
      <c r="C45" s="76" t="s">
        <v>263</v>
      </c>
      <c r="D45" s="76" t="s">
        <v>2417</v>
      </c>
      <c r="E45" s="215">
        <v>25000</v>
      </c>
      <c r="F45" s="216"/>
      <c r="G45" s="223">
        <f t="shared" si="0"/>
        <v>1379645</v>
      </c>
      <c r="H45" s="404" t="s">
        <v>188</v>
      </c>
      <c r="I45" s="125" t="s">
        <v>4365</v>
      </c>
    </row>
    <row r="46" spans="1:9">
      <c r="A46" s="126">
        <v>45967</v>
      </c>
      <c r="B46" s="76" t="s">
        <v>321</v>
      </c>
      <c r="C46" s="125" t="s">
        <v>122</v>
      </c>
      <c r="D46" s="76"/>
      <c r="E46" s="215">
        <v>20000</v>
      </c>
      <c r="F46" s="216"/>
      <c r="G46" s="223">
        <f t="shared" si="0"/>
        <v>1359645</v>
      </c>
      <c r="H46" s="404" t="s">
        <v>321</v>
      </c>
      <c r="I46" s="127" t="s">
        <v>4663</v>
      </c>
    </row>
    <row r="47" spans="1:9" hidden="1">
      <c r="A47" s="126">
        <v>45967</v>
      </c>
      <c r="B47" s="125" t="s">
        <v>4177</v>
      </c>
      <c r="C47" s="125" t="s">
        <v>170</v>
      </c>
      <c r="D47" s="125" t="s">
        <v>116</v>
      </c>
      <c r="E47" s="215">
        <v>11000</v>
      </c>
      <c r="F47" s="216"/>
      <c r="G47" s="223">
        <f t="shared" si="0"/>
        <v>1348645</v>
      </c>
      <c r="H47" s="403" t="s">
        <v>581</v>
      </c>
      <c r="I47" s="127" t="s">
        <v>4217</v>
      </c>
    </row>
    <row r="48" spans="1:9" hidden="1">
      <c r="A48" s="126">
        <v>45967</v>
      </c>
      <c r="B48" s="125" t="s">
        <v>4178</v>
      </c>
      <c r="C48" s="125" t="s">
        <v>170</v>
      </c>
      <c r="D48" s="125" t="s">
        <v>116</v>
      </c>
      <c r="E48" s="215">
        <v>5000</v>
      </c>
      <c r="F48" s="216"/>
      <c r="G48" s="223">
        <f t="shared" si="0"/>
        <v>1343645</v>
      </c>
      <c r="H48" s="403" t="s">
        <v>581</v>
      </c>
      <c r="I48" s="127" t="s">
        <v>4217</v>
      </c>
    </row>
    <row r="49" spans="1:9" hidden="1">
      <c r="A49" s="126">
        <v>45967</v>
      </c>
      <c r="B49" s="125" t="s">
        <v>4179</v>
      </c>
      <c r="C49" s="125" t="s">
        <v>170</v>
      </c>
      <c r="D49" s="125" t="s">
        <v>116</v>
      </c>
      <c r="E49" s="215">
        <v>2750</v>
      </c>
      <c r="F49" s="216"/>
      <c r="G49" s="223">
        <f t="shared" si="0"/>
        <v>1340895</v>
      </c>
      <c r="H49" s="403" t="s">
        <v>581</v>
      </c>
      <c r="I49" s="127" t="s">
        <v>4217</v>
      </c>
    </row>
    <row r="50" spans="1:9" hidden="1">
      <c r="A50" s="126">
        <v>45967</v>
      </c>
      <c r="B50" s="125" t="s">
        <v>4180</v>
      </c>
      <c r="C50" s="125" t="s">
        <v>170</v>
      </c>
      <c r="D50" s="125" t="s">
        <v>116</v>
      </c>
      <c r="E50" s="215">
        <v>11700</v>
      </c>
      <c r="F50" s="216"/>
      <c r="G50" s="223">
        <f t="shared" si="0"/>
        <v>1329195</v>
      </c>
      <c r="H50" s="403" t="s">
        <v>581</v>
      </c>
      <c r="I50" s="127" t="s">
        <v>4217</v>
      </c>
    </row>
    <row r="51" spans="1:9" hidden="1">
      <c r="A51" s="126">
        <v>45967</v>
      </c>
      <c r="B51" s="125" t="s">
        <v>4181</v>
      </c>
      <c r="C51" s="125" t="s">
        <v>170</v>
      </c>
      <c r="D51" s="125" t="s">
        <v>116</v>
      </c>
      <c r="E51" s="215">
        <v>4000</v>
      </c>
      <c r="F51" s="216"/>
      <c r="G51" s="223">
        <f t="shared" si="0"/>
        <v>1325195</v>
      </c>
      <c r="H51" s="403" t="s">
        <v>581</v>
      </c>
      <c r="I51" s="127" t="s">
        <v>4217</v>
      </c>
    </row>
    <row r="52" spans="1:9" hidden="1">
      <c r="A52" s="126">
        <v>45967</v>
      </c>
      <c r="B52" s="125" t="s">
        <v>4182</v>
      </c>
      <c r="C52" s="125" t="s">
        <v>170</v>
      </c>
      <c r="D52" s="125" t="s">
        <v>116</v>
      </c>
      <c r="E52" s="215">
        <v>3000</v>
      </c>
      <c r="F52" s="216"/>
      <c r="G52" s="223">
        <f t="shared" si="0"/>
        <v>1322195</v>
      </c>
      <c r="H52" s="403" t="s">
        <v>581</v>
      </c>
      <c r="I52" s="127" t="s">
        <v>4217</v>
      </c>
    </row>
    <row r="53" spans="1:9" hidden="1">
      <c r="A53" s="126">
        <v>45967</v>
      </c>
      <c r="B53" s="125" t="s">
        <v>4183</v>
      </c>
      <c r="C53" s="125" t="s">
        <v>170</v>
      </c>
      <c r="D53" s="125" t="s">
        <v>116</v>
      </c>
      <c r="E53" s="215">
        <v>2750</v>
      </c>
      <c r="F53" s="216"/>
      <c r="G53" s="223">
        <f t="shared" si="0"/>
        <v>1319445</v>
      </c>
      <c r="H53" s="403" t="s">
        <v>581</v>
      </c>
      <c r="I53" s="127" t="s">
        <v>4217</v>
      </c>
    </row>
    <row r="54" spans="1:9" hidden="1">
      <c r="A54" s="126">
        <v>45967</v>
      </c>
      <c r="B54" s="125" t="s">
        <v>4184</v>
      </c>
      <c r="C54" s="125" t="s">
        <v>170</v>
      </c>
      <c r="D54" s="125" t="s">
        <v>116</v>
      </c>
      <c r="E54" s="215">
        <v>1500</v>
      </c>
      <c r="F54" s="216"/>
      <c r="G54" s="223">
        <f t="shared" si="0"/>
        <v>1317945</v>
      </c>
      <c r="H54" s="403" t="s">
        <v>581</v>
      </c>
      <c r="I54" s="127" t="s">
        <v>4217</v>
      </c>
    </row>
    <row r="55" spans="1:9" hidden="1">
      <c r="A55" s="126">
        <v>45967</v>
      </c>
      <c r="B55" s="125" t="s">
        <v>4185</v>
      </c>
      <c r="C55" s="125" t="s">
        <v>170</v>
      </c>
      <c r="D55" s="125" t="s">
        <v>116</v>
      </c>
      <c r="E55" s="215">
        <v>2000</v>
      </c>
      <c r="F55" s="216"/>
      <c r="G55" s="223">
        <f t="shared" si="0"/>
        <v>1315945</v>
      </c>
      <c r="H55" s="403" t="s">
        <v>581</v>
      </c>
      <c r="I55" s="127" t="s">
        <v>4217</v>
      </c>
    </row>
    <row r="56" spans="1:9" hidden="1">
      <c r="A56" s="126">
        <v>45967</v>
      </c>
      <c r="B56" s="125" t="s">
        <v>4186</v>
      </c>
      <c r="C56" s="125" t="s">
        <v>170</v>
      </c>
      <c r="D56" s="125" t="s">
        <v>116</v>
      </c>
      <c r="E56" s="215">
        <v>3700</v>
      </c>
      <c r="F56" s="216"/>
      <c r="G56" s="223">
        <f t="shared" si="0"/>
        <v>1312245</v>
      </c>
      <c r="H56" s="403" t="s">
        <v>581</v>
      </c>
      <c r="I56" s="127" t="s">
        <v>4217</v>
      </c>
    </row>
    <row r="57" spans="1:9" hidden="1">
      <c r="A57" s="126">
        <v>45967</v>
      </c>
      <c r="B57" s="125" t="s">
        <v>4187</v>
      </c>
      <c r="C57" s="125" t="s">
        <v>170</v>
      </c>
      <c r="D57" s="125" t="s">
        <v>116</v>
      </c>
      <c r="E57" s="215">
        <v>3750</v>
      </c>
      <c r="F57" s="216"/>
      <c r="G57" s="223">
        <f t="shared" si="0"/>
        <v>1308495</v>
      </c>
      <c r="H57" s="403" t="s">
        <v>581</v>
      </c>
      <c r="I57" s="127" t="s">
        <v>4217</v>
      </c>
    </row>
    <row r="58" spans="1:9" hidden="1">
      <c r="A58" s="126">
        <v>45967</v>
      </c>
      <c r="B58" s="125" t="s">
        <v>4188</v>
      </c>
      <c r="C58" s="125" t="s">
        <v>170</v>
      </c>
      <c r="D58" s="125" t="s">
        <v>116</v>
      </c>
      <c r="E58" s="215">
        <v>8750</v>
      </c>
      <c r="F58" s="216"/>
      <c r="G58" s="223">
        <f t="shared" si="0"/>
        <v>1299745</v>
      </c>
      <c r="H58" s="403" t="s">
        <v>581</v>
      </c>
      <c r="I58" s="127" t="s">
        <v>4217</v>
      </c>
    </row>
    <row r="59" spans="1:9" hidden="1">
      <c r="A59" s="126">
        <v>45967</v>
      </c>
      <c r="B59" s="125" t="s">
        <v>4189</v>
      </c>
      <c r="C59" s="125" t="s">
        <v>170</v>
      </c>
      <c r="D59" s="125" t="s">
        <v>116</v>
      </c>
      <c r="E59" s="215">
        <v>1750</v>
      </c>
      <c r="F59" s="216"/>
      <c r="G59" s="223">
        <f t="shared" si="0"/>
        <v>1297995</v>
      </c>
      <c r="H59" s="403" t="s">
        <v>581</v>
      </c>
      <c r="I59" s="127" t="s">
        <v>4217</v>
      </c>
    </row>
    <row r="60" spans="1:9">
      <c r="A60" s="126">
        <v>45967</v>
      </c>
      <c r="B60" s="125" t="s">
        <v>173</v>
      </c>
      <c r="C60" s="76" t="s">
        <v>122</v>
      </c>
      <c r="D60" s="76"/>
      <c r="E60" s="215">
        <v>20000</v>
      </c>
      <c r="F60" s="216"/>
      <c r="G60" s="223">
        <f t="shared" si="0"/>
        <v>1277995</v>
      </c>
      <c r="H60" s="404" t="s">
        <v>173</v>
      </c>
      <c r="I60" s="127" t="s">
        <v>4664</v>
      </c>
    </row>
    <row r="61" spans="1:9">
      <c r="A61" s="126">
        <v>45968</v>
      </c>
      <c r="B61" s="125" t="s">
        <v>315</v>
      </c>
      <c r="C61" s="76" t="s">
        <v>122</v>
      </c>
      <c r="D61" s="76"/>
      <c r="E61" s="215">
        <v>20000</v>
      </c>
      <c r="F61" s="216"/>
      <c r="G61" s="223">
        <f t="shared" si="0"/>
        <v>1257995</v>
      </c>
      <c r="H61" s="76" t="s">
        <v>315</v>
      </c>
      <c r="I61" s="127" t="s">
        <v>4665</v>
      </c>
    </row>
    <row r="62" spans="1:9" hidden="1">
      <c r="A62" s="126">
        <v>45971</v>
      </c>
      <c r="B62" s="76" t="s">
        <v>4589</v>
      </c>
      <c r="C62" s="125" t="s">
        <v>172</v>
      </c>
      <c r="D62" s="76" t="s">
        <v>115</v>
      </c>
      <c r="E62" s="215">
        <v>22000</v>
      </c>
      <c r="F62" s="216"/>
      <c r="G62" s="223">
        <f t="shared" si="0"/>
        <v>1235995</v>
      </c>
      <c r="H62" s="404" t="s">
        <v>185</v>
      </c>
      <c r="I62" s="127" t="s">
        <v>4635</v>
      </c>
    </row>
    <row r="63" spans="1:9" hidden="1">
      <c r="A63" s="126">
        <v>45971</v>
      </c>
      <c r="B63" s="76" t="s">
        <v>4590</v>
      </c>
      <c r="C63" s="125" t="s">
        <v>175</v>
      </c>
      <c r="D63" s="76" t="s">
        <v>115</v>
      </c>
      <c r="E63" s="215">
        <v>50000</v>
      </c>
      <c r="F63" s="215"/>
      <c r="G63" s="223">
        <f t="shared" si="0"/>
        <v>1185995</v>
      </c>
      <c r="H63" s="76" t="s">
        <v>185</v>
      </c>
      <c r="I63" s="127" t="s">
        <v>4636</v>
      </c>
    </row>
    <row r="64" spans="1:9">
      <c r="A64" s="126">
        <v>45971</v>
      </c>
      <c r="B64" s="125" t="s">
        <v>182</v>
      </c>
      <c r="C64" s="125" t="s">
        <v>122</v>
      </c>
      <c r="D64" s="125"/>
      <c r="E64" s="215">
        <v>20000</v>
      </c>
      <c r="F64" s="216"/>
      <c r="G64" s="223">
        <f t="shared" si="0"/>
        <v>1165995</v>
      </c>
      <c r="H64" s="404" t="s">
        <v>182</v>
      </c>
      <c r="I64" s="127" t="s">
        <v>4666</v>
      </c>
    </row>
    <row r="65" spans="1:9" hidden="1">
      <c r="A65" s="126">
        <v>45971</v>
      </c>
      <c r="B65" s="125" t="s">
        <v>4148</v>
      </c>
      <c r="C65" s="76" t="s">
        <v>263</v>
      </c>
      <c r="D65" s="76" t="s">
        <v>2417</v>
      </c>
      <c r="E65" s="215">
        <v>30000</v>
      </c>
      <c r="F65" s="215"/>
      <c r="G65" s="223">
        <f t="shared" si="0"/>
        <v>1135995</v>
      </c>
      <c r="H65" s="76" t="s">
        <v>198</v>
      </c>
      <c r="I65" s="125" t="s">
        <v>4159</v>
      </c>
    </row>
    <row r="66" spans="1:9" hidden="1">
      <c r="A66" s="126">
        <v>45971</v>
      </c>
      <c r="B66" s="125" t="s">
        <v>4401</v>
      </c>
      <c r="C66" s="76" t="s">
        <v>263</v>
      </c>
      <c r="D66" s="76" t="s">
        <v>2417</v>
      </c>
      <c r="E66" s="215">
        <v>25000</v>
      </c>
      <c r="F66" s="215"/>
      <c r="G66" s="223">
        <f t="shared" si="0"/>
        <v>1110995</v>
      </c>
      <c r="H66" s="76" t="s">
        <v>191</v>
      </c>
      <c r="I66" s="125" t="s">
        <v>4413</v>
      </c>
    </row>
    <row r="67" spans="1:9" hidden="1">
      <c r="A67" s="126">
        <v>45971</v>
      </c>
      <c r="B67" s="76" t="s">
        <v>4652</v>
      </c>
      <c r="C67" s="125" t="s">
        <v>150</v>
      </c>
      <c r="D67" s="125" t="s">
        <v>116</v>
      </c>
      <c r="E67" s="215">
        <v>112500</v>
      </c>
      <c r="F67" s="216"/>
      <c r="G67" s="223">
        <f t="shared" ref="G67:G130" si="1">G66+F67-E67</f>
        <v>998495</v>
      </c>
      <c r="H67" s="404" t="s">
        <v>4660</v>
      </c>
      <c r="I67" s="127" t="s">
        <v>1537</v>
      </c>
    </row>
    <row r="68" spans="1:9">
      <c r="A68" s="126">
        <v>45971</v>
      </c>
      <c r="B68" s="125" t="s">
        <v>188</v>
      </c>
      <c r="C68" s="76" t="s">
        <v>122</v>
      </c>
      <c r="D68" s="76"/>
      <c r="E68" s="215">
        <v>84000</v>
      </c>
      <c r="F68" s="216"/>
      <c r="G68" s="223">
        <f t="shared" si="1"/>
        <v>914495</v>
      </c>
      <c r="H68" s="76" t="s">
        <v>188</v>
      </c>
      <c r="I68" s="127" t="s">
        <v>4667</v>
      </c>
    </row>
    <row r="69" spans="1:9" hidden="1">
      <c r="A69" s="126">
        <v>45972</v>
      </c>
      <c r="B69" s="76" t="s">
        <v>4596</v>
      </c>
      <c r="C69" s="76" t="s">
        <v>124</v>
      </c>
      <c r="D69" s="76" t="s">
        <v>116</v>
      </c>
      <c r="E69" s="215">
        <v>31187</v>
      </c>
      <c r="F69" s="215"/>
      <c r="G69" s="223">
        <f t="shared" si="1"/>
        <v>883308</v>
      </c>
      <c r="H69" s="404" t="s">
        <v>185</v>
      </c>
      <c r="I69" s="127" t="s">
        <v>4638</v>
      </c>
    </row>
    <row r="70" spans="1:9">
      <c r="A70" s="126">
        <v>45973</v>
      </c>
      <c r="B70" s="125" t="s">
        <v>315</v>
      </c>
      <c r="C70" s="76" t="s">
        <v>122</v>
      </c>
      <c r="D70" s="76"/>
      <c r="E70" s="215">
        <v>15000</v>
      </c>
      <c r="F70" s="215"/>
      <c r="G70" s="223">
        <f t="shared" si="1"/>
        <v>868308</v>
      </c>
      <c r="H70" s="404" t="s">
        <v>315</v>
      </c>
      <c r="I70" s="127" t="s">
        <v>4668</v>
      </c>
    </row>
    <row r="71" spans="1:9">
      <c r="A71" s="126">
        <v>45973</v>
      </c>
      <c r="B71" s="125" t="s">
        <v>581</v>
      </c>
      <c r="C71" s="76" t="s">
        <v>122</v>
      </c>
      <c r="D71" s="76"/>
      <c r="E71" s="215">
        <v>20000</v>
      </c>
      <c r="F71" s="215"/>
      <c r="G71" s="223">
        <f t="shared" si="1"/>
        <v>848308</v>
      </c>
      <c r="H71" s="404" t="s">
        <v>581</v>
      </c>
      <c r="I71" s="127" t="s">
        <v>4669</v>
      </c>
    </row>
    <row r="72" spans="1:9">
      <c r="A72" s="126">
        <v>45973</v>
      </c>
      <c r="B72" s="76" t="s">
        <v>151</v>
      </c>
      <c r="C72" s="76" t="s">
        <v>122</v>
      </c>
      <c r="D72" s="76"/>
      <c r="E72" s="215">
        <v>20000</v>
      </c>
      <c r="F72" s="215"/>
      <c r="G72" s="223">
        <f t="shared" si="1"/>
        <v>828308</v>
      </c>
      <c r="H72" s="404" t="s">
        <v>151</v>
      </c>
      <c r="I72" s="127" t="s">
        <v>4670</v>
      </c>
    </row>
    <row r="73" spans="1:9">
      <c r="A73" s="126">
        <v>45974</v>
      </c>
      <c r="B73" s="76" t="s">
        <v>191</v>
      </c>
      <c r="C73" s="125" t="s">
        <v>122</v>
      </c>
      <c r="D73" s="76"/>
      <c r="E73" s="215">
        <v>20000</v>
      </c>
      <c r="F73" s="215"/>
      <c r="G73" s="223">
        <f t="shared" si="1"/>
        <v>808308</v>
      </c>
      <c r="H73" s="404" t="s">
        <v>191</v>
      </c>
      <c r="I73" s="127" t="s">
        <v>4671</v>
      </c>
    </row>
    <row r="74" spans="1:9">
      <c r="A74" s="126">
        <v>45974</v>
      </c>
      <c r="B74" s="76" t="s">
        <v>185</v>
      </c>
      <c r="C74" s="125" t="s">
        <v>122</v>
      </c>
      <c r="D74" s="76"/>
      <c r="E74" s="215">
        <v>20000</v>
      </c>
      <c r="F74" s="215"/>
      <c r="G74" s="223">
        <f t="shared" si="1"/>
        <v>788308</v>
      </c>
      <c r="H74" s="404" t="s">
        <v>185</v>
      </c>
      <c r="I74" s="127" t="s">
        <v>4672</v>
      </c>
    </row>
    <row r="75" spans="1:9">
      <c r="A75" s="126">
        <v>45974</v>
      </c>
      <c r="B75" s="125" t="s">
        <v>182</v>
      </c>
      <c r="C75" s="125" t="s">
        <v>122</v>
      </c>
      <c r="D75" s="125"/>
      <c r="E75" s="215">
        <v>20000</v>
      </c>
      <c r="F75" s="215"/>
      <c r="G75" s="223">
        <f t="shared" si="1"/>
        <v>768308</v>
      </c>
      <c r="H75" s="76" t="s">
        <v>182</v>
      </c>
      <c r="I75" s="127" t="s">
        <v>4673</v>
      </c>
    </row>
    <row r="76" spans="1:9">
      <c r="A76" s="126">
        <v>45974</v>
      </c>
      <c r="B76" s="76" t="s">
        <v>321</v>
      </c>
      <c r="C76" s="125" t="s">
        <v>122</v>
      </c>
      <c r="D76" s="125"/>
      <c r="E76" s="215">
        <v>100000</v>
      </c>
      <c r="F76" s="215"/>
      <c r="G76" s="223">
        <f t="shared" si="1"/>
        <v>668308</v>
      </c>
      <c r="H76" s="404" t="s">
        <v>321</v>
      </c>
      <c r="I76" s="127" t="s">
        <v>4674</v>
      </c>
    </row>
    <row r="77" spans="1:9">
      <c r="A77" s="126">
        <v>45974</v>
      </c>
      <c r="B77" s="76" t="s">
        <v>315</v>
      </c>
      <c r="C77" s="76" t="s">
        <v>122</v>
      </c>
      <c r="D77" s="76"/>
      <c r="E77" s="215">
        <v>100000</v>
      </c>
      <c r="F77" s="216"/>
      <c r="G77" s="223">
        <f t="shared" si="1"/>
        <v>568308</v>
      </c>
      <c r="H77" s="404" t="s">
        <v>315</v>
      </c>
      <c r="I77" s="127" t="s">
        <v>4675</v>
      </c>
    </row>
    <row r="78" spans="1:9">
      <c r="A78" s="126">
        <v>45974</v>
      </c>
      <c r="B78" s="76" t="s">
        <v>173</v>
      </c>
      <c r="C78" s="125" t="s">
        <v>122</v>
      </c>
      <c r="D78" s="76"/>
      <c r="E78" s="215">
        <v>100000</v>
      </c>
      <c r="F78" s="216"/>
      <c r="G78" s="223">
        <f t="shared" si="1"/>
        <v>468308</v>
      </c>
      <c r="H78" s="404" t="s">
        <v>173</v>
      </c>
      <c r="I78" s="127" t="s">
        <v>4676</v>
      </c>
    </row>
    <row r="79" spans="1:9">
      <c r="A79" s="126">
        <v>45974</v>
      </c>
      <c r="B79" s="76" t="s">
        <v>182</v>
      </c>
      <c r="C79" s="125" t="s">
        <v>122</v>
      </c>
      <c r="D79" s="76"/>
      <c r="E79" s="215">
        <v>100000</v>
      </c>
      <c r="F79" s="216"/>
      <c r="G79" s="223">
        <f t="shared" si="1"/>
        <v>368308</v>
      </c>
      <c r="H79" s="76" t="s">
        <v>182</v>
      </c>
      <c r="I79" s="127" t="s">
        <v>4677</v>
      </c>
    </row>
    <row r="80" spans="1:9" ht="15.6" hidden="1">
      <c r="A80" s="126">
        <v>45975</v>
      </c>
      <c r="B80" s="177" t="s">
        <v>4500</v>
      </c>
      <c r="C80" s="125" t="s">
        <v>2092</v>
      </c>
      <c r="D80" s="125" t="s">
        <v>118</v>
      </c>
      <c r="E80" s="215">
        <v>6000</v>
      </c>
      <c r="F80" s="216"/>
      <c r="G80" s="223">
        <f t="shared" si="1"/>
        <v>362308</v>
      </c>
      <c r="H80" s="76" t="s">
        <v>211</v>
      </c>
      <c r="I80" s="125" t="s">
        <v>4567</v>
      </c>
    </row>
    <row r="81" spans="1:9" ht="15.6" hidden="1">
      <c r="A81" s="126">
        <v>45975</v>
      </c>
      <c r="B81" s="177" t="s">
        <v>4501</v>
      </c>
      <c r="C81" s="125" t="s">
        <v>2092</v>
      </c>
      <c r="D81" s="125" t="s">
        <v>118</v>
      </c>
      <c r="E81" s="215">
        <v>6000</v>
      </c>
      <c r="F81" s="216"/>
      <c r="G81" s="223">
        <f t="shared" si="1"/>
        <v>356308</v>
      </c>
      <c r="H81" s="76" t="s">
        <v>211</v>
      </c>
      <c r="I81" s="125" t="s">
        <v>4567</v>
      </c>
    </row>
    <row r="82" spans="1:9" ht="15.6" hidden="1">
      <c r="A82" s="126">
        <v>45975</v>
      </c>
      <c r="B82" s="177" t="s">
        <v>4502</v>
      </c>
      <c r="C82" s="125" t="s">
        <v>2092</v>
      </c>
      <c r="D82" s="125" t="s">
        <v>118</v>
      </c>
      <c r="E82" s="215">
        <v>6000</v>
      </c>
      <c r="F82" s="216"/>
      <c r="G82" s="223">
        <f t="shared" si="1"/>
        <v>350308</v>
      </c>
      <c r="H82" s="76" t="s">
        <v>211</v>
      </c>
      <c r="I82" s="125" t="s">
        <v>4567</v>
      </c>
    </row>
    <row r="83" spans="1:9" ht="15.6" hidden="1">
      <c r="A83" s="126">
        <v>45975</v>
      </c>
      <c r="B83" s="177" t="s">
        <v>4503</v>
      </c>
      <c r="C83" s="125" t="s">
        <v>2092</v>
      </c>
      <c r="D83" s="125" t="s">
        <v>118</v>
      </c>
      <c r="E83" s="215">
        <v>6000</v>
      </c>
      <c r="F83" s="216"/>
      <c r="G83" s="223">
        <f t="shared" si="1"/>
        <v>344308</v>
      </c>
      <c r="H83" s="76" t="s">
        <v>211</v>
      </c>
      <c r="I83" s="125" t="s">
        <v>4567</v>
      </c>
    </row>
    <row r="84" spans="1:9" ht="15.6" hidden="1">
      <c r="A84" s="126">
        <v>45975</v>
      </c>
      <c r="B84" s="177" t="s">
        <v>4504</v>
      </c>
      <c r="C84" s="125" t="s">
        <v>2092</v>
      </c>
      <c r="D84" s="125" t="s">
        <v>118</v>
      </c>
      <c r="E84" s="215">
        <v>6000</v>
      </c>
      <c r="F84" s="216"/>
      <c r="G84" s="223">
        <f t="shared" si="1"/>
        <v>338308</v>
      </c>
      <c r="H84" s="76" t="s">
        <v>211</v>
      </c>
      <c r="I84" s="125" t="s">
        <v>4567</v>
      </c>
    </row>
    <row r="85" spans="1:9" ht="15.6" hidden="1">
      <c r="A85" s="126">
        <v>45975</v>
      </c>
      <c r="B85" s="177" t="s">
        <v>4505</v>
      </c>
      <c r="C85" s="125" t="s">
        <v>2092</v>
      </c>
      <c r="D85" s="125" t="s">
        <v>118</v>
      </c>
      <c r="E85" s="215">
        <v>6000</v>
      </c>
      <c r="F85" s="216"/>
      <c r="G85" s="223">
        <f t="shared" si="1"/>
        <v>332308</v>
      </c>
      <c r="H85" s="76" t="s">
        <v>211</v>
      </c>
      <c r="I85" s="125" t="s">
        <v>4567</v>
      </c>
    </row>
    <row r="86" spans="1:9" ht="15.6" hidden="1">
      <c r="A86" s="126">
        <v>45975</v>
      </c>
      <c r="B86" s="177" t="s">
        <v>4506</v>
      </c>
      <c r="C86" s="125" t="s">
        <v>2092</v>
      </c>
      <c r="D86" s="125" t="s">
        <v>118</v>
      </c>
      <c r="E86" s="215">
        <v>6000</v>
      </c>
      <c r="F86" s="216"/>
      <c r="G86" s="223">
        <f t="shared" si="1"/>
        <v>326308</v>
      </c>
      <c r="H86" s="76" t="s">
        <v>211</v>
      </c>
      <c r="I86" s="125" t="s">
        <v>4567</v>
      </c>
    </row>
    <row r="87" spans="1:9" ht="15.6" hidden="1">
      <c r="A87" s="126">
        <v>45975</v>
      </c>
      <c r="B87" s="177" t="s">
        <v>4507</v>
      </c>
      <c r="C87" s="125" t="s">
        <v>2092</v>
      </c>
      <c r="D87" s="125" t="s">
        <v>118</v>
      </c>
      <c r="E87" s="215">
        <v>6000</v>
      </c>
      <c r="F87" s="216"/>
      <c r="G87" s="223">
        <f t="shared" si="1"/>
        <v>320308</v>
      </c>
      <c r="H87" s="76" t="s">
        <v>211</v>
      </c>
      <c r="I87" s="125" t="s">
        <v>4567</v>
      </c>
    </row>
    <row r="88" spans="1:9" ht="15.6" hidden="1">
      <c r="A88" s="126">
        <v>45975</v>
      </c>
      <c r="B88" s="177" t="s">
        <v>4508</v>
      </c>
      <c r="C88" s="125" t="s">
        <v>2092</v>
      </c>
      <c r="D88" s="125" t="s">
        <v>118</v>
      </c>
      <c r="E88" s="215">
        <v>6000</v>
      </c>
      <c r="F88" s="216"/>
      <c r="G88" s="223">
        <f t="shared" si="1"/>
        <v>314308</v>
      </c>
      <c r="H88" s="76" t="s">
        <v>211</v>
      </c>
      <c r="I88" s="125" t="s">
        <v>4567</v>
      </c>
    </row>
    <row r="89" spans="1:9" ht="15.6" hidden="1">
      <c r="A89" s="126">
        <v>45975</v>
      </c>
      <c r="B89" s="177" t="s">
        <v>4509</v>
      </c>
      <c r="C89" s="125" t="s">
        <v>2092</v>
      </c>
      <c r="D89" s="125" t="s">
        <v>118</v>
      </c>
      <c r="E89" s="215">
        <v>6000</v>
      </c>
      <c r="F89" s="216"/>
      <c r="G89" s="223">
        <f t="shared" si="1"/>
        <v>308308</v>
      </c>
      <c r="H89" s="76" t="s">
        <v>211</v>
      </c>
      <c r="I89" s="125" t="s">
        <v>4567</v>
      </c>
    </row>
    <row r="90" spans="1:9" ht="15.6" hidden="1">
      <c r="A90" s="126">
        <v>45975</v>
      </c>
      <c r="B90" s="177" t="s">
        <v>4510</v>
      </c>
      <c r="C90" s="125" t="s">
        <v>2092</v>
      </c>
      <c r="D90" s="125" t="s">
        <v>118</v>
      </c>
      <c r="E90" s="215">
        <v>6000</v>
      </c>
      <c r="F90" s="216"/>
      <c r="G90" s="223">
        <f t="shared" si="1"/>
        <v>302308</v>
      </c>
      <c r="H90" s="76" t="s">
        <v>211</v>
      </c>
      <c r="I90" s="125" t="s">
        <v>4567</v>
      </c>
    </row>
    <row r="91" spans="1:9" ht="15.6" hidden="1">
      <c r="A91" s="126">
        <v>45975</v>
      </c>
      <c r="B91" s="177" t="s">
        <v>4511</v>
      </c>
      <c r="C91" s="125" t="s">
        <v>2092</v>
      </c>
      <c r="D91" s="125" t="s">
        <v>118</v>
      </c>
      <c r="E91" s="215">
        <v>6000</v>
      </c>
      <c r="F91" s="216"/>
      <c r="G91" s="223">
        <f t="shared" si="1"/>
        <v>296308</v>
      </c>
      <c r="H91" s="76" t="s">
        <v>211</v>
      </c>
      <c r="I91" s="125" t="s">
        <v>4567</v>
      </c>
    </row>
    <row r="92" spans="1:9" ht="15.6" hidden="1">
      <c r="A92" s="126">
        <v>45975</v>
      </c>
      <c r="B92" s="177" t="s">
        <v>4512</v>
      </c>
      <c r="C92" s="125" t="s">
        <v>2092</v>
      </c>
      <c r="D92" s="125" t="s">
        <v>118</v>
      </c>
      <c r="E92" s="215">
        <v>6000</v>
      </c>
      <c r="F92" s="216"/>
      <c r="G92" s="223">
        <f t="shared" si="1"/>
        <v>290308</v>
      </c>
      <c r="H92" s="76" t="s">
        <v>211</v>
      </c>
      <c r="I92" s="125" t="s">
        <v>4567</v>
      </c>
    </row>
    <row r="93" spans="1:9" ht="15.6" hidden="1">
      <c r="A93" s="126">
        <v>45975</v>
      </c>
      <c r="B93" s="177" t="s">
        <v>4513</v>
      </c>
      <c r="C93" s="125" t="s">
        <v>2092</v>
      </c>
      <c r="D93" s="125" t="s">
        <v>118</v>
      </c>
      <c r="E93" s="215">
        <v>6000</v>
      </c>
      <c r="F93" s="216"/>
      <c r="G93" s="223">
        <f t="shared" si="1"/>
        <v>284308</v>
      </c>
      <c r="H93" s="76" t="s">
        <v>211</v>
      </c>
      <c r="I93" s="125" t="s">
        <v>4567</v>
      </c>
    </row>
    <row r="94" spans="1:9" hidden="1">
      <c r="A94" s="126">
        <v>45975</v>
      </c>
      <c r="B94" s="125" t="s">
        <v>4514</v>
      </c>
      <c r="C94" s="125" t="s">
        <v>2092</v>
      </c>
      <c r="D94" s="125" t="s">
        <v>118</v>
      </c>
      <c r="E94" s="215">
        <v>10000</v>
      </c>
      <c r="F94" s="216"/>
      <c r="G94" s="223">
        <f t="shared" si="1"/>
        <v>274308</v>
      </c>
      <c r="H94" s="404" t="s">
        <v>211</v>
      </c>
      <c r="I94" s="125" t="s">
        <v>4568</v>
      </c>
    </row>
    <row r="95" spans="1:9" hidden="1">
      <c r="A95" s="126">
        <v>45975</v>
      </c>
      <c r="B95" s="125" t="s">
        <v>4515</v>
      </c>
      <c r="C95" s="125" t="s">
        <v>2092</v>
      </c>
      <c r="D95" s="125" t="s">
        <v>118</v>
      </c>
      <c r="E95" s="215">
        <v>10000</v>
      </c>
      <c r="F95" s="216"/>
      <c r="G95" s="223">
        <f t="shared" si="1"/>
        <v>264308</v>
      </c>
      <c r="H95" s="404" t="s">
        <v>211</v>
      </c>
      <c r="I95" s="125" t="s">
        <v>4568</v>
      </c>
    </row>
    <row r="96" spans="1:9" hidden="1">
      <c r="A96" s="126">
        <v>45975</v>
      </c>
      <c r="B96" s="125" t="s">
        <v>4516</v>
      </c>
      <c r="C96" s="125" t="s">
        <v>2092</v>
      </c>
      <c r="D96" s="125" t="s">
        <v>118</v>
      </c>
      <c r="E96" s="215">
        <v>10000</v>
      </c>
      <c r="F96" s="216"/>
      <c r="G96" s="223">
        <f t="shared" si="1"/>
        <v>254308</v>
      </c>
      <c r="H96" s="404" t="s">
        <v>211</v>
      </c>
      <c r="I96" s="125" t="s">
        <v>4568</v>
      </c>
    </row>
    <row r="97" spans="1:9" hidden="1">
      <c r="A97" s="126">
        <v>45975</v>
      </c>
      <c r="B97" s="125" t="s">
        <v>4517</v>
      </c>
      <c r="C97" s="125" t="s">
        <v>2092</v>
      </c>
      <c r="D97" s="125" t="s">
        <v>118</v>
      </c>
      <c r="E97" s="215">
        <v>10000</v>
      </c>
      <c r="F97" s="216"/>
      <c r="G97" s="223">
        <f t="shared" si="1"/>
        <v>244308</v>
      </c>
      <c r="H97" s="403" t="s">
        <v>211</v>
      </c>
      <c r="I97" s="125" t="s">
        <v>4568</v>
      </c>
    </row>
    <row r="98" spans="1:9" hidden="1">
      <c r="A98" s="126">
        <v>45975</v>
      </c>
      <c r="B98" s="125" t="s">
        <v>4518</v>
      </c>
      <c r="C98" s="125" t="s">
        <v>2092</v>
      </c>
      <c r="D98" s="125" t="s">
        <v>118</v>
      </c>
      <c r="E98" s="215">
        <v>10000</v>
      </c>
      <c r="F98" s="216"/>
      <c r="G98" s="223">
        <f t="shared" si="1"/>
        <v>234308</v>
      </c>
      <c r="H98" s="403" t="s">
        <v>211</v>
      </c>
      <c r="I98" s="125" t="s">
        <v>4568</v>
      </c>
    </row>
    <row r="99" spans="1:9" hidden="1">
      <c r="A99" s="126">
        <v>45975</v>
      </c>
      <c r="B99" s="125" t="s">
        <v>4519</v>
      </c>
      <c r="C99" s="125" t="s">
        <v>2092</v>
      </c>
      <c r="D99" s="125" t="s">
        <v>118</v>
      </c>
      <c r="E99" s="215">
        <v>6000</v>
      </c>
      <c r="F99" s="215"/>
      <c r="G99" s="223">
        <f t="shared" si="1"/>
        <v>228308</v>
      </c>
      <c r="H99" s="403" t="s">
        <v>211</v>
      </c>
      <c r="I99" s="125" t="s">
        <v>4569</v>
      </c>
    </row>
    <row r="100" spans="1:9" hidden="1">
      <c r="A100" s="126">
        <v>45975</v>
      </c>
      <c r="B100" s="125" t="s">
        <v>4520</v>
      </c>
      <c r="C100" s="125" t="s">
        <v>2092</v>
      </c>
      <c r="D100" s="125" t="s">
        <v>118</v>
      </c>
      <c r="E100" s="215">
        <v>6000</v>
      </c>
      <c r="F100" s="216"/>
      <c r="G100" s="223">
        <f t="shared" si="1"/>
        <v>222308</v>
      </c>
      <c r="H100" s="404" t="s">
        <v>211</v>
      </c>
      <c r="I100" s="125" t="s">
        <v>4569</v>
      </c>
    </row>
    <row r="101" spans="1:9" hidden="1">
      <c r="A101" s="126">
        <v>45975</v>
      </c>
      <c r="B101" s="125" t="s">
        <v>4521</v>
      </c>
      <c r="C101" s="125" t="s">
        <v>2092</v>
      </c>
      <c r="D101" s="125" t="s">
        <v>118</v>
      </c>
      <c r="E101" s="215">
        <v>6000</v>
      </c>
      <c r="F101" s="216"/>
      <c r="G101" s="223">
        <f t="shared" si="1"/>
        <v>216308</v>
      </c>
      <c r="H101" s="404" t="s">
        <v>211</v>
      </c>
      <c r="I101" s="125" t="s">
        <v>4569</v>
      </c>
    </row>
    <row r="102" spans="1:9" s="325" customFormat="1" hidden="1">
      <c r="A102" s="126">
        <v>45975</v>
      </c>
      <c r="B102" s="125" t="s">
        <v>4522</v>
      </c>
      <c r="C102" s="125" t="s">
        <v>2092</v>
      </c>
      <c r="D102" s="125" t="s">
        <v>118</v>
      </c>
      <c r="E102" s="215">
        <v>6000</v>
      </c>
      <c r="F102" s="216"/>
      <c r="G102" s="223">
        <f t="shared" si="1"/>
        <v>210308</v>
      </c>
      <c r="H102" s="404" t="s">
        <v>211</v>
      </c>
      <c r="I102" s="125" t="s">
        <v>4569</v>
      </c>
    </row>
    <row r="103" spans="1:9" ht="15.6">
      <c r="A103" s="126">
        <v>45978</v>
      </c>
      <c r="B103" s="76" t="s">
        <v>182</v>
      </c>
      <c r="C103" s="76" t="s">
        <v>122</v>
      </c>
      <c r="D103" s="319"/>
      <c r="E103" s="215">
        <v>75000</v>
      </c>
      <c r="F103" s="216"/>
      <c r="G103" s="223">
        <f t="shared" si="1"/>
        <v>135308</v>
      </c>
      <c r="H103" s="404" t="s">
        <v>182</v>
      </c>
      <c r="I103" s="127" t="s">
        <v>4678</v>
      </c>
    </row>
    <row r="104" spans="1:9">
      <c r="A104" s="126">
        <v>45978</v>
      </c>
      <c r="B104" s="125" t="s">
        <v>315</v>
      </c>
      <c r="C104" s="125" t="s">
        <v>122</v>
      </c>
      <c r="D104" s="125"/>
      <c r="E104" s="215">
        <v>75000</v>
      </c>
      <c r="F104" s="215"/>
      <c r="G104" s="223">
        <f t="shared" si="1"/>
        <v>60308</v>
      </c>
      <c r="H104" s="76" t="s">
        <v>315</v>
      </c>
      <c r="I104" s="127" t="s">
        <v>4679</v>
      </c>
    </row>
    <row r="105" spans="1:9" hidden="1">
      <c r="A105" s="126">
        <v>45978</v>
      </c>
      <c r="B105" s="125" t="s">
        <v>3633</v>
      </c>
      <c r="C105" s="76" t="s">
        <v>180</v>
      </c>
      <c r="D105" s="535" t="s">
        <v>116</v>
      </c>
      <c r="E105" s="215">
        <v>3000</v>
      </c>
      <c r="F105" s="215"/>
      <c r="G105" s="223">
        <f t="shared" si="1"/>
        <v>57308</v>
      </c>
      <c r="H105" s="404" t="s">
        <v>188</v>
      </c>
      <c r="I105" s="127" t="s">
        <v>4374</v>
      </c>
    </row>
    <row r="106" spans="1:9" ht="15.6">
      <c r="A106" s="126">
        <v>45978</v>
      </c>
      <c r="B106" s="76" t="s">
        <v>4653</v>
      </c>
      <c r="C106" s="76" t="s">
        <v>122</v>
      </c>
      <c r="D106" s="319"/>
      <c r="E106" s="215"/>
      <c r="F106" s="215">
        <v>350000</v>
      </c>
      <c r="G106" s="223">
        <f t="shared" si="1"/>
        <v>407308</v>
      </c>
      <c r="H106" s="403" t="s">
        <v>146</v>
      </c>
      <c r="I106" s="127" t="s">
        <v>4680</v>
      </c>
    </row>
    <row r="107" spans="1:9" hidden="1">
      <c r="A107" s="126">
        <v>45978</v>
      </c>
      <c r="B107" s="76" t="s">
        <v>4654</v>
      </c>
      <c r="C107" s="125" t="s">
        <v>150</v>
      </c>
      <c r="D107" s="125" t="s">
        <v>116</v>
      </c>
      <c r="E107" s="215">
        <v>112500</v>
      </c>
      <c r="F107" s="95"/>
      <c r="G107" s="223">
        <f t="shared" si="1"/>
        <v>294808</v>
      </c>
      <c r="H107" s="125" t="s">
        <v>4660</v>
      </c>
      <c r="I107" s="125" t="s">
        <v>1537</v>
      </c>
    </row>
    <row r="108" spans="1:9">
      <c r="A108" s="126">
        <v>45978</v>
      </c>
      <c r="B108" s="125" t="s">
        <v>173</v>
      </c>
      <c r="C108" s="125" t="s">
        <v>122</v>
      </c>
      <c r="D108" s="125"/>
      <c r="E108" s="215">
        <v>73000</v>
      </c>
      <c r="F108" s="215"/>
      <c r="G108" s="223">
        <f t="shared" si="1"/>
        <v>221808</v>
      </c>
      <c r="H108" s="403" t="s">
        <v>173</v>
      </c>
      <c r="I108" s="127" t="s">
        <v>4681</v>
      </c>
    </row>
    <row r="109" spans="1:9">
      <c r="A109" s="126">
        <v>45978</v>
      </c>
      <c r="B109" s="125" t="s">
        <v>321</v>
      </c>
      <c r="C109" s="125" t="s">
        <v>122</v>
      </c>
      <c r="D109" s="125"/>
      <c r="E109" s="215">
        <v>84000</v>
      </c>
      <c r="F109" s="215"/>
      <c r="G109" s="223">
        <f t="shared" si="1"/>
        <v>137808</v>
      </c>
      <c r="H109" s="125" t="s">
        <v>321</v>
      </c>
      <c r="I109" s="127" t="s">
        <v>4682</v>
      </c>
    </row>
    <row r="110" spans="1:9" hidden="1">
      <c r="A110" s="126">
        <v>45978</v>
      </c>
      <c r="B110" s="125" t="s">
        <v>4200</v>
      </c>
      <c r="C110" s="76" t="s">
        <v>180</v>
      </c>
      <c r="D110" s="76" t="s">
        <v>116</v>
      </c>
      <c r="E110" s="215">
        <v>5495</v>
      </c>
      <c r="F110" s="215"/>
      <c r="G110" s="223">
        <f t="shared" si="1"/>
        <v>132313</v>
      </c>
      <c r="H110" s="404" t="s">
        <v>581</v>
      </c>
      <c r="I110" s="127" t="s">
        <v>4221</v>
      </c>
    </row>
    <row r="111" spans="1:9">
      <c r="A111" s="126">
        <v>45979</v>
      </c>
      <c r="B111" s="125" t="s">
        <v>188</v>
      </c>
      <c r="C111" s="125" t="s">
        <v>122</v>
      </c>
      <c r="D111" s="125"/>
      <c r="E111" s="215">
        <v>10000</v>
      </c>
      <c r="F111" s="215"/>
      <c r="G111" s="223">
        <f t="shared" si="1"/>
        <v>122313</v>
      </c>
      <c r="H111" s="404" t="s">
        <v>188</v>
      </c>
      <c r="I111" s="127" t="s">
        <v>4683</v>
      </c>
    </row>
    <row r="112" spans="1:9">
      <c r="A112" s="126">
        <v>45979</v>
      </c>
      <c r="B112" s="125" t="s">
        <v>211</v>
      </c>
      <c r="C112" s="76" t="s">
        <v>122</v>
      </c>
      <c r="D112" s="76"/>
      <c r="E112" s="215">
        <v>10000</v>
      </c>
      <c r="F112" s="215"/>
      <c r="G112" s="223">
        <f t="shared" si="1"/>
        <v>112313</v>
      </c>
      <c r="H112" s="76" t="s">
        <v>211</v>
      </c>
      <c r="I112" s="127" t="s">
        <v>4684</v>
      </c>
    </row>
    <row r="113" spans="1:9" hidden="1">
      <c r="A113" s="126">
        <v>45979</v>
      </c>
      <c r="B113" s="125" t="s">
        <v>2368</v>
      </c>
      <c r="C113" s="76" t="s">
        <v>170</v>
      </c>
      <c r="D113" s="76" t="s">
        <v>116</v>
      </c>
      <c r="E113" s="215">
        <v>25000</v>
      </c>
      <c r="F113" s="215"/>
      <c r="G113" s="223">
        <f t="shared" si="1"/>
        <v>87313</v>
      </c>
      <c r="H113" s="125" t="s">
        <v>185</v>
      </c>
      <c r="I113" s="127" t="s">
        <v>4641</v>
      </c>
    </row>
    <row r="114" spans="1:9" hidden="1">
      <c r="A114" s="126">
        <v>45979</v>
      </c>
      <c r="B114" s="76" t="s">
        <v>3007</v>
      </c>
      <c r="C114" s="76" t="s">
        <v>170</v>
      </c>
      <c r="D114" s="76" t="s">
        <v>116</v>
      </c>
      <c r="E114" s="215">
        <v>31250</v>
      </c>
      <c r="F114" s="215"/>
      <c r="G114" s="223">
        <f t="shared" si="1"/>
        <v>56063</v>
      </c>
      <c r="H114" s="404" t="s">
        <v>188</v>
      </c>
      <c r="I114" s="127" t="s">
        <v>4375</v>
      </c>
    </row>
    <row r="115" spans="1:9" ht="15.6">
      <c r="A115" s="126">
        <v>45979</v>
      </c>
      <c r="B115" s="76" t="s">
        <v>4655</v>
      </c>
      <c r="C115" s="76" t="s">
        <v>122</v>
      </c>
      <c r="D115" s="319"/>
      <c r="E115" s="215"/>
      <c r="F115" s="215">
        <v>1000000</v>
      </c>
      <c r="G115" s="223">
        <f t="shared" si="1"/>
        <v>1056063</v>
      </c>
      <c r="H115" s="404" t="s">
        <v>146</v>
      </c>
      <c r="I115" s="127" t="s">
        <v>4685</v>
      </c>
    </row>
    <row r="116" spans="1:9">
      <c r="A116" s="126">
        <v>45979</v>
      </c>
      <c r="B116" s="125" t="s">
        <v>185</v>
      </c>
      <c r="C116" s="76" t="s">
        <v>122</v>
      </c>
      <c r="D116" s="76"/>
      <c r="E116" s="215">
        <v>71000</v>
      </c>
      <c r="F116" s="215"/>
      <c r="G116" s="223">
        <f t="shared" si="1"/>
        <v>985063</v>
      </c>
      <c r="H116" s="125" t="s">
        <v>185</v>
      </c>
      <c r="I116" s="127" t="s">
        <v>4686</v>
      </c>
    </row>
    <row r="117" spans="1:9" hidden="1">
      <c r="A117" s="126">
        <v>45979</v>
      </c>
      <c r="B117" s="76" t="s">
        <v>4607</v>
      </c>
      <c r="C117" s="125" t="s">
        <v>172</v>
      </c>
      <c r="D117" s="76" t="s">
        <v>115</v>
      </c>
      <c r="E117" s="536">
        <v>20000</v>
      </c>
      <c r="F117" s="536"/>
      <c r="G117" s="223">
        <f t="shared" si="1"/>
        <v>965063</v>
      </c>
      <c r="H117" s="76" t="s">
        <v>185</v>
      </c>
      <c r="I117" s="127" t="s">
        <v>4642</v>
      </c>
    </row>
    <row r="118" spans="1:9" hidden="1">
      <c r="A118" s="126">
        <v>45979</v>
      </c>
      <c r="B118" s="76" t="s">
        <v>4608</v>
      </c>
      <c r="C118" s="125" t="s">
        <v>175</v>
      </c>
      <c r="D118" s="76" t="s">
        <v>115</v>
      </c>
      <c r="E118" s="215">
        <v>50000</v>
      </c>
      <c r="F118" s="215"/>
      <c r="G118" s="223">
        <f t="shared" si="1"/>
        <v>915063</v>
      </c>
      <c r="H118" s="404" t="s">
        <v>185</v>
      </c>
      <c r="I118" s="127" t="s">
        <v>4643</v>
      </c>
    </row>
    <row r="119" spans="1:9" ht="15.6" hidden="1">
      <c r="A119" s="126">
        <v>45979</v>
      </c>
      <c r="B119" s="125" t="s">
        <v>2162</v>
      </c>
      <c r="C119" s="319" t="s">
        <v>121</v>
      </c>
      <c r="D119" s="76" t="s">
        <v>115</v>
      </c>
      <c r="E119" s="215">
        <v>115000</v>
      </c>
      <c r="F119" s="215"/>
      <c r="G119" s="223">
        <f t="shared" si="1"/>
        <v>800063</v>
      </c>
      <c r="H119" s="404" t="s">
        <v>581</v>
      </c>
      <c r="I119" s="127" t="s">
        <v>4222</v>
      </c>
    </row>
    <row r="120" spans="1:9">
      <c r="A120" s="126">
        <v>45980</v>
      </c>
      <c r="B120" s="125" t="s">
        <v>151</v>
      </c>
      <c r="C120" s="535" t="s">
        <v>122</v>
      </c>
      <c r="D120" s="76"/>
      <c r="E120" s="215">
        <v>20000</v>
      </c>
      <c r="F120" s="215"/>
      <c r="G120" s="223">
        <f t="shared" si="1"/>
        <v>780063</v>
      </c>
      <c r="H120" s="76" t="s">
        <v>151</v>
      </c>
      <c r="I120" s="127" t="s">
        <v>4687</v>
      </c>
    </row>
    <row r="121" spans="1:9">
      <c r="A121" s="126">
        <v>45980</v>
      </c>
      <c r="B121" s="125" t="s">
        <v>182</v>
      </c>
      <c r="C121" s="76" t="s">
        <v>122</v>
      </c>
      <c r="D121" s="76"/>
      <c r="E121" s="215">
        <v>87000</v>
      </c>
      <c r="F121" s="215"/>
      <c r="G121" s="223">
        <f t="shared" si="1"/>
        <v>693063</v>
      </c>
      <c r="H121" s="76" t="s">
        <v>182</v>
      </c>
      <c r="I121" s="127" t="s">
        <v>4688</v>
      </c>
    </row>
    <row r="122" spans="1:9" ht="15.6">
      <c r="A122" s="126">
        <v>45980</v>
      </c>
      <c r="B122" s="76" t="s">
        <v>315</v>
      </c>
      <c r="C122" s="76" t="s">
        <v>122</v>
      </c>
      <c r="D122" s="319"/>
      <c r="E122" s="215">
        <v>97000</v>
      </c>
      <c r="F122" s="215"/>
      <c r="G122" s="223">
        <f t="shared" si="1"/>
        <v>596063</v>
      </c>
      <c r="H122" s="404" t="s">
        <v>315</v>
      </c>
      <c r="I122" s="127" t="s">
        <v>4689</v>
      </c>
    </row>
    <row r="123" spans="1:9" hidden="1">
      <c r="A123" s="126">
        <v>45980</v>
      </c>
      <c r="B123" s="125" t="s">
        <v>4203</v>
      </c>
      <c r="C123" s="76" t="s">
        <v>180</v>
      </c>
      <c r="D123" s="76" t="s">
        <v>116</v>
      </c>
      <c r="E123" s="215">
        <v>6440</v>
      </c>
      <c r="F123" s="215"/>
      <c r="G123" s="223">
        <f t="shared" si="1"/>
        <v>589623</v>
      </c>
      <c r="H123" s="404" t="s">
        <v>581</v>
      </c>
      <c r="I123" s="127" t="s">
        <v>4223</v>
      </c>
    </row>
    <row r="124" spans="1:9">
      <c r="A124" s="126">
        <v>45980</v>
      </c>
      <c r="B124" s="125" t="s">
        <v>173</v>
      </c>
      <c r="C124" s="76" t="s">
        <v>122</v>
      </c>
      <c r="D124" s="76"/>
      <c r="E124" s="215">
        <v>25000</v>
      </c>
      <c r="F124" s="215"/>
      <c r="G124" s="223">
        <f t="shared" si="1"/>
        <v>564623</v>
      </c>
      <c r="H124" s="76" t="s">
        <v>173</v>
      </c>
      <c r="I124" s="127" t="s">
        <v>4690</v>
      </c>
    </row>
    <row r="125" spans="1:9" hidden="1">
      <c r="A125" s="126">
        <v>45981</v>
      </c>
      <c r="B125" s="76" t="s">
        <v>4420</v>
      </c>
      <c r="C125" s="125" t="s">
        <v>172</v>
      </c>
      <c r="D125" s="76" t="s">
        <v>115</v>
      </c>
      <c r="E125" s="215">
        <v>88000</v>
      </c>
      <c r="F125" s="216"/>
      <c r="G125" s="223">
        <f t="shared" si="1"/>
        <v>476623</v>
      </c>
      <c r="H125" s="76" t="s">
        <v>195</v>
      </c>
      <c r="I125" s="127" t="s">
        <v>4449</v>
      </c>
    </row>
    <row r="126" spans="1:9" hidden="1">
      <c r="A126" s="126">
        <v>45981</v>
      </c>
      <c r="B126" s="76" t="s">
        <v>4421</v>
      </c>
      <c r="C126" s="125" t="s">
        <v>175</v>
      </c>
      <c r="D126" s="76" t="s">
        <v>115</v>
      </c>
      <c r="E126" s="215">
        <v>175000</v>
      </c>
      <c r="F126" s="216"/>
      <c r="G126" s="223">
        <f t="shared" si="1"/>
        <v>301623</v>
      </c>
      <c r="H126" s="404" t="s">
        <v>195</v>
      </c>
      <c r="I126" s="127" t="s">
        <v>4450</v>
      </c>
    </row>
    <row r="127" spans="1:9">
      <c r="A127" s="126">
        <v>45981</v>
      </c>
      <c r="B127" s="125" t="s">
        <v>195</v>
      </c>
      <c r="C127" s="125" t="s">
        <v>122</v>
      </c>
      <c r="D127" s="76"/>
      <c r="E127" s="215">
        <v>136000</v>
      </c>
      <c r="F127" s="216"/>
      <c r="G127" s="223">
        <f t="shared" si="1"/>
        <v>165623</v>
      </c>
      <c r="H127" s="404" t="s">
        <v>195</v>
      </c>
      <c r="I127" s="127" t="s">
        <v>4691</v>
      </c>
    </row>
    <row r="128" spans="1:9">
      <c r="A128" s="126">
        <v>45982</v>
      </c>
      <c r="B128" s="125" t="s">
        <v>182</v>
      </c>
      <c r="C128" s="76" t="s">
        <v>122</v>
      </c>
      <c r="D128" s="76"/>
      <c r="E128" s="215">
        <v>58000</v>
      </c>
      <c r="F128" s="216"/>
      <c r="G128" s="223">
        <f t="shared" si="1"/>
        <v>107623</v>
      </c>
      <c r="H128" s="404" t="s">
        <v>182</v>
      </c>
      <c r="I128" s="127" t="s">
        <v>4692</v>
      </c>
    </row>
    <row r="129" spans="1:9">
      <c r="A129" s="126">
        <v>45982</v>
      </c>
      <c r="B129" s="76" t="s">
        <v>315</v>
      </c>
      <c r="C129" s="76" t="s">
        <v>122</v>
      </c>
      <c r="D129" s="76"/>
      <c r="E129" s="215">
        <v>58000</v>
      </c>
      <c r="F129" s="216"/>
      <c r="G129" s="223">
        <f t="shared" si="1"/>
        <v>49623</v>
      </c>
      <c r="H129" s="76" t="s">
        <v>315</v>
      </c>
      <c r="I129" s="127" t="s">
        <v>4693</v>
      </c>
    </row>
    <row r="130" spans="1:9" hidden="1">
      <c r="A130" s="126">
        <v>45982</v>
      </c>
      <c r="B130" s="125" t="s">
        <v>4203</v>
      </c>
      <c r="C130" s="76" t="s">
        <v>180</v>
      </c>
      <c r="D130" s="76" t="s">
        <v>116</v>
      </c>
      <c r="E130" s="215">
        <v>4060</v>
      </c>
      <c r="F130" s="216"/>
      <c r="G130" s="223">
        <f t="shared" si="1"/>
        <v>45563</v>
      </c>
      <c r="H130" s="404" t="s">
        <v>581</v>
      </c>
      <c r="I130" s="127" t="s">
        <v>4224</v>
      </c>
    </row>
    <row r="131" spans="1:9" ht="15.6">
      <c r="A131" s="126">
        <v>45986</v>
      </c>
      <c r="B131" s="76" t="s">
        <v>4656</v>
      </c>
      <c r="C131" s="76" t="s">
        <v>122</v>
      </c>
      <c r="D131" s="319"/>
      <c r="E131" s="215"/>
      <c r="F131" s="216">
        <v>700000</v>
      </c>
      <c r="G131" s="223">
        <f t="shared" ref="G131:G160" si="2">G130+F131-E131</f>
        <v>745563</v>
      </c>
      <c r="H131" s="404" t="s">
        <v>146</v>
      </c>
      <c r="I131" s="127" t="s">
        <v>4694</v>
      </c>
    </row>
    <row r="132" spans="1:9" hidden="1">
      <c r="A132" s="126">
        <v>45986</v>
      </c>
      <c r="B132" s="125" t="s">
        <v>4536</v>
      </c>
      <c r="C132" s="125" t="s">
        <v>2092</v>
      </c>
      <c r="D132" s="125" t="s">
        <v>118</v>
      </c>
      <c r="E132" s="215">
        <v>10000</v>
      </c>
      <c r="F132" s="216"/>
      <c r="G132" s="223">
        <f t="shared" si="2"/>
        <v>735563</v>
      </c>
      <c r="H132" s="404" t="s">
        <v>211</v>
      </c>
      <c r="I132" s="125" t="s">
        <v>4572</v>
      </c>
    </row>
    <row r="133" spans="1:9" hidden="1">
      <c r="A133" s="126">
        <v>45986</v>
      </c>
      <c r="B133" s="125" t="s">
        <v>4537</v>
      </c>
      <c r="C133" s="125" t="s">
        <v>2092</v>
      </c>
      <c r="D133" s="125" t="s">
        <v>118</v>
      </c>
      <c r="E133" s="215">
        <v>10000</v>
      </c>
      <c r="F133" s="216"/>
      <c r="G133" s="223">
        <f t="shared" si="2"/>
        <v>725563</v>
      </c>
      <c r="H133" s="404" t="s">
        <v>211</v>
      </c>
      <c r="I133" s="125" t="s">
        <v>4572</v>
      </c>
    </row>
    <row r="134" spans="1:9" hidden="1">
      <c r="A134" s="126">
        <v>45986</v>
      </c>
      <c r="B134" s="125" t="s">
        <v>4538</v>
      </c>
      <c r="C134" s="125" t="s">
        <v>2092</v>
      </c>
      <c r="D134" s="125" t="s">
        <v>118</v>
      </c>
      <c r="E134" s="215">
        <v>10000</v>
      </c>
      <c r="F134" s="216"/>
      <c r="G134" s="223">
        <f t="shared" si="2"/>
        <v>715563</v>
      </c>
      <c r="H134" s="404" t="s">
        <v>211</v>
      </c>
      <c r="I134" s="125" t="s">
        <v>4572</v>
      </c>
    </row>
    <row r="135" spans="1:9" hidden="1">
      <c r="A135" s="126">
        <v>45986</v>
      </c>
      <c r="B135" s="125" t="s">
        <v>4539</v>
      </c>
      <c r="C135" s="125" t="s">
        <v>2092</v>
      </c>
      <c r="D135" s="125" t="s">
        <v>118</v>
      </c>
      <c r="E135" s="215">
        <v>10000</v>
      </c>
      <c r="F135" s="216"/>
      <c r="G135" s="223">
        <f t="shared" si="2"/>
        <v>705563</v>
      </c>
      <c r="H135" s="403" t="s">
        <v>211</v>
      </c>
      <c r="I135" s="125" t="s">
        <v>4572</v>
      </c>
    </row>
    <row r="136" spans="1:9" hidden="1">
      <c r="A136" s="126">
        <v>45986</v>
      </c>
      <c r="B136" s="125" t="s">
        <v>4540</v>
      </c>
      <c r="C136" s="125" t="s">
        <v>2092</v>
      </c>
      <c r="D136" s="125" t="s">
        <v>118</v>
      </c>
      <c r="E136" s="215">
        <v>10000</v>
      </c>
      <c r="F136" s="216"/>
      <c r="G136" s="223">
        <f t="shared" si="2"/>
        <v>695563</v>
      </c>
      <c r="H136" s="403" t="s">
        <v>211</v>
      </c>
      <c r="I136" s="125" t="s">
        <v>4572</v>
      </c>
    </row>
    <row r="137" spans="1:9" ht="15.6" hidden="1">
      <c r="A137" s="126">
        <v>45986</v>
      </c>
      <c r="B137" s="177" t="s">
        <v>4541</v>
      </c>
      <c r="C137" s="125" t="s">
        <v>2092</v>
      </c>
      <c r="D137" s="125" t="s">
        <v>118</v>
      </c>
      <c r="E137" s="215">
        <v>6000</v>
      </c>
      <c r="F137" s="216"/>
      <c r="G137" s="223">
        <f t="shared" si="2"/>
        <v>689563</v>
      </c>
      <c r="H137" s="404" t="s">
        <v>211</v>
      </c>
      <c r="I137" s="125" t="s">
        <v>4573</v>
      </c>
    </row>
    <row r="138" spans="1:9" ht="15.6" hidden="1">
      <c r="A138" s="126">
        <v>45986</v>
      </c>
      <c r="B138" s="177" t="s">
        <v>4542</v>
      </c>
      <c r="C138" s="125" t="s">
        <v>2092</v>
      </c>
      <c r="D138" s="125" t="s">
        <v>118</v>
      </c>
      <c r="E138" s="215">
        <v>6000</v>
      </c>
      <c r="F138" s="216"/>
      <c r="G138" s="223">
        <f t="shared" si="2"/>
        <v>683563</v>
      </c>
      <c r="H138" s="404" t="s">
        <v>211</v>
      </c>
      <c r="I138" s="125" t="s">
        <v>4573</v>
      </c>
    </row>
    <row r="139" spans="1:9" ht="15.6" hidden="1">
      <c r="A139" s="126">
        <v>45986</v>
      </c>
      <c r="B139" s="177" t="s">
        <v>4543</v>
      </c>
      <c r="C139" s="125" t="s">
        <v>2092</v>
      </c>
      <c r="D139" s="125" t="s">
        <v>118</v>
      </c>
      <c r="E139" s="215">
        <v>6000</v>
      </c>
      <c r="F139" s="216"/>
      <c r="G139" s="223">
        <f t="shared" si="2"/>
        <v>677563</v>
      </c>
      <c r="H139" s="404" t="s">
        <v>211</v>
      </c>
      <c r="I139" s="125" t="s">
        <v>4573</v>
      </c>
    </row>
    <row r="140" spans="1:9" ht="15.6" hidden="1">
      <c r="A140" s="126">
        <v>45986</v>
      </c>
      <c r="B140" s="177" t="s">
        <v>4544</v>
      </c>
      <c r="C140" s="125" t="s">
        <v>2092</v>
      </c>
      <c r="D140" s="125" t="s">
        <v>118</v>
      </c>
      <c r="E140" s="215">
        <v>6000</v>
      </c>
      <c r="F140" s="216"/>
      <c r="G140" s="223">
        <f t="shared" si="2"/>
        <v>671563</v>
      </c>
      <c r="H140" s="404" t="s">
        <v>211</v>
      </c>
      <c r="I140" s="125" t="s">
        <v>4573</v>
      </c>
    </row>
    <row r="141" spans="1:9" ht="15.6" hidden="1">
      <c r="A141" s="126">
        <v>45986</v>
      </c>
      <c r="B141" s="177" t="s">
        <v>4545</v>
      </c>
      <c r="C141" s="125" t="s">
        <v>2092</v>
      </c>
      <c r="D141" s="125" t="s">
        <v>118</v>
      </c>
      <c r="E141" s="215">
        <v>6000</v>
      </c>
      <c r="F141" s="216"/>
      <c r="G141" s="223">
        <f t="shared" si="2"/>
        <v>665563</v>
      </c>
      <c r="H141" s="404" t="s">
        <v>211</v>
      </c>
      <c r="I141" s="125" t="s">
        <v>4573</v>
      </c>
    </row>
    <row r="142" spans="1:9" ht="15.6" hidden="1">
      <c r="A142" s="126">
        <v>45986</v>
      </c>
      <c r="B142" s="177" t="s">
        <v>4546</v>
      </c>
      <c r="C142" s="125" t="s">
        <v>2092</v>
      </c>
      <c r="D142" s="125" t="s">
        <v>118</v>
      </c>
      <c r="E142" s="215">
        <v>6000</v>
      </c>
      <c r="F142" s="216"/>
      <c r="G142" s="223">
        <f t="shared" si="2"/>
        <v>659563</v>
      </c>
      <c r="H142" s="404" t="s">
        <v>211</v>
      </c>
      <c r="I142" s="125" t="s">
        <v>4573</v>
      </c>
    </row>
    <row r="143" spans="1:9" ht="15.6" hidden="1">
      <c r="A143" s="126">
        <v>45986</v>
      </c>
      <c r="B143" s="177" t="s">
        <v>4547</v>
      </c>
      <c r="C143" s="125" t="s">
        <v>2092</v>
      </c>
      <c r="D143" s="125" t="s">
        <v>118</v>
      </c>
      <c r="E143" s="215">
        <v>6000</v>
      </c>
      <c r="F143" s="216"/>
      <c r="G143" s="223">
        <f t="shared" si="2"/>
        <v>653563</v>
      </c>
      <c r="H143" s="404" t="s">
        <v>211</v>
      </c>
      <c r="I143" s="125" t="s">
        <v>4573</v>
      </c>
    </row>
    <row r="144" spans="1:9" ht="15.6" hidden="1">
      <c r="A144" s="126">
        <v>45986</v>
      </c>
      <c r="B144" s="177" t="s">
        <v>4548</v>
      </c>
      <c r="C144" s="125" t="s">
        <v>2092</v>
      </c>
      <c r="D144" s="125" t="s">
        <v>118</v>
      </c>
      <c r="E144" s="215">
        <v>6000</v>
      </c>
      <c r="F144" s="216"/>
      <c r="G144" s="223">
        <f t="shared" si="2"/>
        <v>647563</v>
      </c>
      <c r="H144" s="404" t="s">
        <v>211</v>
      </c>
      <c r="I144" s="125" t="s">
        <v>4573</v>
      </c>
    </row>
    <row r="145" spans="1:9" ht="15.6" hidden="1">
      <c r="A145" s="126">
        <v>45986</v>
      </c>
      <c r="B145" s="177" t="s">
        <v>4549</v>
      </c>
      <c r="C145" s="125" t="s">
        <v>2092</v>
      </c>
      <c r="D145" s="125" t="s">
        <v>118</v>
      </c>
      <c r="E145" s="215">
        <v>6000</v>
      </c>
      <c r="F145" s="216"/>
      <c r="G145" s="223">
        <f t="shared" si="2"/>
        <v>641563</v>
      </c>
      <c r="H145" s="404" t="s">
        <v>211</v>
      </c>
      <c r="I145" s="125" t="s">
        <v>4573</v>
      </c>
    </row>
    <row r="146" spans="1:9" ht="15.6" hidden="1">
      <c r="A146" s="126">
        <v>45986</v>
      </c>
      <c r="B146" s="177" t="s">
        <v>4550</v>
      </c>
      <c r="C146" s="125" t="s">
        <v>2092</v>
      </c>
      <c r="D146" s="125" t="s">
        <v>118</v>
      </c>
      <c r="E146" s="215">
        <v>6000</v>
      </c>
      <c r="F146" s="216"/>
      <c r="G146" s="223">
        <f t="shared" si="2"/>
        <v>635563</v>
      </c>
      <c r="H146" s="404" t="s">
        <v>211</v>
      </c>
      <c r="I146" s="125" t="s">
        <v>4573</v>
      </c>
    </row>
    <row r="147" spans="1:9" ht="15.6" hidden="1">
      <c r="A147" s="126">
        <v>45986</v>
      </c>
      <c r="B147" s="177" t="s">
        <v>4551</v>
      </c>
      <c r="C147" s="125" t="s">
        <v>2092</v>
      </c>
      <c r="D147" s="125" t="s">
        <v>118</v>
      </c>
      <c r="E147" s="215">
        <v>6000</v>
      </c>
      <c r="F147" s="216"/>
      <c r="G147" s="223">
        <f t="shared" si="2"/>
        <v>629563</v>
      </c>
      <c r="H147" s="404" t="s">
        <v>211</v>
      </c>
      <c r="I147" s="125" t="s">
        <v>4573</v>
      </c>
    </row>
    <row r="148" spans="1:9" ht="15.6" hidden="1">
      <c r="A148" s="126">
        <v>45986</v>
      </c>
      <c r="B148" s="177" t="s">
        <v>4552</v>
      </c>
      <c r="C148" s="125" t="s">
        <v>2092</v>
      </c>
      <c r="D148" s="125" t="s">
        <v>118</v>
      </c>
      <c r="E148" s="215">
        <v>6000</v>
      </c>
      <c r="F148" s="216"/>
      <c r="G148" s="223">
        <f t="shared" si="2"/>
        <v>623563</v>
      </c>
      <c r="H148" s="404" t="s">
        <v>211</v>
      </c>
      <c r="I148" s="125" t="s">
        <v>4573</v>
      </c>
    </row>
    <row r="149" spans="1:9">
      <c r="A149" s="126">
        <v>45987</v>
      </c>
      <c r="B149" s="125" t="s">
        <v>151</v>
      </c>
      <c r="C149" s="76" t="s">
        <v>122</v>
      </c>
      <c r="D149" s="76"/>
      <c r="E149" s="215">
        <v>175000</v>
      </c>
      <c r="F149" s="216"/>
      <c r="G149" s="223">
        <f t="shared" si="2"/>
        <v>448563</v>
      </c>
      <c r="H149" s="404" t="s">
        <v>151</v>
      </c>
      <c r="I149" s="127" t="s">
        <v>4695</v>
      </c>
    </row>
    <row r="150" spans="1:9">
      <c r="A150" s="126">
        <v>45987</v>
      </c>
      <c r="B150" s="125" t="s">
        <v>195</v>
      </c>
      <c r="C150" s="125" t="s">
        <v>122</v>
      </c>
      <c r="D150" s="76"/>
      <c r="E150" s="215">
        <v>136000</v>
      </c>
      <c r="F150" s="216"/>
      <c r="G150" s="223">
        <f t="shared" si="2"/>
        <v>312563</v>
      </c>
      <c r="H150" s="404" t="s">
        <v>195</v>
      </c>
      <c r="I150" s="127" t="s">
        <v>4696</v>
      </c>
    </row>
    <row r="151" spans="1:9" hidden="1">
      <c r="A151" s="126">
        <v>45987</v>
      </c>
      <c r="B151" s="125" t="s">
        <v>4205</v>
      </c>
      <c r="C151" s="76" t="s">
        <v>180</v>
      </c>
      <c r="D151" s="76" t="s">
        <v>116</v>
      </c>
      <c r="E151" s="215">
        <v>4760</v>
      </c>
      <c r="F151" s="216"/>
      <c r="G151" s="223">
        <f t="shared" si="2"/>
        <v>307803</v>
      </c>
      <c r="H151" s="125" t="s">
        <v>581</v>
      </c>
      <c r="I151" s="127" t="s">
        <v>4225</v>
      </c>
    </row>
    <row r="152" spans="1:9">
      <c r="A152" s="126">
        <v>45987</v>
      </c>
      <c r="B152" s="125" t="s">
        <v>211</v>
      </c>
      <c r="C152" s="125" t="s">
        <v>122</v>
      </c>
      <c r="D152" s="76"/>
      <c r="E152" s="215">
        <v>15000</v>
      </c>
      <c r="F152" s="216"/>
      <c r="G152" s="223">
        <f t="shared" si="2"/>
        <v>292803</v>
      </c>
      <c r="H152" s="404" t="s">
        <v>211</v>
      </c>
      <c r="I152" s="127" t="s">
        <v>4697</v>
      </c>
    </row>
    <row r="153" spans="1:9" hidden="1">
      <c r="A153" s="126">
        <v>45988</v>
      </c>
      <c r="B153" s="76" t="s">
        <v>4207</v>
      </c>
      <c r="C153" s="125" t="s">
        <v>302</v>
      </c>
      <c r="D153" s="76" t="s">
        <v>116</v>
      </c>
      <c r="E153" s="215">
        <v>40000</v>
      </c>
      <c r="F153" s="216"/>
      <c r="G153" s="223">
        <f t="shared" si="2"/>
        <v>252803</v>
      </c>
      <c r="H153" s="76" t="s">
        <v>581</v>
      </c>
      <c r="I153" s="127" t="s">
        <v>4226</v>
      </c>
    </row>
    <row r="154" spans="1:9" hidden="1">
      <c r="A154" s="126">
        <v>45988</v>
      </c>
      <c r="B154" s="76" t="s">
        <v>4208</v>
      </c>
      <c r="C154" s="76" t="s">
        <v>302</v>
      </c>
      <c r="D154" s="76" t="s">
        <v>116</v>
      </c>
      <c r="E154" s="215">
        <v>80000</v>
      </c>
      <c r="F154" s="216"/>
      <c r="G154" s="223">
        <f t="shared" si="2"/>
        <v>172803</v>
      </c>
      <c r="H154" s="403" t="s">
        <v>581</v>
      </c>
      <c r="I154" s="127" t="s">
        <v>4227</v>
      </c>
    </row>
    <row r="155" spans="1:9" hidden="1">
      <c r="A155" s="126">
        <v>45988</v>
      </c>
      <c r="B155" s="76" t="s">
        <v>4209</v>
      </c>
      <c r="C155" s="76" t="s">
        <v>124</v>
      </c>
      <c r="D155" s="76" t="s">
        <v>116</v>
      </c>
      <c r="E155" s="215">
        <v>8000</v>
      </c>
      <c r="F155" s="216"/>
      <c r="G155" s="223">
        <f t="shared" si="2"/>
        <v>164803</v>
      </c>
      <c r="H155" s="404" t="s">
        <v>581</v>
      </c>
      <c r="I155" s="127" t="s">
        <v>4228</v>
      </c>
    </row>
    <row r="156" spans="1:9" hidden="1">
      <c r="A156" s="126">
        <v>45988</v>
      </c>
      <c r="B156" s="125" t="s">
        <v>4210</v>
      </c>
      <c r="C156" s="125" t="s">
        <v>624</v>
      </c>
      <c r="D156" s="125" t="s">
        <v>116</v>
      </c>
      <c r="E156" s="215">
        <v>45050</v>
      </c>
      <c r="F156" s="215"/>
      <c r="G156" s="223">
        <f t="shared" si="2"/>
        <v>119753</v>
      </c>
      <c r="H156" s="403" t="s">
        <v>581</v>
      </c>
      <c r="I156" s="127" t="s">
        <v>4229</v>
      </c>
    </row>
    <row r="157" spans="1:9">
      <c r="A157" s="126">
        <v>45988</v>
      </c>
      <c r="B157" s="76" t="s">
        <v>581</v>
      </c>
      <c r="C157" s="125" t="s">
        <v>122</v>
      </c>
      <c r="D157" s="76"/>
      <c r="E157" s="215">
        <v>15000</v>
      </c>
      <c r="F157" s="216"/>
      <c r="G157" s="223">
        <f t="shared" si="2"/>
        <v>104753</v>
      </c>
      <c r="H157" s="125" t="s">
        <v>581</v>
      </c>
      <c r="I157" s="127" t="s">
        <v>4698</v>
      </c>
    </row>
    <row r="158" spans="1:9">
      <c r="A158" s="126">
        <v>45988</v>
      </c>
      <c r="B158" s="76" t="s">
        <v>182</v>
      </c>
      <c r="C158" s="125" t="s">
        <v>122</v>
      </c>
      <c r="D158" s="76"/>
      <c r="E158" s="215">
        <v>40000</v>
      </c>
      <c r="F158" s="216"/>
      <c r="G158" s="223">
        <f t="shared" si="2"/>
        <v>64753</v>
      </c>
      <c r="H158" s="125" t="s">
        <v>182</v>
      </c>
      <c r="I158" s="127" t="s">
        <v>4699</v>
      </c>
    </row>
    <row r="159" spans="1:9">
      <c r="A159" s="126">
        <v>45988</v>
      </c>
      <c r="B159" s="76" t="s">
        <v>315</v>
      </c>
      <c r="C159" s="76" t="s">
        <v>122</v>
      </c>
      <c r="D159" s="76"/>
      <c r="E159" s="537">
        <v>30000</v>
      </c>
      <c r="F159" s="538"/>
      <c r="G159" s="223">
        <f t="shared" si="2"/>
        <v>34753</v>
      </c>
      <c r="H159" s="404" t="s">
        <v>315</v>
      </c>
      <c r="I159" s="127" t="s">
        <v>4700</v>
      </c>
    </row>
    <row r="160" spans="1:9">
      <c r="A160" s="126">
        <v>45988</v>
      </c>
      <c r="B160" s="125" t="s">
        <v>321</v>
      </c>
      <c r="C160" s="125" t="s">
        <v>122</v>
      </c>
      <c r="D160" s="76"/>
      <c r="E160" s="537">
        <v>30000</v>
      </c>
      <c r="F160" s="536"/>
      <c r="G160" s="223">
        <f t="shared" si="2"/>
        <v>4753</v>
      </c>
      <c r="H160" s="404" t="s">
        <v>321</v>
      </c>
      <c r="I160" s="127" t="s">
        <v>4701</v>
      </c>
    </row>
  </sheetData>
  <autoFilter ref="A1:J160" xr:uid="{00000000-0009-0000-0000-000008000000}">
    <filterColumn colId="2">
      <filters>
        <filter val="Versement"/>
      </filters>
    </filterColumn>
  </autoFilter>
  <pageMargins left="0.7" right="0.7" top="0.78740157499999996" bottom="0.78740157499999996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13</vt:i4>
      </vt:variant>
      <vt:variant>
        <vt:lpstr>Plages nommées</vt:lpstr>
      </vt:variant>
      <vt:variant>
        <vt:i4>1</vt:i4>
      </vt:variant>
    </vt:vector>
  </HeadingPairs>
  <TitlesOfParts>
    <vt:vector size="14" baseType="lpstr">
      <vt:lpstr>Balance   </vt:lpstr>
      <vt:lpstr>DATA </vt:lpstr>
      <vt:lpstr>Personals balance  </vt:lpstr>
      <vt:lpstr>Individual costs  </vt:lpstr>
      <vt:lpstr>Individual received  </vt:lpstr>
      <vt:lpstr>data ANALYSIS   </vt:lpstr>
      <vt:lpstr>Bank journal  </vt:lpstr>
      <vt:lpstr>Bank reconciliation  </vt:lpstr>
      <vt:lpstr>Cash journal   </vt:lpstr>
      <vt:lpstr>Cash desk closing </vt:lpstr>
      <vt:lpstr>Global data </vt:lpstr>
      <vt:lpstr>Donors table </vt:lpstr>
      <vt:lpstr>phone credit </vt:lpstr>
      <vt:lpstr>'Bank reconciliation  '!Zone_d_impression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Jana Hajduchová</dc:creator>
  <cp:lastModifiedBy>User</cp:lastModifiedBy>
  <cp:lastPrinted>2025-12-04T12:20:51Z</cp:lastPrinted>
  <dcterms:created xsi:type="dcterms:W3CDTF">2024-11-19T16:31:30Z</dcterms:created>
  <dcterms:modified xsi:type="dcterms:W3CDTF">2025-12-17T14:33:46Z</dcterms:modified>
</cp:coreProperties>
</file>